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106.10.16~111.04.24\112預算\112撥補與分配\112分配公告\"/>
    </mc:Choice>
  </mc:AlternateContent>
  <bookViews>
    <workbookView xWindow="-108" yWindow="-108" windowWidth="23256" windowHeight="12576" firstSheet="4" activeTab="7"/>
  </bookViews>
  <sheets>
    <sheet name="學校編號" sheetId="6" r:id="rId1"/>
    <sheet name="分配原則" sheetId="137" r:id="rId2"/>
    <sheet name="填表說明" sheetId="128" r:id="rId3"/>
    <sheet name="縣庫撥款收入明細表" sheetId="134" r:id="rId4"/>
    <sheet name="基金來源明細表" sheetId="136" r:id="rId5"/>
    <sheet name="場租收支對列及移用留存數" sheetId="131" r:id="rId6"/>
    <sheet name="概算表" sheetId="4" r:id="rId7"/>
    <sheet name="分配表" sheetId="16" r:id="rId8"/>
    <sheet name="★彙整人事及業務費" sheetId="239" r:id="rId9"/>
    <sheet name="★彙整退撫" sheetId="240" r:id="rId10"/>
    <sheet name="601" sheetId="138" r:id="rId11"/>
    <sheet name="602" sheetId="139" r:id="rId12"/>
    <sheet name="603" sheetId="140" r:id="rId13"/>
    <sheet name="604" sheetId="141" r:id="rId14"/>
    <sheet name="605" sheetId="142" r:id="rId15"/>
    <sheet name="606" sheetId="143" r:id="rId16"/>
    <sheet name="607" sheetId="144" r:id="rId17"/>
    <sheet name="608" sheetId="145" r:id="rId18"/>
    <sheet name="609" sheetId="146" r:id="rId19"/>
    <sheet name="610" sheetId="147" r:id="rId20"/>
    <sheet name="611" sheetId="148" r:id="rId21"/>
    <sheet name="612" sheetId="149" r:id="rId22"/>
    <sheet name="613" sheetId="150" r:id="rId23"/>
    <sheet name="614" sheetId="151" r:id="rId24"/>
    <sheet name="615" sheetId="152" r:id="rId25"/>
    <sheet name="616" sheetId="153" r:id="rId26"/>
    <sheet name="617" sheetId="154" r:id="rId27"/>
    <sheet name="618" sheetId="155" r:id="rId28"/>
    <sheet name="619" sheetId="156" r:id="rId29"/>
    <sheet name="620" sheetId="157" r:id="rId30"/>
    <sheet name="621" sheetId="158" r:id="rId31"/>
    <sheet name="622" sheetId="159" r:id="rId32"/>
    <sheet name="623" sheetId="160" r:id="rId33"/>
    <sheet name="624" sheetId="161" r:id="rId34"/>
    <sheet name="625" sheetId="162" r:id="rId35"/>
    <sheet name="626" sheetId="163" r:id="rId36"/>
    <sheet name="627" sheetId="164" r:id="rId37"/>
    <sheet name="628" sheetId="165" r:id="rId38"/>
    <sheet name="629" sheetId="166" r:id="rId39"/>
    <sheet name="630" sheetId="167" r:id="rId40"/>
    <sheet name="631" sheetId="168" r:id="rId41"/>
    <sheet name="632" sheetId="169" r:id="rId42"/>
    <sheet name="633" sheetId="170" r:id="rId43"/>
    <sheet name="634" sheetId="171" r:id="rId44"/>
    <sheet name="635" sheetId="172" r:id="rId45"/>
    <sheet name="636" sheetId="173" r:id="rId46"/>
    <sheet name="638" sheetId="174" r:id="rId47"/>
    <sheet name="639" sheetId="175" r:id="rId48"/>
    <sheet name="641" sheetId="176" r:id="rId49"/>
    <sheet name="642" sheetId="177" r:id="rId50"/>
    <sheet name="645" sheetId="178" r:id="rId51"/>
    <sheet name="647" sheetId="179" r:id="rId52"/>
    <sheet name="648" sheetId="180" r:id="rId53"/>
    <sheet name="649" sheetId="181" r:id="rId54"/>
    <sheet name="650" sheetId="182" r:id="rId55"/>
    <sheet name="651" sheetId="183" r:id="rId56"/>
    <sheet name="652" sheetId="184" r:id="rId57"/>
    <sheet name="653" sheetId="185" r:id="rId58"/>
    <sheet name="654" sheetId="186" r:id="rId59"/>
    <sheet name="655" sheetId="187" r:id="rId60"/>
    <sheet name="656" sheetId="188" r:id="rId61"/>
    <sheet name="657" sheetId="189" r:id="rId62"/>
    <sheet name="658" sheetId="190" r:id="rId63"/>
    <sheet name="659" sheetId="191" r:id="rId64"/>
    <sheet name="660" sheetId="192" r:id="rId65"/>
    <sheet name="661" sheetId="193" r:id="rId66"/>
    <sheet name="662" sheetId="194" r:id="rId67"/>
    <sheet name="663" sheetId="195" r:id="rId68"/>
    <sheet name="664" sheetId="196" r:id="rId69"/>
    <sheet name="665" sheetId="197" r:id="rId70"/>
    <sheet name="666" sheetId="198" r:id="rId71"/>
    <sheet name="667" sheetId="199" r:id="rId72"/>
    <sheet name="668" sheetId="200" r:id="rId73"/>
    <sheet name="669" sheetId="201" r:id="rId74"/>
    <sheet name="670" sheetId="202" r:id="rId75"/>
    <sheet name="671" sheetId="203" r:id="rId76"/>
    <sheet name="672" sheetId="204" r:id="rId77"/>
    <sheet name="673" sheetId="205" r:id="rId78"/>
    <sheet name="674" sheetId="206" r:id="rId79"/>
    <sheet name="675" sheetId="207" r:id="rId80"/>
    <sheet name="676" sheetId="208" r:id="rId81"/>
    <sheet name="678" sheetId="209" r:id="rId82"/>
    <sheet name="679" sheetId="210" r:id="rId83"/>
    <sheet name="680" sheetId="211" r:id="rId84"/>
    <sheet name="681" sheetId="212" r:id="rId85"/>
    <sheet name="682" sheetId="213" r:id="rId86"/>
    <sheet name="683" sheetId="214" r:id="rId87"/>
    <sheet name="684" sheetId="215" r:id="rId88"/>
    <sheet name="685" sheetId="216" r:id="rId89"/>
    <sheet name="686" sheetId="217" r:id="rId90"/>
    <sheet name="687" sheetId="218" r:id="rId91"/>
    <sheet name="688" sheetId="219" r:id="rId92"/>
    <sheet name="689" sheetId="220" r:id="rId93"/>
    <sheet name="690" sheetId="221" r:id="rId94"/>
    <sheet name="691" sheetId="222" r:id="rId95"/>
    <sheet name="692" sheetId="223" r:id="rId96"/>
    <sheet name="693" sheetId="224" r:id="rId97"/>
    <sheet name="694" sheetId="225" r:id="rId98"/>
    <sheet name="695" sheetId="226" r:id="rId99"/>
    <sheet name="696" sheetId="227" r:id="rId100"/>
    <sheet name="697" sheetId="228" r:id="rId101"/>
    <sheet name="698" sheetId="229" r:id="rId102"/>
    <sheet name="699" sheetId="230" r:id="rId103"/>
    <sheet name="700" sheetId="231" r:id="rId104"/>
    <sheet name="701" sheetId="232" r:id="rId105"/>
    <sheet name="702" sheetId="233" r:id="rId106"/>
    <sheet name="703" sheetId="234" r:id="rId107"/>
    <sheet name="705" sheetId="235" r:id="rId108"/>
    <sheet name="706" sheetId="236" r:id="rId109"/>
    <sheet name="707" sheetId="237" r:id="rId110"/>
    <sheet name="708" sheetId="238" r:id="rId111"/>
  </sheets>
  <externalReferences>
    <externalReference r:id="rId112"/>
  </externalReferences>
  <definedNames>
    <definedName name="_xlnm.Print_Area" localSheetId="8">★彙整人事及業務費!$A$1:$O$103</definedName>
    <definedName name="_xlnm.Print_Area" localSheetId="9">★彙整退撫!$A$1:$O$103</definedName>
    <definedName name="_xlnm.Print_Area" localSheetId="1">分配原則!$A$1:$C$47</definedName>
    <definedName name="_xlnm.Print_Titles" localSheetId="8">★彙整人事及業務費!$A:$B,★彙整人事及業務費!$1:$1</definedName>
    <definedName name="_xlnm.Print_Titles" localSheetId="9">★彙整退撫!$A:$B,★彙整退撫!$1:$1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Y9" i="136" l="1"/>
  <c r="D102" i="239"/>
  <c r="E102" i="239"/>
  <c r="F102" i="239"/>
  <c r="G102" i="239"/>
  <c r="H102" i="239"/>
  <c r="I102" i="239"/>
  <c r="J102" i="239"/>
  <c r="K102" i="239"/>
  <c r="L102" i="239"/>
  <c r="M102" i="239"/>
  <c r="N102" i="239"/>
  <c r="D101" i="239"/>
  <c r="E101" i="239"/>
  <c r="F101" i="239"/>
  <c r="G101" i="239"/>
  <c r="H101" i="239"/>
  <c r="I101" i="239"/>
  <c r="J101" i="239"/>
  <c r="K101" i="239"/>
  <c r="L101" i="239"/>
  <c r="M101" i="239"/>
  <c r="N101" i="239"/>
  <c r="D100" i="239"/>
  <c r="E100" i="239"/>
  <c r="F100" i="239"/>
  <c r="G100" i="239"/>
  <c r="H100" i="239"/>
  <c r="I100" i="239"/>
  <c r="J100" i="239"/>
  <c r="K100" i="239"/>
  <c r="L100" i="239"/>
  <c r="M100" i="239"/>
  <c r="N100" i="239"/>
  <c r="C102" i="239"/>
  <c r="C101" i="239"/>
  <c r="C100" i="239"/>
  <c r="N100" i="240"/>
  <c r="D100" i="240"/>
  <c r="E100" i="240"/>
  <c r="F100" i="240"/>
  <c r="G100" i="240"/>
  <c r="H100" i="240"/>
  <c r="I100" i="240"/>
  <c r="J100" i="240"/>
  <c r="K100" i="240"/>
  <c r="L100" i="240"/>
  <c r="M100" i="240"/>
  <c r="CX8" i="136"/>
  <c r="CW8" i="136"/>
  <c r="CU8" i="136"/>
  <c r="CU7" i="136"/>
  <c r="CT8" i="136"/>
  <c r="CT7" i="136"/>
  <c r="CS8" i="136"/>
  <c r="CS7" i="136"/>
  <c r="CR8" i="136"/>
  <c r="CR7" i="136"/>
  <c r="CQ8" i="136"/>
  <c r="CQ7" i="136"/>
  <c r="CP8" i="136"/>
  <c r="CP7" i="136"/>
  <c r="CO8" i="136"/>
  <c r="CO7" i="136"/>
  <c r="CN8" i="136"/>
  <c r="CN7" i="136"/>
  <c r="CM8" i="136"/>
  <c r="CM7" i="136"/>
  <c r="CL8" i="136"/>
  <c r="CL7" i="136"/>
  <c r="CK8" i="136"/>
  <c r="CK7" i="136"/>
  <c r="CJ8" i="136"/>
  <c r="CJ7" i="136"/>
  <c r="CI8" i="136"/>
  <c r="CI7" i="136"/>
  <c r="CH8" i="136"/>
  <c r="CH7" i="136"/>
  <c r="CG8" i="136"/>
  <c r="CG7" i="136"/>
  <c r="CF8" i="136"/>
  <c r="CF7" i="136"/>
  <c r="CE8" i="136"/>
  <c r="CE7" i="136"/>
  <c r="CD8" i="136"/>
  <c r="CD7" i="136"/>
  <c r="CC8" i="136"/>
  <c r="CC7" i="136"/>
  <c r="CB8" i="136"/>
  <c r="CB7" i="136"/>
  <c r="CA8" i="136"/>
  <c r="CA7" i="136"/>
  <c r="BZ8" i="136"/>
  <c r="BZ7" i="136"/>
  <c r="BY8" i="136"/>
  <c r="BY7" i="136"/>
  <c r="BX8" i="136"/>
  <c r="BX7" i="136"/>
  <c r="BW8" i="136"/>
  <c r="BW7" i="136"/>
  <c r="BV8" i="136"/>
  <c r="BV7" i="136"/>
  <c r="BU8" i="136"/>
  <c r="BU7" i="136"/>
  <c r="BT8" i="136"/>
  <c r="BT7" i="136"/>
  <c r="BS8" i="136"/>
  <c r="BS7" i="136"/>
  <c r="BR8" i="136"/>
  <c r="BR7" i="136"/>
  <c r="BQ8" i="136"/>
  <c r="BQ7" i="136"/>
  <c r="BP8" i="136"/>
  <c r="BP7" i="136"/>
  <c r="BO8" i="136"/>
  <c r="BO7" i="136"/>
  <c r="BN8" i="136"/>
  <c r="BN7" i="136"/>
  <c r="BM8" i="136"/>
  <c r="BM7" i="136"/>
  <c r="BL8" i="136"/>
  <c r="BL7" i="136"/>
  <c r="BK8" i="136"/>
  <c r="BK7" i="136"/>
  <c r="BJ8" i="136"/>
  <c r="BJ7" i="136"/>
  <c r="BI8" i="136"/>
  <c r="BI7" i="136"/>
  <c r="BH8" i="136"/>
  <c r="BH7" i="136"/>
  <c r="BF8" i="136"/>
  <c r="BG8" i="136"/>
  <c r="BG7" i="136"/>
  <c r="BF7" i="136"/>
  <c r="BE8" i="136"/>
  <c r="BE7" i="136"/>
  <c r="BD8" i="136"/>
  <c r="BD7" i="136"/>
  <c r="BC8" i="136"/>
  <c r="BC7" i="136"/>
  <c r="BB8" i="136"/>
  <c r="BB7" i="136"/>
  <c r="BA8" i="136"/>
  <c r="BA7" i="136"/>
  <c r="AZ8" i="136"/>
  <c r="AZ7" i="136"/>
  <c r="AY8" i="136"/>
  <c r="AY7" i="136"/>
  <c r="AX8" i="136"/>
  <c r="AX7" i="136"/>
  <c r="AW8" i="136"/>
  <c r="AW7" i="136"/>
  <c r="AV8" i="136"/>
  <c r="AV7" i="136"/>
  <c r="AU8" i="136"/>
  <c r="AU7" i="136"/>
  <c r="AT8" i="136"/>
  <c r="AT7" i="136"/>
  <c r="AS8" i="136"/>
  <c r="AS7" i="136"/>
  <c r="AR8" i="136"/>
  <c r="AR7" i="136"/>
  <c r="AQ8" i="136"/>
  <c r="AQ7" i="136"/>
  <c r="AP8" i="136"/>
  <c r="AP7" i="136"/>
  <c r="AO8" i="136"/>
  <c r="AO7" i="136"/>
  <c r="AN8" i="136"/>
  <c r="AN7" i="136"/>
  <c r="AM8" i="136"/>
  <c r="AM7" i="136"/>
  <c r="AL8" i="136"/>
  <c r="AL7" i="136"/>
  <c r="AK8" i="136"/>
  <c r="AK7" i="136"/>
  <c r="AJ8" i="136"/>
  <c r="AI8" i="136"/>
  <c r="AH8" i="136"/>
  <c r="AG8" i="136"/>
  <c r="AF8" i="136"/>
  <c r="AE8" i="136"/>
  <c r="AD8" i="136"/>
  <c r="AC8" i="136"/>
  <c r="AB8" i="136"/>
  <c r="CY4" i="136"/>
  <c r="CY2" i="136"/>
  <c r="AA8" i="136"/>
  <c r="Z8" i="136"/>
  <c r="Y8" i="136"/>
  <c r="X8" i="136"/>
  <c r="W8" i="136"/>
  <c r="V8" i="136"/>
  <c r="U8" i="136"/>
  <c r="T8" i="136"/>
  <c r="S8" i="136"/>
  <c r="R8" i="136"/>
  <c r="Q8" i="136"/>
  <c r="P8" i="136"/>
  <c r="O8" i="136"/>
  <c r="N8" i="136"/>
  <c r="M8" i="136"/>
  <c r="L8" i="136"/>
  <c r="K8" i="136"/>
  <c r="J8" i="136"/>
  <c r="I8" i="136"/>
  <c r="H8" i="136"/>
  <c r="G8" i="136"/>
  <c r="F8" i="136"/>
  <c r="E8" i="136"/>
  <c r="D8" i="136"/>
  <c r="D102" i="240"/>
  <c r="E102" i="240"/>
  <c r="F102" i="240"/>
  <c r="G102" i="240"/>
  <c r="H102" i="240"/>
  <c r="I102" i="240"/>
  <c r="J102" i="240"/>
  <c r="K102" i="240"/>
  <c r="L102" i="240"/>
  <c r="M102" i="240"/>
  <c r="N102" i="240"/>
  <c r="C102" i="240"/>
  <c r="D101" i="240"/>
  <c r="E101" i="240"/>
  <c r="F101" i="240"/>
  <c r="G101" i="240"/>
  <c r="H101" i="240"/>
  <c r="I101" i="240"/>
  <c r="J101" i="240"/>
  <c r="K101" i="240"/>
  <c r="L101" i="240"/>
  <c r="M101" i="240"/>
  <c r="N101" i="240"/>
  <c r="C101" i="240"/>
  <c r="C100" i="240"/>
  <c r="D99" i="240"/>
  <c r="E99" i="240"/>
  <c r="F99" i="240"/>
  <c r="G99" i="240"/>
  <c r="H99" i="240"/>
  <c r="I99" i="240"/>
  <c r="J99" i="240"/>
  <c r="K99" i="240"/>
  <c r="L99" i="240"/>
  <c r="M99" i="240"/>
  <c r="N99" i="240"/>
  <c r="C99" i="240"/>
  <c r="D98" i="240"/>
  <c r="E98" i="240"/>
  <c r="F98" i="240"/>
  <c r="G98" i="240"/>
  <c r="H98" i="240"/>
  <c r="I98" i="240"/>
  <c r="J98" i="240"/>
  <c r="K98" i="240"/>
  <c r="L98" i="240"/>
  <c r="M98" i="240"/>
  <c r="N98" i="240"/>
  <c r="C98" i="240"/>
  <c r="D97" i="240"/>
  <c r="E97" i="240"/>
  <c r="F97" i="240"/>
  <c r="G97" i="240"/>
  <c r="H97" i="240"/>
  <c r="I97" i="240"/>
  <c r="J97" i="240"/>
  <c r="K97" i="240"/>
  <c r="L97" i="240"/>
  <c r="M97" i="240"/>
  <c r="N97" i="240"/>
  <c r="C97" i="240"/>
  <c r="D96" i="240"/>
  <c r="E96" i="240"/>
  <c r="F96" i="240"/>
  <c r="G96" i="240"/>
  <c r="H96" i="240"/>
  <c r="I96" i="240"/>
  <c r="J96" i="240"/>
  <c r="K96" i="240"/>
  <c r="L96" i="240"/>
  <c r="M96" i="240"/>
  <c r="N96" i="240"/>
  <c r="C96" i="240"/>
  <c r="D95" i="240"/>
  <c r="E95" i="240"/>
  <c r="F95" i="240"/>
  <c r="G95" i="240"/>
  <c r="H95" i="240"/>
  <c r="I95" i="240"/>
  <c r="J95" i="240"/>
  <c r="K95" i="240"/>
  <c r="L95" i="240"/>
  <c r="M95" i="240"/>
  <c r="N95" i="240"/>
  <c r="C95" i="240"/>
  <c r="D94" i="240"/>
  <c r="E94" i="240"/>
  <c r="F94" i="240"/>
  <c r="G94" i="240"/>
  <c r="H94" i="240"/>
  <c r="I94" i="240"/>
  <c r="J94" i="240"/>
  <c r="K94" i="240"/>
  <c r="L94" i="240"/>
  <c r="M94" i="240"/>
  <c r="N94" i="240"/>
  <c r="C94" i="240"/>
  <c r="D93" i="240"/>
  <c r="E93" i="240"/>
  <c r="F93" i="240"/>
  <c r="G93" i="240"/>
  <c r="H93" i="240"/>
  <c r="I93" i="240"/>
  <c r="J93" i="240"/>
  <c r="K93" i="240"/>
  <c r="L93" i="240"/>
  <c r="M93" i="240"/>
  <c r="N93" i="240"/>
  <c r="C93" i="240"/>
  <c r="D92" i="240"/>
  <c r="E92" i="240"/>
  <c r="F92" i="240"/>
  <c r="G92" i="240"/>
  <c r="H92" i="240"/>
  <c r="I92" i="240"/>
  <c r="J92" i="240"/>
  <c r="K92" i="240"/>
  <c r="L92" i="240"/>
  <c r="M92" i="240"/>
  <c r="N92" i="240"/>
  <c r="C92" i="240"/>
  <c r="D91" i="240"/>
  <c r="E91" i="240"/>
  <c r="F91" i="240"/>
  <c r="G91" i="240"/>
  <c r="H91" i="240"/>
  <c r="I91" i="240"/>
  <c r="J91" i="240"/>
  <c r="K91" i="240"/>
  <c r="L91" i="240"/>
  <c r="M91" i="240"/>
  <c r="N91" i="240"/>
  <c r="C91" i="240"/>
  <c r="D90" i="240"/>
  <c r="E90" i="240"/>
  <c r="F90" i="240"/>
  <c r="G90" i="240"/>
  <c r="H90" i="240"/>
  <c r="I90" i="240"/>
  <c r="J90" i="240"/>
  <c r="K90" i="240"/>
  <c r="L90" i="240"/>
  <c r="M90" i="240"/>
  <c r="N90" i="240"/>
  <c r="C90" i="240"/>
  <c r="D89" i="240"/>
  <c r="E89" i="240"/>
  <c r="F89" i="240"/>
  <c r="G89" i="240"/>
  <c r="H89" i="240"/>
  <c r="I89" i="240"/>
  <c r="J89" i="240"/>
  <c r="K89" i="240"/>
  <c r="L89" i="240"/>
  <c r="M89" i="240"/>
  <c r="N89" i="240"/>
  <c r="C89" i="240"/>
  <c r="D88" i="240"/>
  <c r="E88" i="240"/>
  <c r="F88" i="240"/>
  <c r="G88" i="240"/>
  <c r="H88" i="240"/>
  <c r="I88" i="240"/>
  <c r="J88" i="240"/>
  <c r="K88" i="240"/>
  <c r="L88" i="240"/>
  <c r="M88" i="240"/>
  <c r="N88" i="240"/>
  <c r="C88" i="240"/>
  <c r="D87" i="240"/>
  <c r="E87" i="240"/>
  <c r="F87" i="240"/>
  <c r="G87" i="240"/>
  <c r="H87" i="240"/>
  <c r="I87" i="240"/>
  <c r="J87" i="240"/>
  <c r="K87" i="240"/>
  <c r="L87" i="240"/>
  <c r="M87" i="240"/>
  <c r="N87" i="240"/>
  <c r="C87" i="240"/>
  <c r="D86" i="240"/>
  <c r="E86" i="240"/>
  <c r="F86" i="240"/>
  <c r="G86" i="240"/>
  <c r="H86" i="240"/>
  <c r="I86" i="240"/>
  <c r="J86" i="240"/>
  <c r="K86" i="240"/>
  <c r="L86" i="240"/>
  <c r="M86" i="240"/>
  <c r="N86" i="240"/>
  <c r="C86" i="240"/>
  <c r="D85" i="240"/>
  <c r="E85" i="240"/>
  <c r="F85" i="240"/>
  <c r="G85" i="240"/>
  <c r="H85" i="240"/>
  <c r="I85" i="240"/>
  <c r="J85" i="240"/>
  <c r="K85" i="240"/>
  <c r="L85" i="240"/>
  <c r="M85" i="240"/>
  <c r="N85" i="240"/>
  <c r="C85" i="240"/>
  <c r="D84" i="240"/>
  <c r="E84" i="240"/>
  <c r="F84" i="240"/>
  <c r="G84" i="240"/>
  <c r="H84" i="240"/>
  <c r="I84" i="240"/>
  <c r="J84" i="240"/>
  <c r="K84" i="240"/>
  <c r="L84" i="240"/>
  <c r="M84" i="240"/>
  <c r="N84" i="240"/>
  <c r="C84" i="240"/>
  <c r="D83" i="240"/>
  <c r="E83" i="240"/>
  <c r="F83" i="240"/>
  <c r="G83" i="240"/>
  <c r="H83" i="240"/>
  <c r="I83" i="240"/>
  <c r="J83" i="240"/>
  <c r="K83" i="240"/>
  <c r="L83" i="240"/>
  <c r="M83" i="240"/>
  <c r="N83" i="240"/>
  <c r="C83" i="240"/>
  <c r="D82" i="240"/>
  <c r="E82" i="240"/>
  <c r="F82" i="240"/>
  <c r="G82" i="240"/>
  <c r="H82" i="240"/>
  <c r="I82" i="240"/>
  <c r="J82" i="240"/>
  <c r="K82" i="240"/>
  <c r="L82" i="240"/>
  <c r="M82" i="240"/>
  <c r="N82" i="240"/>
  <c r="C82" i="240"/>
  <c r="D81" i="240"/>
  <c r="E81" i="240"/>
  <c r="F81" i="240"/>
  <c r="G81" i="240"/>
  <c r="H81" i="240"/>
  <c r="I81" i="240"/>
  <c r="J81" i="240"/>
  <c r="K81" i="240"/>
  <c r="L81" i="240"/>
  <c r="M81" i="240"/>
  <c r="N81" i="240"/>
  <c r="C81" i="240"/>
  <c r="D80" i="240"/>
  <c r="E80" i="240"/>
  <c r="F80" i="240"/>
  <c r="G80" i="240"/>
  <c r="H80" i="240"/>
  <c r="I80" i="240"/>
  <c r="J80" i="240"/>
  <c r="K80" i="240"/>
  <c r="L80" i="240"/>
  <c r="M80" i="240"/>
  <c r="N80" i="240"/>
  <c r="C80" i="240"/>
  <c r="D79" i="240"/>
  <c r="E79" i="240"/>
  <c r="F79" i="240"/>
  <c r="G79" i="240"/>
  <c r="H79" i="240"/>
  <c r="I79" i="240"/>
  <c r="J79" i="240"/>
  <c r="K79" i="240"/>
  <c r="L79" i="240"/>
  <c r="M79" i="240"/>
  <c r="N79" i="240"/>
  <c r="C79" i="240"/>
  <c r="D78" i="240"/>
  <c r="E78" i="240"/>
  <c r="F78" i="240"/>
  <c r="G78" i="240"/>
  <c r="H78" i="240"/>
  <c r="I78" i="240"/>
  <c r="J78" i="240"/>
  <c r="K78" i="240"/>
  <c r="L78" i="240"/>
  <c r="M78" i="240"/>
  <c r="N78" i="240"/>
  <c r="C78" i="240"/>
  <c r="D77" i="240"/>
  <c r="E77" i="240"/>
  <c r="F77" i="240"/>
  <c r="G77" i="240"/>
  <c r="H77" i="240"/>
  <c r="I77" i="240"/>
  <c r="J77" i="240"/>
  <c r="K77" i="240"/>
  <c r="L77" i="240"/>
  <c r="M77" i="240"/>
  <c r="N77" i="240"/>
  <c r="C77" i="240"/>
  <c r="D76" i="240"/>
  <c r="E76" i="240"/>
  <c r="F76" i="240"/>
  <c r="G76" i="240"/>
  <c r="H76" i="240"/>
  <c r="I76" i="240"/>
  <c r="J76" i="240"/>
  <c r="K76" i="240"/>
  <c r="L76" i="240"/>
  <c r="M76" i="240"/>
  <c r="N76" i="240"/>
  <c r="C76" i="240"/>
  <c r="D75" i="240"/>
  <c r="E75" i="240"/>
  <c r="F75" i="240"/>
  <c r="G75" i="240"/>
  <c r="H75" i="240"/>
  <c r="I75" i="240"/>
  <c r="J75" i="240"/>
  <c r="K75" i="240"/>
  <c r="L75" i="240"/>
  <c r="M75" i="240"/>
  <c r="N75" i="240"/>
  <c r="C75" i="240"/>
  <c r="D74" i="240"/>
  <c r="E74" i="240"/>
  <c r="F74" i="240"/>
  <c r="G74" i="240"/>
  <c r="H74" i="240"/>
  <c r="I74" i="240"/>
  <c r="J74" i="240"/>
  <c r="K74" i="240"/>
  <c r="L74" i="240"/>
  <c r="M74" i="240"/>
  <c r="N74" i="240"/>
  <c r="C74" i="240"/>
  <c r="D73" i="240"/>
  <c r="E73" i="240"/>
  <c r="F73" i="240"/>
  <c r="G73" i="240"/>
  <c r="H73" i="240"/>
  <c r="I73" i="240"/>
  <c r="J73" i="240"/>
  <c r="K73" i="240"/>
  <c r="L73" i="240"/>
  <c r="M73" i="240"/>
  <c r="N73" i="240"/>
  <c r="C73" i="240"/>
  <c r="D72" i="240"/>
  <c r="E72" i="240"/>
  <c r="F72" i="240"/>
  <c r="G72" i="240"/>
  <c r="H72" i="240"/>
  <c r="I72" i="240"/>
  <c r="J72" i="240"/>
  <c r="K72" i="240"/>
  <c r="L72" i="240"/>
  <c r="M72" i="240"/>
  <c r="N72" i="240"/>
  <c r="C72" i="240"/>
  <c r="D71" i="240"/>
  <c r="E71" i="240"/>
  <c r="F71" i="240"/>
  <c r="G71" i="240"/>
  <c r="H71" i="240"/>
  <c r="I71" i="240"/>
  <c r="J71" i="240"/>
  <c r="K71" i="240"/>
  <c r="L71" i="240"/>
  <c r="M71" i="240"/>
  <c r="N71" i="240"/>
  <c r="C71" i="240"/>
  <c r="D70" i="240"/>
  <c r="E70" i="240"/>
  <c r="F70" i="240"/>
  <c r="G70" i="240"/>
  <c r="H70" i="240"/>
  <c r="I70" i="240"/>
  <c r="J70" i="240"/>
  <c r="K70" i="240"/>
  <c r="L70" i="240"/>
  <c r="M70" i="240"/>
  <c r="N70" i="240"/>
  <c r="C70" i="240"/>
  <c r="M69" i="240"/>
  <c r="N69" i="240"/>
  <c r="D69" i="240"/>
  <c r="E69" i="240"/>
  <c r="F69" i="240"/>
  <c r="G69" i="240"/>
  <c r="H69" i="240"/>
  <c r="I69" i="240"/>
  <c r="J69" i="240"/>
  <c r="K69" i="240"/>
  <c r="L69" i="240"/>
  <c r="C69" i="240"/>
  <c r="D68" i="240"/>
  <c r="E68" i="240"/>
  <c r="F68" i="240"/>
  <c r="G68" i="240"/>
  <c r="H68" i="240"/>
  <c r="I68" i="240"/>
  <c r="J68" i="240"/>
  <c r="K68" i="240"/>
  <c r="L68" i="240"/>
  <c r="M68" i="240"/>
  <c r="C68" i="240"/>
  <c r="N67" i="240"/>
  <c r="D67" i="240"/>
  <c r="E67" i="240"/>
  <c r="F67" i="240"/>
  <c r="G67" i="240"/>
  <c r="H67" i="240"/>
  <c r="I67" i="240"/>
  <c r="J67" i="240"/>
  <c r="K67" i="240"/>
  <c r="L67" i="240"/>
  <c r="M67" i="240"/>
  <c r="C67" i="240"/>
  <c r="D66" i="240"/>
  <c r="E66" i="240"/>
  <c r="F66" i="240"/>
  <c r="G66" i="240"/>
  <c r="H66" i="240"/>
  <c r="I66" i="240"/>
  <c r="J66" i="240"/>
  <c r="K66" i="240"/>
  <c r="L66" i="240"/>
  <c r="M66" i="240"/>
  <c r="N66" i="240"/>
  <c r="C66" i="240"/>
  <c r="D65" i="240"/>
  <c r="E65" i="240"/>
  <c r="F65" i="240"/>
  <c r="G65" i="240"/>
  <c r="H65" i="240"/>
  <c r="I65" i="240"/>
  <c r="J65" i="240"/>
  <c r="K65" i="240"/>
  <c r="L65" i="240"/>
  <c r="M65" i="240"/>
  <c r="N65" i="240"/>
  <c r="C65" i="240"/>
  <c r="D64" i="240"/>
  <c r="E64" i="240"/>
  <c r="F64" i="240"/>
  <c r="G64" i="240"/>
  <c r="H64" i="240"/>
  <c r="I64" i="240"/>
  <c r="J64" i="240"/>
  <c r="K64" i="240"/>
  <c r="L64" i="240"/>
  <c r="M64" i="240"/>
  <c r="N64" i="240"/>
  <c r="C64" i="240"/>
  <c r="D63" i="240"/>
  <c r="E63" i="240"/>
  <c r="F63" i="240"/>
  <c r="G63" i="240"/>
  <c r="H63" i="240"/>
  <c r="I63" i="240"/>
  <c r="J63" i="240"/>
  <c r="K63" i="240"/>
  <c r="L63" i="240"/>
  <c r="M63" i="240"/>
  <c r="N63" i="240"/>
  <c r="C63" i="240"/>
  <c r="D62" i="240"/>
  <c r="E62" i="240"/>
  <c r="F62" i="240"/>
  <c r="G62" i="240"/>
  <c r="H62" i="240"/>
  <c r="I62" i="240"/>
  <c r="J62" i="240"/>
  <c r="K62" i="240"/>
  <c r="L62" i="240"/>
  <c r="M62" i="240"/>
  <c r="N62" i="240"/>
  <c r="C62" i="240"/>
  <c r="D61" i="240"/>
  <c r="E61" i="240"/>
  <c r="F61" i="240"/>
  <c r="G61" i="240"/>
  <c r="H61" i="240"/>
  <c r="I61" i="240"/>
  <c r="J61" i="240"/>
  <c r="K61" i="240"/>
  <c r="L61" i="240"/>
  <c r="M61" i="240"/>
  <c r="N61" i="240"/>
  <c r="C61" i="240"/>
  <c r="D60" i="240"/>
  <c r="E60" i="240"/>
  <c r="F60" i="240"/>
  <c r="G60" i="240"/>
  <c r="H60" i="240"/>
  <c r="I60" i="240"/>
  <c r="J60" i="240"/>
  <c r="K60" i="240"/>
  <c r="L60" i="240"/>
  <c r="M60" i="240"/>
  <c r="N60" i="240"/>
  <c r="C60" i="240"/>
  <c r="D59" i="240"/>
  <c r="E59" i="240"/>
  <c r="F59" i="240"/>
  <c r="G59" i="240"/>
  <c r="H59" i="240"/>
  <c r="I59" i="240"/>
  <c r="J59" i="240"/>
  <c r="K59" i="240"/>
  <c r="L59" i="240"/>
  <c r="M59" i="240"/>
  <c r="N59" i="240"/>
  <c r="C59" i="240"/>
  <c r="D58" i="240"/>
  <c r="E58" i="240"/>
  <c r="F58" i="240"/>
  <c r="G58" i="240"/>
  <c r="H58" i="240"/>
  <c r="I58" i="240"/>
  <c r="J58" i="240"/>
  <c r="K58" i="240"/>
  <c r="L58" i="240"/>
  <c r="M58" i="240"/>
  <c r="N58" i="240"/>
  <c r="C58" i="240"/>
  <c r="D57" i="240"/>
  <c r="E57" i="240"/>
  <c r="F57" i="240"/>
  <c r="G57" i="240"/>
  <c r="H57" i="240"/>
  <c r="I57" i="240"/>
  <c r="J57" i="240"/>
  <c r="K57" i="240"/>
  <c r="L57" i="240"/>
  <c r="M57" i="240"/>
  <c r="N57" i="240"/>
  <c r="C57" i="240"/>
  <c r="D56" i="240"/>
  <c r="E56" i="240"/>
  <c r="F56" i="240"/>
  <c r="G56" i="240"/>
  <c r="H56" i="240"/>
  <c r="I56" i="240"/>
  <c r="J56" i="240"/>
  <c r="K56" i="240"/>
  <c r="L56" i="240"/>
  <c r="M56" i="240"/>
  <c r="N56" i="240"/>
  <c r="C56" i="240"/>
  <c r="D55" i="240"/>
  <c r="E55" i="240"/>
  <c r="F55" i="240"/>
  <c r="G55" i="240"/>
  <c r="H55" i="240"/>
  <c r="I55" i="240"/>
  <c r="J55" i="240"/>
  <c r="K55" i="240"/>
  <c r="L55" i="240"/>
  <c r="M55" i="240"/>
  <c r="N55" i="240"/>
  <c r="C55" i="240"/>
  <c r="N54" i="240"/>
  <c r="D54" i="240"/>
  <c r="E54" i="240"/>
  <c r="F54" i="240"/>
  <c r="G54" i="240"/>
  <c r="H54" i="240"/>
  <c r="I54" i="240"/>
  <c r="J54" i="240"/>
  <c r="K54" i="240"/>
  <c r="L54" i="240"/>
  <c r="M54" i="240"/>
  <c r="C54" i="240"/>
  <c r="D53" i="240"/>
  <c r="E53" i="240"/>
  <c r="F53" i="240"/>
  <c r="G53" i="240"/>
  <c r="H53" i="240"/>
  <c r="I53" i="240"/>
  <c r="J53" i="240"/>
  <c r="K53" i="240"/>
  <c r="L53" i="240"/>
  <c r="M53" i="240"/>
  <c r="C53" i="240"/>
  <c r="D52" i="240"/>
  <c r="E52" i="240"/>
  <c r="F52" i="240"/>
  <c r="G52" i="240"/>
  <c r="H52" i="240"/>
  <c r="I52" i="240"/>
  <c r="J52" i="240"/>
  <c r="K52" i="240"/>
  <c r="L52" i="240"/>
  <c r="M52" i="240"/>
  <c r="N52" i="240"/>
  <c r="C52" i="240"/>
  <c r="D51" i="240"/>
  <c r="E51" i="240"/>
  <c r="F51" i="240"/>
  <c r="G51" i="240"/>
  <c r="H51" i="240"/>
  <c r="I51" i="240"/>
  <c r="J51" i="240"/>
  <c r="K51" i="240"/>
  <c r="L51" i="240"/>
  <c r="M51" i="240"/>
  <c r="N51" i="240"/>
  <c r="C51" i="240"/>
  <c r="D50" i="240"/>
  <c r="E50" i="240"/>
  <c r="F50" i="240"/>
  <c r="G50" i="240"/>
  <c r="H50" i="240"/>
  <c r="I50" i="240"/>
  <c r="J50" i="240"/>
  <c r="K50" i="240"/>
  <c r="L50" i="240"/>
  <c r="M50" i="240"/>
  <c r="N50" i="240"/>
  <c r="C50" i="240"/>
  <c r="D49" i="240"/>
  <c r="E49" i="240"/>
  <c r="F49" i="240"/>
  <c r="G49" i="240"/>
  <c r="H49" i="240"/>
  <c r="I49" i="240"/>
  <c r="J49" i="240"/>
  <c r="K49" i="240"/>
  <c r="L49" i="240"/>
  <c r="M49" i="240"/>
  <c r="N49" i="240"/>
  <c r="C49" i="240"/>
  <c r="D48" i="240"/>
  <c r="E48" i="240"/>
  <c r="F48" i="240"/>
  <c r="G48" i="240"/>
  <c r="H48" i="240"/>
  <c r="I48" i="240"/>
  <c r="J48" i="240"/>
  <c r="K48" i="240"/>
  <c r="L48" i="240"/>
  <c r="M48" i="240"/>
  <c r="N48" i="240"/>
  <c r="C48" i="240"/>
  <c r="D47" i="240"/>
  <c r="E47" i="240"/>
  <c r="F47" i="240"/>
  <c r="G47" i="240"/>
  <c r="H47" i="240"/>
  <c r="I47" i="240"/>
  <c r="J47" i="240"/>
  <c r="K47" i="240"/>
  <c r="L47" i="240"/>
  <c r="M47" i="240"/>
  <c r="N47" i="240"/>
  <c r="C47" i="240"/>
  <c r="D46" i="240"/>
  <c r="E46" i="240"/>
  <c r="F46" i="240"/>
  <c r="G46" i="240"/>
  <c r="H46" i="240"/>
  <c r="I46" i="240"/>
  <c r="J46" i="240"/>
  <c r="K46" i="240"/>
  <c r="L46" i="240"/>
  <c r="M46" i="240"/>
  <c r="N46" i="240"/>
  <c r="C46" i="240"/>
  <c r="D45" i="240"/>
  <c r="E45" i="240"/>
  <c r="F45" i="240"/>
  <c r="G45" i="240"/>
  <c r="H45" i="240"/>
  <c r="I45" i="240"/>
  <c r="J45" i="240"/>
  <c r="K45" i="240"/>
  <c r="L45" i="240"/>
  <c r="M45" i="240"/>
  <c r="N45" i="240"/>
  <c r="C45" i="240"/>
  <c r="D44" i="240"/>
  <c r="E44" i="240"/>
  <c r="F44" i="240"/>
  <c r="G44" i="240"/>
  <c r="H44" i="240"/>
  <c r="I44" i="240"/>
  <c r="J44" i="240"/>
  <c r="K44" i="240"/>
  <c r="L44" i="240"/>
  <c r="M44" i="240"/>
  <c r="N44" i="240"/>
  <c r="C44" i="240"/>
  <c r="D43" i="240"/>
  <c r="E43" i="240"/>
  <c r="F43" i="240"/>
  <c r="G43" i="240"/>
  <c r="H43" i="240"/>
  <c r="I43" i="240"/>
  <c r="J43" i="240"/>
  <c r="K43" i="240"/>
  <c r="L43" i="240"/>
  <c r="M43" i="240"/>
  <c r="N43" i="240"/>
  <c r="C43" i="240"/>
  <c r="D42" i="240"/>
  <c r="E42" i="240"/>
  <c r="F42" i="240"/>
  <c r="G42" i="240"/>
  <c r="H42" i="240"/>
  <c r="I42" i="240"/>
  <c r="J42" i="240"/>
  <c r="K42" i="240"/>
  <c r="L42" i="240"/>
  <c r="M42" i="240"/>
  <c r="N42" i="240"/>
  <c r="C42" i="240"/>
  <c r="D41" i="240"/>
  <c r="E41" i="240"/>
  <c r="F41" i="240"/>
  <c r="G41" i="240"/>
  <c r="H41" i="240"/>
  <c r="I41" i="240"/>
  <c r="J41" i="240"/>
  <c r="K41" i="240"/>
  <c r="L41" i="240"/>
  <c r="M41" i="240"/>
  <c r="C41" i="240"/>
  <c r="D40" i="240"/>
  <c r="E40" i="240"/>
  <c r="F40" i="240"/>
  <c r="G40" i="240"/>
  <c r="H40" i="240"/>
  <c r="I40" i="240"/>
  <c r="J40" i="240"/>
  <c r="K40" i="240"/>
  <c r="L40" i="240"/>
  <c r="M40" i="240"/>
  <c r="N40" i="240"/>
  <c r="C40" i="240"/>
  <c r="D39" i="240"/>
  <c r="E39" i="240"/>
  <c r="F39" i="240"/>
  <c r="G39" i="240"/>
  <c r="H39" i="240"/>
  <c r="I39" i="240"/>
  <c r="J39" i="240"/>
  <c r="K39" i="240"/>
  <c r="L39" i="240"/>
  <c r="M39" i="240"/>
  <c r="N39" i="240"/>
  <c r="C39" i="240"/>
  <c r="D38" i="240"/>
  <c r="E38" i="240"/>
  <c r="F38" i="240"/>
  <c r="G38" i="240"/>
  <c r="H38" i="240"/>
  <c r="I38" i="240"/>
  <c r="J38" i="240"/>
  <c r="K38" i="240"/>
  <c r="L38" i="240"/>
  <c r="M38" i="240"/>
  <c r="N38" i="240"/>
  <c r="C38" i="240"/>
  <c r="D37" i="240"/>
  <c r="E37" i="240"/>
  <c r="F37" i="240"/>
  <c r="G37" i="240"/>
  <c r="H37" i="240"/>
  <c r="I37" i="240"/>
  <c r="J37" i="240"/>
  <c r="K37" i="240"/>
  <c r="L37" i="240"/>
  <c r="M37" i="240"/>
  <c r="N37" i="240"/>
  <c r="C37" i="240"/>
  <c r="D36" i="240"/>
  <c r="E36" i="240"/>
  <c r="F36" i="240"/>
  <c r="G36" i="240"/>
  <c r="H36" i="240"/>
  <c r="I36" i="240"/>
  <c r="J36" i="240"/>
  <c r="K36" i="240"/>
  <c r="L36" i="240"/>
  <c r="M36" i="240"/>
  <c r="N36" i="240"/>
  <c r="C36" i="240"/>
  <c r="D35" i="240"/>
  <c r="E35" i="240"/>
  <c r="F35" i="240"/>
  <c r="G35" i="240"/>
  <c r="H35" i="240"/>
  <c r="I35" i="240"/>
  <c r="J35" i="240"/>
  <c r="K35" i="240"/>
  <c r="L35" i="240"/>
  <c r="M35" i="240"/>
  <c r="N35" i="240"/>
  <c r="C35" i="240"/>
  <c r="D34" i="240"/>
  <c r="E34" i="240"/>
  <c r="F34" i="240"/>
  <c r="G34" i="240"/>
  <c r="H34" i="240"/>
  <c r="I34" i="240"/>
  <c r="J34" i="240"/>
  <c r="K34" i="240"/>
  <c r="L34" i="240"/>
  <c r="M34" i="240"/>
  <c r="N34" i="240"/>
  <c r="C34" i="240"/>
  <c r="D33" i="240"/>
  <c r="E33" i="240"/>
  <c r="F33" i="240"/>
  <c r="G33" i="240"/>
  <c r="H33" i="240"/>
  <c r="I33" i="240"/>
  <c r="J33" i="240"/>
  <c r="K33" i="240"/>
  <c r="L33" i="240"/>
  <c r="M33" i="240"/>
  <c r="N33" i="240"/>
  <c r="C33" i="240"/>
  <c r="D32" i="240"/>
  <c r="E32" i="240"/>
  <c r="F32" i="240"/>
  <c r="G32" i="240"/>
  <c r="H32" i="240"/>
  <c r="I32" i="240"/>
  <c r="J32" i="240"/>
  <c r="K32" i="240"/>
  <c r="L32" i="240"/>
  <c r="M32" i="240"/>
  <c r="N32" i="240"/>
  <c r="C32" i="240"/>
  <c r="D31" i="240"/>
  <c r="E31" i="240"/>
  <c r="F31" i="240"/>
  <c r="G31" i="240"/>
  <c r="H31" i="240"/>
  <c r="I31" i="240"/>
  <c r="J31" i="240"/>
  <c r="K31" i="240"/>
  <c r="L31" i="240"/>
  <c r="M31" i="240"/>
  <c r="N31" i="240"/>
  <c r="C31" i="240"/>
  <c r="D30" i="240"/>
  <c r="E30" i="240"/>
  <c r="F30" i="240"/>
  <c r="G30" i="240"/>
  <c r="H30" i="240"/>
  <c r="I30" i="240"/>
  <c r="J30" i="240"/>
  <c r="K30" i="240"/>
  <c r="L30" i="240"/>
  <c r="M30" i="240"/>
  <c r="N30" i="240"/>
  <c r="C30" i="240"/>
  <c r="D29" i="240"/>
  <c r="E29" i="240"/>
  <c r="F29" i="240"/>
  <c r="G29" i="240"/>
  <c r="H29" i="240"/>
  <c r="I29" i="240"/>
  <c r="J29" i="240"/>
  <c r="K29" i="240"/>
  <c r="L29" i="240"/>
  <c r="M29" i="240"/>
  <c r="N29" i="240"/>
  <c r="C29" i="240"/>
  <c r="D28" i="240"/>
  <c r="E28" i="240"/>
  <c r="F28" i="240"/>
  <c r="G28" i="240"/>
  <c r="H28" i="240"/>
  <c r="I28" i="240"/>
  <c r="J28" i="240"/>
  <c r="K28" i="240"/>
  <c r="L28" i="240"/>
  <c r="M28" i="240"/>
  <c r="N28" i="240"/>
  <c r="C28" i="240"/>
  <c r="CY5" i="136"/>
  <c r="D99" i="239"/>
  <c r="E99" i="239"/>
  <c r="F99" i="239"/>
  <c r="G99" i="239"/>
  <c r="H99" i="239"/>
  <c r="I99" i="239"/>
  <c r="J99" i="239"/>
  <c r="K99" i="239"/>
  <c r="L99" i="239"/>
  <c r="M99" i="239"/>
  <c r="N99" i="239"/>
  <c r="C99" i="239"/>
  <c r="D98" i="239"/>
  <c r="E98" i="239"/>
  <c r="F98" i="239"/>
  <c r="G98" i="239"/>
  <c r="H98" i="239"/>
  <c r="I98" i="239"/>
  <c r="J98" i="239"/>
  <c r="K98" i="239"/>
  <c r="L98" i="239"/>
  <c r="M98" i="239"/>
  <c r="N98" i="239"/>
  <c r="C98" i="239"/>
  <c r="D97" i="239"/>
  <c r="E97" i="239"/>
  <c r="F97" i="239"/>
  <c r="G97" i="239"/>
  <c r="H97" i="239"/>
  <c r="I97" i="239"/>
  <c r="J97" i="239"/>
  <c r="K97" i="239"/>
  <c r="L97" i="239"/>
  <c r="M97" i="239"/>
  <c r="N97" i="239"/>
  <c r="C97" i="239"/>
  <c r="D96" i="239"/>
  <c r="E96" i="239"/>
  <c r="F96" i="239"/>
  <c r="G96" i="239"/>
  <c r="H96" i="239"/>
  <c r="I96" i="239"/>
  <c r="J96" i="239"/>
  <c r="K96" i="239"/>
  <c r="L96" i="239"/>
  <c r="M96" i="239"/>
  <c r="N96" i="239"/>
  <c r="C96" i="239"/>
  <c r="D95" i="239"/>
  <c r="E95" i="239"/>
  <c r="F95" i="239"/>
  <c r="G95" i="239"/>
  <c r="H95" i="239"/>
  <c r="I95" i="239"/>
  <c r="J95" i="239"/>
  <c r="K95" i="239"/>
  <c r="L95" i="239"/>
  <c r="M95" i="239"/>
  <c r="N95" i="239"/>
  <c r="C95" i="239"/>
  <c r="D94" i="239"/>
  <c r="E94" i="239"/>
  <c r="F94" i="239"/>
  <c r="G94" i="239"/>
  <c r="H94" i="239"/>
  <c r="I94" i="239"/>
  <c r="J94" i="239"/>
  <c r="K94" i="239"/>
  <c r="L94" i="239"/>
  <c r="M94" i="239"/>
  <c r="N94" i="239"/>
  <c r="C94" i="239"/>
  <c r="D93" i="239"/>
  <c r="E93" i="239"/>
  <c r="F93" i="239"/>
  <c r="G93" i="239"/>
  <c r="H93" i="239"/>
  <c r="I93" i="239"/>
  <c r="J93" i="239"/>
  <c r="K93" i="239"/>
  <c r="L93" i="239"/>
  <c r="M93" i="239"/>
  <c r="N93" i="239"/>
  <c r="C93" i="239"/>
  <c r="D92" i="239"/>
  <c r="E92" i="239"/>
  <c r="F92" i="239"/>
  <c r="G92" i="239"/>
  <c r="H92" i="239"/>
  <c r="I92" i="239"/>
  <c r="J92" i="239"/>
  <c r="K92" i="239"/>
  <c r="L92" i="239"/>
  <c r="M92" i="239"/>
  <c r="N92" i="239"/>
  <c r="C92" i="239"/>
  <c r="D91" i="239"/>
  <c r="E91" i="239"/>
  <c r="F91" i="239"/>
  <c r="G91" i="239"/>
  <c r="H91" i="239"/>
  <c r="I91" i="239"/>
  <c r="J91" i="239"/>
  <c r="K91" i="239"/>
  <c r="L91" i="239"/>
  <c r="M91" i="239"/>
  <c r="N91" i="239"/>
  <c r="C91" i="239"/>
  <c r="D90" i="239"/>
  <c r="E90" i="239"/>
  <c r="F90" i="239"/>
  <c r="G90" i="239"/>
  <c r="H90" i="239"/>
  <c r="I90" i="239"/>
  <c r="J90" i="239"/>
  <c r="K90" i="239"/>
  <c r="L90" i="239"/>
  <c r="M90" i="239"/>
  <c r="N90" i="239"/>
  <c r="C90" i="239"/>
  <c r="D89" i="239"/>
  <c r="E89" i="239"/>
  <c r="F89" i="239"/>
  <c r="G89" i="239"/>
  <c r="H89" i="239"/>
  <c r="I89" i="239"/>
  <c r="J89" i="239"/>
  <c r="K89" i="239"/>
  <c r="L89" i="239"/>
  <c r="M89" i="239"/>
  <c r="N89" i="239"/>
  <c r="C89" i="239"/>
  <c r="D88" i="239"/>
  <c r="E88" i="239"/>
  <c r="F88" i="239"/>
  <c r="G88" i="239"/>
  <c r="H88" i="239"/>
  <c r="I88" i="239"/>
  <c r="J88" i="239"/>
  <c r="K88" i="239"/>
  <c r="L88" i="239"/>
  <c r="M88" i="239"/>
  <c r="N88" i="239"/>
  <c r="C88" i="239"/>
  <c r="D87" i="239"/>
  <c r="E87" i="239"/>
  <c r="F87" i="239"/>
  <c r="G87" i="239"/>
  <c r="H87" i="239"/>
  <c r="I87" i="239"/>
  <c r="J87" i="239"/>
  <c r="K87" i="239"/>
  <c r="L87" i="239"/>
  <c r="M87" i="239"/>
  <c r="N87" i="239"/>
  <c r="C87" i="239"/>
  <c r="D86" i="239"/>
  <c r="E86" i="239"/>
  <c r="F86" i="239"/>
  <c r="G86" i="239"/>
  <c r="H86" i="239"/>
  <c r="I86" i="239"/>
  <c r="J86" i="239"/>
  <c r="K86" i="239"/>
  <c r="L86" i="239"/>
  <c r="M86" i="239"/>
  <c r="N86" i="239"/>
  <c r="C86" i="239"/>
  <c r="D85" i="239"/>
  <c r="E85" i="239"/>
  <c r="F85" i="239"/>
  <c r="G85" i="239"/>
  <c r="H85" i="239"/>
  <c r="I85" i="239"/>
  <c r="J85" i="239"/>
  <c r="K85" i="239"/>
  <c r="L85" i="239"/>
  <c r="M85" i="239"/>
  <c r="N85" i="239"/>
  <c r="C85" i="239"/>
  <c r="D84" i="239"/>
  <c r="E84" i="239"/>
  <c r="F84" i="239"/>
  <c r="G84" i="239"/>
  <c r="H84" i="239"/>
  <c r="I84" i="239"/>
  <c r="J84" i="239"/>
  <c r="K84" i="239"/>
  <c r="L84" i="239"/>
  <c r="M84" i="239"/>
  <c r="N84" i="239"/>
  <c r="C84" i="239"/>
  <c r="D83" i="239"/>
  <c r="E83" i="239"/>
  <c r="F83" i="239"/>
  <c r="G83" i="239"/>
  <c r="H83" i="239"/>
  <c r="I83" i="239"/>
  <c r="J83" i="239"/>
  <c r="K83" i="239"/>
  <c r="L83" i="239"/>
  <c r="M83" i="239"/>
  <c r="N83" i="239"/>
  <c r="C83" i="239"/>
  <c r="D82" i="239"/>
  <c r="E82" i="239"/>
  <c r="F82" i="239"/>
  <c r="G82" i="239"/>
  <c r="H82" i="239"/>
  <c r="I82" i="239"/>
  <c r="J82" i="239"/>
  <c r="K82" i="239"/>
  <c r="L82" i="239"/>
  <c r="M82" i="239"/>
  <c r="N82" i="239"/>
  <c r="C82" i="239"/>
  <c r="D81" i="239"/>
  <c r="E81" i="239"/>
  <c r="F81" i="239"/>
  <c r="G81" i="239"/>
  <c r="H81" i="239"/>
  <c r="I81" i="239"/>
  <c r="J81" i="239"/>
  <c r="K81" i="239"/>
  <c r="L81" i="239"/>
  <c r="M81" i="239"/>
  <c r="N81" i="239"/>
  <c r="C81" i="239"/>
  <c r="D80" i="239"/>
  <c r="E80" i="239"/>
  <c r="F80" i="239"/>
  <c r="G80" i="239"/>
  <c r="H80" i="239"/>
  <c r="I80" i="239"/>
  <c r="J80" i="239"/>
  <c r="K80" i="239"/>
  <c r="L80" i="239"/>
  <c r="M80" i="239"/>
  <c r="N80" i="239"/>
  <c r="C80" i="239"/>
  <c r="D79" i="239"/>
  <c r="E79" i="239"/>
  <c r="F79" i="239"/>
  <c r="G79" i="239"/>
  <c r="H79" i="239"/>
  <c r="I79" i="239"/>
  <c r="J79" i="239"/>
  <c r="K79" i="239"/>
  <c r="L79" i="239"/>
  <c r="M79" i="239"/>
  <c r="N79" i="239"/>
  <c r="C79" i="239"/>
  <c r="D78" i="239"/>
  <c r="E78" i="239"/>
  <c r="F78" i="239"/>
  <c r="G78" i="239"/>
  <c r="H78" i="239"/>
  <c r="I78" i="239"/>
  <c r="J78" i="239"/>
  <c r="K78" i="239"/>
  <c r="L78" i="239"/>
  <c r="M78" i="239"/>
  <c r="N78" i="239"/>
  <c r="C78" i="239"/>
  <c r="D77" i="239"/>
  <c r="E77" i="239"/>
  <c r="F77" i="239"/>
  <c r="G77" i="239"/>
  <c r="H77" i="239"/>
  <c r="I77" i="239"/>
  <c r="J77" i="239"/>
  <c r="K77" i="239"/>
  <c r="L77" i="239"/>
  <c r="M77" i="239"/>
  <c r="N77" i="239"/>
  <c r="C77" i="239"/>
  <c r="D76" i="239"/>
  <c r="E76" i="239"/>
  <c r="F76" i="239"/>
  <c r="G76" i="239"/>
  <c r="H76" i="239"/>
  <c r="I76" i="239"/>
  <c r="J76" i="239"/>
  <c r="K76" i="239"/>
  <c r="L76" i="239"/>
  <c r="M76" i="239"/>
  <c r="N76" i="239"/>
  <c r="C76" i="239"/>
  <c r="D75" i="239"/>
  <c r="E75" i="239"/>
  <c r="F75" i="239"/>
  <c r="G75" i="239"/>
  <c r="H75" i="239"/>
  <c r="I75" i="239"/>
  <c r="J75" i="239"/>
  <c r="K75" i="239"/>
  <c r="L75" i="239"/>
  <c r="M75" i="239"/>
  <c r="N75" i="239"/>
  <c r="C75" i="239"/>
  <c r="D74" i="239"/>
  <c r="E74" i="239"/>
  <c r="F74" i="239"/>
  <c r="G74" i="239"/>
  <c r="H74" i="239"/>
  <c r="I74" i="239"/>
  <c r="J74" i="239"/>
  <c r="K74" i="239"/>
  <c r="L74" i="239"/>
  <c r="M74" i="239"/>
  <c r="N74" i="239"/>
  <c r="C74" i="239"/>
  <c r="D73" i="239"/>
  <c r="E73" i="239"/>
  <c r="F73" i="239"/>
  <c r="G73" i="239"/>
  <c r="H73" i="239"/>
  <c r="I73" i="239"/>
  <c r="J73" i="239"/>
  <c r="K73" i="239"/>
  <c r="L73" i="239"/>
  <c r="M73" i="239"/>
  <c r="N73" i="239"/>
  <c r="C73" i="239"/>
  <c r="D72" i="239"/>
  <c r="E72" i="239"/>
  <c r="F72" i="239"/>
  <c r="G72" i="239"/>
  <c r="H72" i="239"/>
  <c r="I72" i="239"/>
  <c r="J72" i="239"/>
  <c r="K72" i="239"/>
  <c r="L72" i="239"/>
  <c r="M72" i="239"/>
  <c r="N72" i="239"/>
  <c r="C72" i="239"/>
  <c r="D71" i="239"/>
  <c r="E71" i="239"/>
  <c r="F71" i="239"/>
  <c r="G71" i="239"/>
  <c r="H71" i="239"/>
  <c r="I71" i="239"/>
  <c r="J71" i="239"/>
  <c r="K71" i="239"/>
  <c r="L71" i="239"/>
  <c r="M71" i="239"/>
  <c r="N71" i="239"/>
  <c r="C71" i="239"/>
  <c r="D70" i="239"/>
  <c r="E70" i="239"/>
  <c r="F70" i="239"/>
  <c r="G70" i="239"/>
  <c r="H70" i="239"/>
  <c r="I70" i="239"/>
  <c r="J70" i="239"/>
  <c r="K70" i="239"/>
  <c r="L70" i="239"/>
  <c r="M70" i="239"/>
  <c r="N70" i="239"/>
  <c r="C70" i="239"/>
  <c r="D69" i="239"/>
  <c r="E69" i="239"/>
  <c r="F69" i="239"/>
  <c r="G69" i="239"/>
  <c r="H69" i="239"/>
  <c r="I69" i="239"/>
  <c r="J69" i="239"/>
  <c r="K69" i="239"/>
  <c r="L69" i="239"/>
  <c r="M69" i="239"/>
  <c r="N69" i="239"/>
  <c r="C69" i="239"/>
  <c r="D68" i="239"/>
  <c r="E68" i="239"/>
  <c r="F68" i="239"/>
  <c r="G68" i="239"/>
  <c r="H68" i="239"/>
  <c r="I68" i="239"/>
  <c r="J68" i="239"/>
  <c r="K68" i="239"/>
  <c r="L68" i="239"/>
  <c r="M68" i="239"/>
  <c r="N68" i="239"/>
  <c r="C68" i="239"/>
  <c r="D67" i="239"/>
  <c r="E67" i="239"/>
  <c r="F67" i="239"/>
  <c r="G67" i="239"/>
  <c r="H67" i="239"/>
  <c r="I67" i="239"/>
  <c r="J67" i="239"/>
  <c r="K67" i="239"/>
  <c r="L67" i="239"/>
  <c r="M67" i="239"/>
  <c r="N67" i="239"/>
  <c r="C67" i="239"/>
  <c r="D66" i="239"/>
  <c r="E66" i="239"/>
  <c r="F66" i="239"/>
  <c r="G66" i="239"/>
  <c r="H66" i="239"/>
  <c r="I66" i="239"/>
  <c r="J66" i="239"/>
  <c r="K66" i="239"/>
  <c r="L66" i="239"/>
  <c r="M66" i="239"/>
  <c r="N66" i="239"/>
  <c r="C66" i="239"/>
  <c r="N64" i="239"/>
  <c r="D65" i="239"/>
  <c r="E65" i="239"/>
  <c r="F65" i="239"/>
  <c r="G65" i="239"/>
  <c r="H65" i="239"/>
  <c r="I65" i="239"/>
  <c r="J65" i="239"/>
  <c r="K65" i="239"/>
  <c r="L65" i="239"/>
  <c r="M65" i="239"/>
  <c r="N65" i="239"/>
  <c r="C65" i="239"/>
  <c r="D64" i="239"/>
  <c r="E64" i="239"/>
  <c r="F64" i="239"/>
  <c r="G64" i="239"/>
  <c r="H64" i="239"/>
  <c r="I64" i="239"/>
  <c r="J64" i="239"/>
  <c r="K64" i="239"/>
  <c r="L64" i="239"/>
  <c r="M64" i="239"/>
  <c r="C64" i="239"/>
  <c r="D63" i="239"/>
  <c r="E63" i="239"/>
  <c r="F63" i="239"/>
  <c r="G63" i="239"/>
  <c r="H63" i="239"/>
  <c r="I63" i="239"/>
  <c r="J63" i="239"/>
  <c r="K63" i="239"/>
  <c r="L63" i="239"/>
  <c r="M63" i="239"/>
  <c r="N63" i="239"/>
  <c r="C63" i="239"/>
  <c r="D62" i="239"/>
  <c r="E62" i="239"/>
  <c r="F62" i="239"/>
  <c r="G62" i="239"/>
  <c r="H62" i="239"/>
  <c r="I62" i="239"/>
  <c r="J62" i="239"/>
  <c r="K62" i="239"/>
  <c r="L62" i="239"/>
  <c r="M62" i="239"/>
  <c r="N62" i="239"/>
  <c r="C62" i="239"/>
  <c r="D61" i="239"/>
  <c r="E61" i="239"/>
  <c r="F61" i="239"/>
  <c r="G61" i="239"/>
  <c r="H61" i="239"/>
  <c r="I61" i="239"/>
  <c r="J61" i="239"/>
  <c r="K61" i="239"/>
  <c r="L61" i="239"/>
  <c r="M61" i="239"/>
  <c r="N61" i="239"/>
  <c r="C61" i="239"/>
  <c r="D60" i="239"/>
  <c r="E60" i="239"/>
  <c r="F60" i="239"/>
  <c r="G60" i="239"/>
  <c r="H60" i="239"/>
  <c r="I60" i="239"/>
  <c r="J60" i="239"/>
  <c r="K60" i="239"/>
  <c r="L60" i="239"/>
  <c r="M60" i="239"/>
  <c r="N60" i="239"/>
  <c r="C60" i="239"/>
  <c r="D59" i="239"/>
  <c r="E59" i="239"/>
  <c r="F59" i="239"/>
  <c r="G59" i="239"/>
  <c r="H59" i="239"/>
  <c r="I59" i="239"/>
  <c r="J59" i="239"/>
  <c r="K59" i="239"/>
  <c r="L59" i="239"/>
  <c r="M59" i="239"/>
  <c r="N59" i="239"/>
  <c r="C59" i="239"/>
  <c r="D58" i="239"/>
  <c r="E58" i="239"/>
  <c r="F58" i="239"/>
  <c r="G58" i="239"/>
  <c r="H58" i="239"/>
  <c r="I58" i="239"/>
  <c r="J58" i="239"/>
  <c r="K58" i="239"/>
  <c r="L58" i="239"/>
  <c r="M58" i="239"/>
  <c r="N58" i="239"/>
  <c r="C58" i="239"/>
  <c r="D57" i="239"/>
  <c r="E57" i="239"/>
  <c r="F57" i="239"/>
  <c r="G57" i="239"/>
  <c r="H57" i="239"/>
  <c r="I57" i="239"/>
  <c r="J57" i="239"/>
  <c r="K57" i="239"/>
  <c r="L57" i="239"/>
  <c r="M57" i="239"/>
  <c r="N57" i="239"/>
  <c r="C57" i="239"/>
  <c r="D56" i="239"/>
  <c r="E56" i="239"/>
  <c r="F56" i="239"/>
  <c r="G56" i="239"/>
  <c r="H56" i="239"/>
  <c r="I56" i="239"/>
  <c r="J56" i="239"/>
  <c r="K56" i="239"/>
  <c r="L56" i="239"/>
  <c r="M56" i="239"/>
  <c r="N56" i="239"/>
  <c r="C56" i="239"/>
  <c r="D55" i="239"/>
  <c r="E55" i="239"/>
  <c r="F55" i="239"/>
  <c r="G55" i="239"/>
  <c r="H55" i="239"/>
  <c r="I55" i="239"/>
  <c r="J55" i="239"/>
  <c r="K55" i="239"/>
  <c r="L55" i="239"/>
  <c r="M55" i="239"/>
  <c r="N55" i="239"/>
  <c r="C55" i="239"/>
  <c r="D54" i="239"/>
  <c r="E54" i="239"/>
  <c r="F54" i="239"/>
  <c r="G54" i="239"/>
  <c r="H54" i="239"/>
  <c r="I54" i="239"/>
  <c r="J54" i="239"/>
  <c r="K54" i="239"/>
  <c r="L54" i="239"/>
  <c r="M54" i="239"/>
  <c r="N54" i="239"/>
  <c r="C54" i="239"/>
  <c r="D53" i="239"/>
  <c r="E53" i="239"/>
  <c r="F53" i="239"/>
  <c r="G53" i="239"/>
  <c r="H53" i="239"/>
  <c r="I53" i="239"/>
  <c r="J53" i="239"/>
  <c r="K53" i="239"/>
  <c r="L53" i="239"/>
  <c r="M53" i="239"/>
  <c r="N53" i="239"/>
  <c r="C53" i="239"/>
  <c r="D52" i="239"/>
  <c r="E52" i="239"/>
  <c r="F52" i="239"/>
  <c r="G52" i="239"/>
  <c r="H52" i="239"/>
  <c r="I52" i="239"/>
  <c r="J52" i="239"/>
  <c r="K52" i="239"/>
  <c r="L52" i="239"/>
  <c r="M52" i="239"/>
  <c r="N52" i="239"/>
  <c r="C52" i="239"/>
  <c r="D51" i="239"/>
  <c r="E51" i="239"/>
  <c r="F51" i="239"/>
  <c r="G51" i="239"/>
  <c r="H51" i="239"/>
  <c r="I51" i="239"/>
  <c r="J51" i="239"/>
  <c r="K51" i="239"/>
  <c r="L51" i="239"/>
  <c r="M51" i="239"/>
  <c r="N51" i="239"/>
  <c r="C51" i="239"/>
  <c r="D50" i="239"/>
  <c r="E50" i="239"/>
  <c r="F50" i="239"/>
  <c r="G50" i="239"/>
  <c r="H50" i="239"/>
  <c r="I50" i="239"/>
  <c r="J50" i="239"/>
  <c r="K50" i="239"/>
  <c r="L50" i="239"/>
  <c r="M50" i="239"/>
  <c r="N50" i="239"/>
  <c r="C50" i="239"/>
  <c r="D49" i="239"/>
  <c r="E49" i="239"/>
  <c r="F49" i="239"/>
  <c r="G49" i="239"/>
  <c r="H49" i="239"/>
  <c r="I49" i="239"/>
  <c r="J49" i="239"/>
  <c r="K49" i="239"/>
  <c r="L49" i="239"/>
  <c r="M49" i="239"/>
  <c r="N49" i="239"/>
  <c r="C49" i="239"/>
  <c r="D48" i="239"/>
  <c r="E48" i="239"/>
  <c r="F48" i="239"/>
  <c r="G48" i="239"/>
  <c r="H48" i="239"/>
  <c r="I48" i="239"/>
  <c r="J48" i="239"/>
  <c r="K48" i="239"/>
  <c r="L48" i="239"/>
  <c r="M48" i="239"/>
  <c r="N48" i="239"/>
  <c r="C48" i="239"/>
  <c r="D47" i="239"/>
  <c r="E47" i="239"/>
  <c r="F47" i="239"/>
  <c r="G47" i="239"/>
  <c r="H47" i="239"/>
  <c r="I47" i="239"/>
  <c r="J47" i="239"/>
  <c r="K47" i="239"/>
  <c r="L47" i="239"/>
  <c r="M47" i="239"/>
  <c r="N47" i="239"/>
  <c r="C47" i="239"/>
  <c r="D46" i="239"/>
  <c r="E46" i="239"/>
  <c r="F46" i="239"/>
  <c r="G46" i="239"/>
  <c r="H46" i="239"/>
  <c r="I46" i="239"/>
  <c r="J46" i="239"/>
  <c r="K46" i="239"/>
  <c r="L46" i="239"/>
  <c r="M46" i="239"/>
  <c r="N46" i="239"/>
  <c r="C46" i="239"/>
  <c r="D45" i="239"/>
  <c r="E45" i="239"/>
  <c r="F45" i="239"/>
  <c r="G45" i="239"/>
  <c r="H45" i="239"/>
  <c r="I45" i="239"/>
  <c r="J45" i="239"/>
  <c r="K45" i="239"/>
  <c r="L45" i="239"/>
  <c r="M45" i="239"/>
  <c r="N45" i="239"/>
  <c r="C45" i="239"/>
  <c r="D44" i="239"/>
  <c r="E44" i="239"/>
  <c r="F44" i="239"/>
  <c r="G44" i="239"/>
  <c r="H44" i="239"/>
  <c r="I44" i="239"/>
  <c r="J44" i="239"/>
  <c r="K44" i="239"/>
  <c r="L44" i="239"/>
  <c r="M44" i="239"/>
  <c r="N44" i="239"/>
  <c r="C44" i="239"/>
  <c r="D43" i="239"/>
  <c r="E43" i="239"/>
  <c r="F43" i="239"/>
  <c r="G43" i="239"/>
  <c r="H43" i="239"/>
  <c r="I43" i="239"/>
  <c r="J43" i="239"/>
  <c r="K43" i="239"/>
  <c r="L43" i="239"/>
  <c r="M43" i="239"/>
  <c r="N43" i="239"/>
  <c r="C43" i="239"/>
  <c r="D42" i="239"/>
  <c r="E42" i="239"/>
  <c r="F42" i="239"/>
  <c r="G42" i="239"/>
  <c r="H42" i="239"/>
  <c r="I42" i="239"/>
  <c r="J42" i="239"/>
  <c r="K42" i="239"/>
  <c r="L42" i="239"/>
  <c r="M42" i="239"/>
  <c r="N42" i="239"/>
  <c r="C42" i="239"/>
  <c r="D41" i="239"/>
  <c r="E41" i="239"/>
  <c r="F41" i="239"/>
  <c r="G41" i="239"/>
  <c r="H41" i="239"/>
  <c r="I41" i="239"/>
  <c r="J41" i="239"/>
  <c r="K41" i="239"/>
  <c r="L41" i="239"/>
  <c r="M41" i="239"/>
  <c r="N41" i="239"/>
  <c r="C41" i="239"/>
  <c r="D40" i="239"/>
  <c r="E40" i="239"/>
  <c r="F40" i="239"/>
  <c r="G40" i="239"/>
  <c r="H40" i="239"/>
  <c r="I40" i="239"/>
  <c r="J40" i="239"/>
  <c r="K40" i="239"/>
  <c r="L40" i="239"/>
  <c r="M40" i="239"/>
  <c r="N40" i="239"/>
  <c r="C40" i="239"/>
  <c r="D39" i="239"/>
  <c r="E39" i="239"/>
  <c r="F39" i="239"/>
  <c r="G39" i="239"/>
  <c r="H39" i="239"/>
  <c r="I39" i="239"/>
  <c r="J39" i="239"/>
  <c r="K39" i="239"/>
  <c r="L39" i="239"/>
  <c r="M39" i="239"/>
  <c r="N39" i="239"/>
  <c r="C39" i="239"/>
  <c r="D38" i="239"/>
  <c r="E38" i="239"/>
  <c r="F38" i="239"/>
  <c r="G38" i="239"/>
  <c r="H38" i="239"/>
  <c r="I38" i="239"/>
  <c r="J38" i="239"/>
  <c r="K38" i="239"/>
  <c r="L38" i="239"/>
  <c r="M38" i="239"/>
  <c r="N38" i="239"/>
  <c r="C38" i="239"/>
  <c r="D37" i="239"/>
  <c r="E37" i="239"/>
  <c r="F37" i="239"/>
  <c r="G37" i="239"/>
  <c r="H37" i="239"/>
  <c r="I37" i="239"/>
  <c r="J37" i="239"/>
  <c r="K37" i="239"/>
  <c r="L37" i="239"/>
  <c r="M37" i="239"/>
  <c r="N37" i="239"/>
  <c r="C37" i="239"/>
  <c r="D36" i="239"/>
  <c r="E36" i="239"/>
  <c r="F36" i="239"/>
  <c r="G36" i="239"/>
  <c r="H36" i="239"/>
  <c r="J36" i="239"/>
  <c r="K36" i="239"/>
  <c r="L36" i="239"/>
  <c r="M36" i="239"/>
  <c r="D35" i="239"/>
  <c r="E35" i="239"/>
  <c r="F35" i="239"/>
  <c r="G35" i="239"/>
  <c r="H35" i="239"/>
  <c r="J35" i="239"/>
  <c r="K35" i="239"/>
  <c r="L35" i="239"/>
  <c r="M35" i="239"/>
  <c r="D34" i="239"/>
  <c r="E34" i="239"/>
  <c r="F34" i="239"/>
  <c r="G34" i="239"/>
  <c r="H34" i="239"/>
  <c r="J34" i="239"/>
  <c r="K34" i="239"/>
  <c r="L34" i="239"/>
  <c r="M34" i="239"/>
  <c r="D33" i="239"/>
  <c r="E33" i="239"/>
  <c r="F33" i="239"/>
  <c r="G33" i="239"/>
  <c r="H33" i="239"/>
  <c r="J33" i="239"/>
  <c r="K33" i="239"/>
  <c r="L33" i="239"/>
  <c r="M33" i="239"/>
  <c r="D32" i="239"/>
  <c r="E32" i="239"/>
  <c r="F32" i="239"/>
  <c r="G32" i="239"/>
  <c r="H32" i="239"/>
  <c r="J32" i="239"/>
  <c r="K32" i="239"/>
  <c r="L32" i="239"/>
  <c r="M32" i="239"/>
  <c r="D31" i="239"/>
  <c r="E31" i="239"/>
  <c r="F31" i="239"/>
  <c r="G31" i="239"/>
  <c r="H31" i="239"/>
  <c r="J31" i="239"/>
  <c r="K31" i="239"/>
  <c r="L31" i="239"/>
  <c r="M31" i="239"/>
  <c r="D30" i="239"/>
  <c r="E30" i="239"/>
  <c r="F30" i="239"/>
  <c r="G30" i="239"/>
  <c r="H30" i="239"/>
  <c r="J30" i="239"/>
  <c r="K30" i="239"/>
  <c r="L30" i="239"/>
  <c r="M30" i="239"/>
  <c r="D29" i="239"/>
  <c r="E29" i="239"/>
  <c r="F29" i="239"/>
  <c r="G29" i="239"/>
  <c r="H29" i="239"/>
  <c r="J29" i="239"/>
  <c r="K29" i="239"/>
  <c r="L29" i="239"/>
  <c r="M29" i="239"/>
  <c r="D28" i="239"/>
  <c r="E28" i="239"/>
  <c r="F28" i="239"/>
  <c r="G28" i="239"/>
  <c r="H28" i="239"/>
  <c r="J28" i="239"/>
  <c r="K28" i="239"/>
  <c r="L28" i="239"/>
  <c r="M28" i="239"/>
  <c r="D106" i="238"/>
  <c r="D101" i="238"/>
  <c r="G86" i="238"/>
  <c r="Q83" i="238"/>
  <c r="P83" i="238"/>
  <c r="O83" i="238"/>
  <c r="N83" i="238"/>
  <c r="M83" i="238"/>
  <c r="L83" i="238"/>
  <c r="K83" i="238"/>
  <c r="J83" i="238"/>
  <c r="I83" i="238"/>
  <c r="H83" i="238"/>
  <c r="G83" i="238"/>
  <c r="D82" i="238"/>
  <c r="F82" i="238" s="1"/>
  <c r="Q76" i="238"/>
  <c r="P76" i="238"/>
  <c r="D71" i="238"/>
  <c r="F71" i="238" s="1"/>
  <c r="D68" i="238"/>
  <c r="F68" i="238" s="1"/>
  <c r="D60" i="238"/>
  <c r="D53" i="238"/>
  <c r="N53" i="238" s="1"/>
  <c r="P47" i="238"/>
  <c r="O47" i="238"/>
  <c r="M47" i="238"/>
  <c r="L47" i="238"/>
  <c r="J47" i="238"/>
  <c r="I47" i="238"/>
  <c r="H47" i="238"/>
  <c r="G47" i="238"/>
  <c r="P45" i="238"/>
  <c r="O45" i="238"/>
  <c r="N45" i="238"/>
  <c r="M45" i="238"/>
  <c r="K45" i="238"/>
  <c r="J45" i="238"/>
  <c r="H45" i="238"/>
  <c r="G45" i="238"/>
  <c r="D44" i="238"/>
  <c r="L44" i="238" s="1"/>
  <c r="L45" i="238" s="1"/>
  <c r="R41" i="238"/>
  <c r="Q40" i="238"/>
  <c r="P40" i="238"/>
  <c r="O40" i="238"/>
  <c r="N40" i="238"/>
  <c r="M40" i="238"/>
  <c r="L40" i="238"/>
  <c r="K40" i="238"/>
  <c r="J40" i="238"/>
  <c r="I40" i="238"/>
  <c r="H40" i="238"/>
  <c r="G40" i="238"/>
  <c r="F40" i="238"/>
  <c r="R40" i="238" s="1"/>
  <c r="R39" i="238"/>
  <c r="R38" i="238"/>
  <c r="D36" i="238"/>
  <c r="D32" i="238"/>
  <c r="N32" i="238" s="1"/>
  <c r="D16" i="238"/>
  <c r="H16" i="238" s="1"/>
  <c r="D12" i="238"/>
  <c r="K12" i="238" s="1"/>
  <c r="D6" i="238"/>
  <c r="K6" i="238" s="1"/>
  <c r="D1" i="238"/>
  <c r="D49" i="238" s="1"/>
  <c r="G86" i="237"/>
  <c r="Q83" i="237"/>
  <c r="P83" i="237"/>
  <c r="O83" i="237"/>
  <c r="N83" i="237"/>
  <c r="M83" i="237"/>
  <c r="L83" i="237"/>
  <c r="K83" i="237"/>
  <c r="J83" i="237"/>
  <c r="I83" i="237"/>
  <c r="H83" i="237"/>
  <c r="G83" i="237"/>
  <c r="Q76" i="237"/>
  <c r="P76" i="237"/>
  <c r="P47" i="237"/>
  <c r="O47" i="237"/>
  <c r="M47" i="237"/>
  <c r="L47" i="237"/>
  <c r="J47" i="237"/>
  <c r="I47" i="237"/>
  <c r="H47" i="237"/>
  <c r="G47" i="237"/>
  <c r="P45" i="237"/>
  <c r="O45" i="237"/>
  <c r="N45" i="237"/>
  <c r="M45" i="237"/>
  <c r="K45" i="237"/>
  <c r="J45" i="237"/>
  <c r="H45" i="237"/>
  <c r="G45" i="237"/>
  <c r="R41" i="237"/>
  <c r="Q40" i="237"/>
  <c r="P40" i="237"/>
  <c r="O40" i="237"/>
  <c r="N40" i="237"/>
  <c r="M40" i="237"/>
  <c r="L40" i="237"/>
  <c r="K40" i="237"/>
  <c r="J40" i="237"/>
  <c r="I40" i="237"/>
  <c r="H40" i="237"/>
  <c r="G40" i="237"/>
  <c r="F40" i="237"/>
  <c r="R40" i="237" s="1"/>
  <c r="R39" i="237"/>
  <c r="R38" i="237"/>
  <c r="D26" i="237"/>
  <c r="D1" i="237"/>
  <c r="D4" i="237" s="1"/>
  <c r="D106" i="236"/>
  <c r="D99" i="236"/>
  <c r="D91" i="236"/>
  <c r="D88" i="236"/>
  <c r="G86" i="236"/>
  <c r="Q83" i="236"/>
  <c r="P83" i="236"/>
  <c r="O83" i="236"/>
  <c r="N83" i="236"/>
  <c r="M83" i="236"/>
  <c r="L83" i="236"/>
  <c r="K83" i="236"/>
  <c r="J83" i="236"/>
  <c r="I83" i="236"/>
  <c r="H83" i="236"/>
  <c r="G83" i="236"/>
  <c r="Q76" i="236"/>
  <c r="P76" i="236"/>
  <c r="F69" i="236"/>
  <c r="D69" i="236"/>
  <c r="L69" i="236" s="1"/>
  <c r="D68" i="236"/>
  <c r="D67" i="236"/>
  <c r="L66" i="236"/>
  <c r="D66" i="236"/>
  <c r="N66" i="236" s="1"/>
  <c r="M64" i="236"/>
  <c r="H64" i="236"/>
  <c r="D64" i="236"/>
  <c r="L64" i="236" s="1"/>
  <c r="D63" i="236"/>
  <c r="N57" i="236"/>
  <c r="M57" i="236"/>
  <c r="F57" i="236"/>
  <c r="D57" i="236"/>
  <c r="L57" i="236" s="1"/>
  <c r="O55" i="236"/>
  <c r="F55" i="236"/>
  <c r="D55" i="236"/>
  <c r="P55" i="236" s="1"/>
  <c r="H54" i="236"/>
  <c r="D54" i="236"/>
  <c r="F53" i="236"/>
  <c r="D53" i="236"/>
  <c r="N53" i="236" s="1"/>
  <c r="P47" i="236"/>
  <c r="O47" i="236"/>
  <c r="M47" i="236"/>
  <c r="L47" i="236"/>
  <c r="J47" i="236"/>
  <c r="I47" i="236"/>
  <c r="H47" i="236"/>
  <c r="G47" i="236"/>
  <c r="P45" i="236"/>
  <c r="O45" i="236"/>
  <c r="N45" i="236"/>
  <c r="M45" i="236"/>
  <c r="K45" i="236"/>
  <c r="J45" i="236"/>
  <c r="H45" i="236"/>
  <c r="G45" i="236"/>
  <c r="F43" i="236"/>
  <c r="F45" i="236" s="1"/>
  <c r="D43" i="236"/>
  <c r="R43" i="236" s="1"/>
  <c r="R41" i="236"/>
  <c r="Q40" i="236"/>
  <c r="P40" i="236"/>
  <c r="O40" i="236"/>
  <c r="N40" i="236"/>
  <c r="M40" i="236"/>
  <c r="L40" i="236"/>
  <c r="K40" i="236"/>
  <c r="J40" i="236"/>
  <c r="I40" i="236"/>
  <c r="H40" i="236"/>
  <c r="G40" i="236"/>
  <c r="F40" i="236"/>
  <c r="R40" i="236" s="1"/>
  <c r="R39" i="236"/>
  <c r="R38" i="236"/>
  <c r="F36" i="236"/>
  <c r="D36" i="236"/>
  <c r="L36" i="236" s="1"/>
  <c r="N31" i="236"/>
  <c r="L31" i="236"/>
  <c r="G31" i="236"/>
  <c r="F31" i="236"/>
  <c r="D31" i="236"/>
  <c r="K31" i="236" s="1"/>
  <c r="P29" i="236"/>
  <c r="I29" i="236"/>
  <c r="F29" i="236"/>
  <c r="D29" i="236"/>
  <c r="L29" i="236" s="1"/>
  <c r="D28" i="236"/>
  <c r="N28" i="236" s="1"/>
  <c r="P17" i="236"/>
  <c r="I17" i="236"/>
  <c r="F17" i="236"/>
  <c r="D17" i="236"/>
  <c r="L17" i="236" s="1"/>
  <c r="D16" i="236"/>
  <c r="K16" i="236" s="1"/>
  <c r="F15" i="236"/>
  <c r="D15" i="236"/>
  <c r="D14" i="236"/>
  <c r="D10" i="236"/>
  <c r="P10" i="236" s="1"/>
  <c r="M9" i="236"/>
  <c r="L9" i="236"/>
  <c r="G9" i="236"/>
  <c r="F9" i="236"/>
  <c r="D9" i="236"/>
  <c r="D7" i="236"/>
  <c r="P7" i="236" s="1"/>
  <c r="M6" i="236"/>
  <c r="L6" i="236"/>
  <c r="G6" i="236"/>
  <c r="F6" i="236"/>
  <c r="D6" i="236"/>
  <c r="D4" i="236"/>
  <c r="P4" i="236" s="1"/>
  <c r="M3" i="236"/>
  <c r="G3" i="236"/>
  <c r="D3" i="236"/>
  <c r="D1" i="236"/>
  <c r="D106" i="235"/>
  <c r="D98" i="235"/>
  <c r="D90" i="235"/>
  <c r="G86" i="235"/>
  <c r="Q83" i="235"/>
  <c r="P83" i="235"/>
  <c r="O83" i="235"/>
  <c r="N83" i="235"/>
  <c r="M83" i="235"/>
  <c r="L83" i="235"/>
  <c r="K83" i="235"/>
  <c r="J83" i="235"/>
  <c r="I83" i="235"/>
  <c r="H83" i="235"/>
  <c r="G83" i="235"/>
  <c r="D82" i="235"/>
  <c r="Q76" i="235"/>
  <c r="P76" i="235"/>
  <c r="D56" i="235"/>
  <c r="P47" i="235"/>
  <c r="O47" i="235"/>
  <c r="M47" i="235"/>
  <c r="L47" i="235"/>
  <c r="J47" i="235"/>
  <c r="I47" i="235"/>
  <c r="H47" i="235"/>
  <c r="G47" i="235"/>
  <c r="D46" i="235"/>
  <c r="P45" i="235"/>
  <c r="O45" i="235"/>
  <c r="N45" i="235"/>
  <c r="M45" i="235"/>
  <c r="K45" i="235"/>
  <c r="J45" i="235"/>
  <c r="H45" i="235"/>
  <c r="G45" i="235"/>
  <c r="D42" i="235"/>
  <c r="R41" i="235"/>
  <c r="Q40" i="235"/>
  <c r="P40" i="235"/>
  <c r="O40" i="235"/>
  <c r="N40" i="235"/>
  <c r="M40" i="235"/>
  <c r="L40" i="235"/>
  <c r="K40" i="235"/>
  <c r="J40" i="235"/>
  <c r="I40" i="235"/>
  <c r="H40" i="235"/>
  <c r="G40" i="235"/>
  <c r="F40" i="235"/>
  <c r="R40" i="235" s="1"/>
  <c r="R39" i="235"/>
  <c r="R38" i="235"/>
  <c r="N27" i="235"/>
  <c r="D27" i="235"/>
  <c r="H27" i="235" s="1"/>
  <c r="D26" i="235"/>
  <c r="K26" i="235" s="1"/>
  <c r="D24" i="235"/>
  <c r="D16" i="235"/>
  <c r="D14" i="235"/>
  <c r="O14" i="235" s="1"/>
  <c r="L13" i="235"/>
  <c r="K13" i="235"/>
  <c r="D13" i="235"/>
  <c r="P13" i="235" s="1"/>
  <c r="D12" i="235"/>
  <c r="M12" i="235" s="1"/>
  <c r="L10" i="235"/>
  <c r="D10" i="235"/>
  <c r="P3" i="235"/>
  <c r="J3" i="235"/>
  <c r="D3" i="235"/>
  <c r="N3" i="235" s="1"/>
  <c r="D1" i="235"/>
  <c r="D107" i="235" s="1"/>
  <c r="D95" i="235" s="1"/>
  <c r="G86" i="234"/>
  <c r="Q83" i="234"/>
  <c r="P83" i="234"/>
  <c r="O83" i="234"/>
  <c r="N83" i="234"/>
  <c r="M83" i="234"/>
  <c r="L83" i="234"/>
  <c r="K83" i="234"/>
  <c r="J83" i="234"/>
  <c r="I83" i="234"/>
  <c r="H83" i="234"/>
  <c r="G83" i="234"/>
  <c r="Q76" i="234"/>
  <c r="P76" i="234"/>
  <c r="D56" i="234"/>
  <c r="D55" i="234"/>
  <c r="P47" i="234"/>
  <c r="O47" i="234"/>
  <c r="M47" i="234"/>
  <c r="L47" i="234"/>
  <c r="J47" i="234"/>
  <c r="I47" i="234"/>
  <c r="H47" i="234"/>
  <c r="G47" i="234"/>
  <c r="P45" i="234"/>
  <c r="O45" i="234"/>
  <c r="N45" i="234"/>
  <c r="M45" i="234"/>
  <c r="K45" i="234"/>
  <c r="J45" i="234"/>
  <c r="H45" i="234"/>
  <c r="G45" i="234"/>
  <c r="R41" i="234"/>
  <c r="Q40" i="234"/>
  <c r="P40" i="234"/>
  <c r="O40" i="234"/>
  <c r="N40" i="234"/>
  <c r="M40" i="234"/>
  <c r="L40" i="234"/>
  <c r="K40" i="234"/>
  <c r="J40" i="234"/>
  <c r="I40" i="234"/>
  <c r="H40" i="234"/>
  <c r="G40" i="234"/>
  <c r="F40" i="234"/>
  <c r="R40" i="234" s="1"/>
  <c r="R39" i="234"/>
  <c r="R38" i="234"/>
  <c r="D4" i="234"/>
  <c r="D1" i="234"/>
  <c r="D66" i="234" s="1"/>
  <c r="D104" i="233"/>
  <c r="D94" i="233" s="1"/>
  <c r="D103" i="233"/>
  <c r="D102" i="233"/>
  <c r="D89" i="233"/>
  <c r="G86" i="233"/>
  <c r="Q83" i="233"/>
  <c r="P83" i="233"/>
  <c r="O83" i="233"/>
  <c r="N83" i="233"/>
  <c r="M83" i="233"/>
  <c r="L83" i="233"/>
  <c r="K83" i="233"/>
  <c r="J83" i="233"/>
  <c r="I83" i="233"/>
  <c r="H83" i="233"/>
  <c r="G83" i="233"/>
  <c r="D82" i="233"/>
  <c r="Q76" i="233"/>
  <c r="P76" i="233"/>
  <c r="D74" i="233"/>
  <c r="F74" i="233" s="1"/>
  <c r="D63" i="233"/>
  <c r="F63" i="233" s="1"/>
  <c r="D61" i="233"/>
  <c r="M61" i="233" s="1"/>
  <c r="D55" i="233"/>
  <c r="G55" i="233" s="1"/>
  <c r="P47" i="233"/>
  <c r="O47" i="233"/>
  <c r="M47" i="233"/>
  <c r="L47" i="233"/>
  <c r="J47" i="233"/>
  <c r="I47" i="233"/>
  <c r="H47" i="233"/>
  <c r="G47" i="233"/>
  <c r="P45" i="233"/>
  <c r="O45" i="233"/>
  <c r="N45" i="233"/>
  <c r="M45" i="233"/>
  <c r="K45" i="233"/>
  <c r="J45" i="233"/>
  <c r="H45" i="233"/>
  <c r="G45" i="233"/>
  <c r="D44" i="233"/>
  <c r="L44" i="233" s="1"/>
  <c r="L45" i="233" s="1"/>
  <c r="R41" i="233"/>
  <c r="Q40" i="233"/>
  <c r="P40" i="233"/>
  <c r="O40" i="233"/>
  <c r="N40" i="233"/>
  <c r="M40" i="233"/>
  <c r="L40" i="233"/>
  <c r="K40" i="233"/>
  <c r="J40" i="233"/>
  <c r="I40" i="233"/>
  <c r="H40" i="233"/>
  <c r="G40" i="233"/>
  <c r="F40" i="233"/>
  <c r="R40" i="233" s="1"/>
  <c r="R39" i="233"/>
  <c r="R38" i="233"/>
  <c r="D29" i="233"/>
  <c r="D15" i="233"/>
  <c r="F11" i="233"/>
  <c r="R11" i="233" s="1"/>
  <c r="D11" i="233"/>
  <c r="P9" i="233"/>
  <c r="J9" i="233"/>
  <c r="D9" i="233"/>
  <c r="O9" i="233" s="1"/>
  <c r="M8" i="233"/>
  <c r="L8" i="233"/>
  <c r="G8" i="233"/>
  <c r="F8" i="233"/>
  <c r="D8" i="233"/>
  <c r="P6" i="233"/>
  <c r="J6" i="233"/>
  <c r="D6" i="233"/>
  <c r="O6" i="233" s="1"/>
  <c r="M5" i="233"/>
  <c r="L5" i="233"/>
  <c r="G5" i="233"/>
  <c r="F5" i="233"/>
  <c r="D5" i="233"/>
  <c r="P3" i="233"/>
  <c r="J3" i="233"/>
  <c r="D3" i="233"/>
  <c r="O3" i="233" s="1"/>
  <c r="D2" i="233"/>
  <c r="D1" i="233"/>
  <c r="D33" i="233" s="1"/>
  <c r="D106" i="232"/>
  <c r="D103" i="232"/>
  <c r="D102" i="232"/>
  <c r="D101" i="232"/>
  <c r="D91" i="232"/>
  <c r="G86" i="232"/>
  <c r="Q83" i="232"/>
  <c r="P83" i="232"/>
  <c r="O83" i="232"/>
  <c r="N83" i="232"/>
  <c r="M83" i="232"/>
  <c r="L83" i="232"/>
  <c r="K83" i="232"/>
  <c r="J83" i="232"/>
  <c r="I83" i="232"/>
  <c r="H83" i="232"/>
  <c r="G83" i="232"/>
  <c r="D82" i="232"/>
  <c r="Q76" i="232"/>
  <c r="P76" i="232"/>
  <c r="F73" i="232"/>
  <c r="D73" i="232"/>
  <c r="D72" i="232"/>
  <c r="D65" i="232"/>
  <c r="M64" i="232"/>
  <c r="D64" i="232"/>
  <c r="H64" i="232" s="1"/>
  <c r="D63" i="232"/>
  <c r="O61" i="232"/>
  <c r="K61" i="232"/>
  <c r="I61" i="232"/>
  <c r="D61" i="232"/>
  <c r="P61" i="232" s="1"/>
  <c r="O59" i="232"/>
  <c r="N59" i="232"/>
  <c r="D59" i="232"/>
  <c r="H59" i="232" s="1"/>
  <c r="M58" i="232"/>
  <c r="D58" i="232"/>
  <c r="D57" i="232"/>
  <c r="P56" i="232"/>
  <c r="D56" i="232"/>
  <c r="D52" i="232"/>
  <c r="D51" i="232"/>
  <c r="P47" i="232"/>
  <c r="O47" i="232"/>
  <c r="M47" i="232"/>
  <c r="L47" i="232"/>
  <c r="J47" i="232"/>
  <c r="I47" i="232"/>
  <c r="H47" i="232"/>
  <c r="G47" i="232"/>
  <c r="D47" i="232"/>
  <c r="D46" i="232"/>
  <c r="P45" i="232"/>
  <c r="O45" i="232"/>
  <c r="N45" i="232"/>
  <c r="M45" i="232"/>
  <c r="K45" i="232"/>
  <c r="J45" i="232"/>
  <c r="H45" i="232"/>
  <c r="G45" i="232"/>
  <c r="R44" i="232"/>
  <c r="D44" i="232"/>
  <c r="L44" i="232" s="1"/>
  <c r="L45" i="232" s="1"/>
  <c r="R41" i="232"/>
  <c r="Q40" i="232"/>
  <c r="P40" i="232"/>
  <c r="O40" i="232"/>
  <c r="N40" i="232"/>
  <c r="M40" i="232"/>
  <c r="L40" i="232"/>
  <c r="K40" i="232"/>
  <c r="J40" i="232"/>
  <c r="I40" i="232"/>
  <c r="H40" i="232"/>
  <c r="G40" i="232"/>
  <c r="F40" i="232"/>
  <c r="R39" i="232"/>
  <c r="R38" i="232"/>
  <c r="D32" i="232"/>
  <c r="M32" i="232" s="1"/>
  <c r="J31" i="232"/>
  <c r="G31" i="232"/>
  <c r="D31" i="232"/>
  <c r="L30" i="232"/>
  <c r="K30" i="232"/>
  <c r="I30" i="232"/>
  <c r="D30" i="232"/>
  <c r="N30" i="232" s="1"/>
  <c r="D11" i="232"/>
  <c r="F11" i="232" s="1"/>
  <c r="D10" i="232"/>
  <c r="M10" i="232" s="1"/>
  <c r="D9" i="232"/>
  <c r="D8" i="232"/>
  <c r="M8" i="232" s="1"/>
  <c r="D7" i="232"/>
  <c r="D6" i="232"/>
  <c r="K6" i="232" s="1"/>
  <c r="D2" i="232"/>
  <c r="D1" i="232"/>
  <c r="D107" i="231"/>
  <c r="D95" i="231" s="1"/>
  <c r="D106" i="231"/>
  <c r="D103" i="231"/>
  <c r="D100" i="231"/>
  <c r="D98" i="231"/>
  <c r="D90" i="231"/>
  <c r="L88" i="231"/>
  <c r="F88" i="231"/>
  <c r="D88" i="231"/>
  <c r="G86" i="231"/>
  <c r="Q83" i="231"/>
  <c r="P83" i="231"/>
  <c r="O83" i="231"/>
  <c r="N83" i="231"/>
  <c r="M83" i="231"/>
  <c r="L83" i="231"/>
  <c r="K83" i="231"/>
  <c r="J83" i="231"/>
  <c r="I83" i="231"/>
  <c r="H83" i="231"/>
  <c r="G83" i="231"/>
  <c r="R80" i="231"/>
  <c r="F80" i="231"/>
  <c r="D80" i="231"/>
  <c r="Q76" i="231"/>
  <c r="P76" i="231"/>
  <c r="D74" i="231"/>
  <c r="D62" i="231"/>
  <c r="P55" i="231"/>
  <c r="F55" i="231"/>
  <c r="D55" i="231"/>
  <c r="P47" i="231"/>
  <c r="O47" i="231"/>
  <c r="M47" i="231"/>
  <c r="L47" i="231"/>
  <c r="J47" i="231"/>
  <c r="I47" i="231"/>
  <c r="H47" i="231"/>
  <c r="G47" i="231"/>
  <c r="P45" i="231"/>
  <c r="O45" i="231"/>
  <c r="N45" i="231"/>
  <c r="M45" i="231"/>
  <c r="K45" i="231"/>
  <c r="J45" i="231"/>
  <c r="H45" i="231"/>
  <c r="G45" i="231"/>
  <c r="F45" i="231"/>
  <c r="R43" i="231"/>
  <c r="D43" i="231"/>
  <c r="F43" i="231" s="1"/>
  <c r="D42" i="231"/>
  <c r="R41" i="231"/>
  <c r="Q40" i="231"/>
  <c r="P40" i="231"/>
  <c r="O40" i="231"/>
  <c r="N40" i="231"/>
  <c r="M40" i="231"/>
  <c r="L40" i="231"/>
  <c r="K40" i="231"/>
  <c r="J40" i="231"/>
  <c r="I40" i="231"/>
  <c r="H40" i="231"/>
  <c r="G40" i="231"/>
  <c r="F40" i="231"/>
  <c r="R40" i="231" s="1"/>
  <c r="R39" i="231"/>
  <c r="R38" i="231"/>
  <c r="N33" i="231"/>
  <c r="L33" i="231"/>
  <c r="D33" i="231"/>
  <c r="P28" i="231"/>
  <c r="O28" i="231"/>
  <c r="H28" i="231"/>
  <c r="G28" i="231"/>
  <c r="D28" i="231"/>
  <c r="P27" i="231"/>
  <c r="M27" i="231"/>
  <c r="L27" i="231"/>
  <c r="I27" i="231"/>
  <c r="G27" i="231"/>
  <c r="F27" i="231"/>
  <c r="D27" i="231"/>
  <c r="O26" i="231"/>
  <c r="N26" i="231"/>
  <c r="M26" i="231"/>
  <c r="K26" i="231"/>
  <c r="F26" i="231"/>
  <c r="D26" i="231"/>
  <c r="D24" i="231"/>
  <c r="N17" i="231"/>
  <c r="M17" i="231"/>
  <c r="F17" i="231"/>
  <c r="D17" i="231"/>
  <c r="F15" i="231"/>
  <c r="D15" i="231"/>
  <c r="P13" i="231"/>
  <c r="O13" i="231"/>
  <c r="K13" i="231"/>
  <c r="J13" i="231"/>
  <c r="I13" i="231"/>
  <c r="H13" i="231"/>
  <c r="F13" i="231"/>
  <c r="D13" i="231"/>
  <c r="N12" i="231"/>
  <c r="L12" i="231"/>
  <c r="K12" i="231"/>
  <c r="D12" i="231"/>
  <c r="D11" i="231"/>
  <c r="F11" i="231" s="1"/>
  <c r="R11" i="231" s="1"/>
  <c r="P10" i="231"/>
  <c r="O10" i="231"/>
  <c r="N10" i="231"/>
  <c r="K10" i="231"/>
  <c r="J10" i="231"/>
  <c r="I10" i="231"/>
  <c r="H10" i="231"/>
  <c r="G10" i="231"/>
  <c r="D10" i="231"/>
  <c r="P9" i="231"/>
  <c r="O9" i="231"/>
  <c r="M9" i="231"/>
  <c r="J9" i="231"/>
  <c r="I9" i="231"/>
  <c r="G9" i="231"/>
  <c r="F9" i="231"/>
  <c r="D9" i="231"/>
  <c r="O8" i="231"/>
  <c r="N8" i="231"/>
  <c r="M8" i="231"/>
  <c r="I8" i="231"/>
  <c r="H8" i="231"/>
  <c r="G8" i="231"/>
  <c r="F8" i="231"/>
  <c r="D8" i="231"/>
  <c r="O7" i="231"/>
  <c r="D7" i="231"/>
  <c r="O6" i="231"/>
  <c r="D6" i="231"/>
  <c r="N5" i="231"/>
  <c r="D5" i="231"/>
  <c r="N4" i="231"/>
  <c r="D4" i="231"/>
  <c r="M3" i="231"/>
  <c r="D3" i="231"/>
  <c r="F3" i="231" s="1"/>
  <c r="D2" i="231"/>
  <c r="D1" i="231"/>
  <c r="G86" i="230"/>
  <c r="Q83" i="230"/>
  <c r="P83" i="230"/>
  <c r="O83" i="230"/>
  <c r="N83" i="230"/>
  <c r="M83" i="230"/>
  <c r="L83" i="230"/>
  <c r="K83" i="230"/>
  <c r="J83" i="230"/>
  <c r="I83" i="230"/>
  <c r="H83" i="230"/>
  <c r="G83" i="230"/>
  <c r="Q76" i="230"/>
  <c r="P76" i="230"/>
  <c r="D59" i="230"/>
  <c r="D56" i="230"/>
  <c r="P47" i="230"/>
  <c r="O47" i="230"/>
  <c r="M47" i="230"/>
  <c r="L47" i="230"/>
  <c r="J47" i="230"/>
  <c r="I47" i="230"/>
  <c r="H47" i="230"/>
  <c r="G47" i="230"/>
  <c r="P45" i="230"/>
  <c r="O45" i="230"/>
  <c r="N45" i="230"/>
  <c r="M45" i="230"/>
  <c r="K45" i="230"/>
  <c r="J45" i="230"/>
  <c r="H45" i="230"/>
  <c r="G45" i="230"/>
  <c r="D44" i="230"/>
  <c r="D42" i="230"/>
  <c r="R41" i="230"/>
  <c r="Q40" i="230"/>
  <c r="P40" i="230"/>
  <c r="O40" i="230"/>
  <c r="N40" i="230"/>
  <c r="M40" i="230"/>
  <c r="L40" i="230"/>
  <c r="K40" i="230"/>
  <c r="J40" i="230"/>
  <c r="I40" i="230"/>
  <c r="H40" i="230"/>
  <c r="G40" i="230"/>
  <c r="F40" i="230"/>
  <c r="R40" i="230" s="1"/>
  <c r="R39" i="230"/>
  <c r="R38" i="230"/>
  <c r="K33" i="230"/>
  <c r="J33" i="230"/>
  <c r="D33" i="230"/>
  <c r="P30" i="230"/>
  <c r="J30" i="230"/>
  <c r="D30" i="230"/>
  <c r="K30" i="230" s="1"/>
  <c r="L27" i="230"/>
  <c r="J27" i="230"/>
  <c r="D27" i="230"/>
  <c r="P27" i="230" s="1"/>
  <c r="N26" i="230"/>
  <c r="K26" i="230"/>
  <c r="D26" i="230"/>
  <c r="F24" i="230"/>
  <c r="D24" i="230"/>
  <c r="P13" i="230"/>
  <c r="F13" i="230"/>
  <c r="D13" i="230"/>
  <c r="F12" i="230"/>
  <c r="D12" i="230"/>
  <c r="P10" i="230"/>
  <c r="O10" i="230"/>
  <c r="K10" i="230"/>
  <c r="J10" i="230"/>
  <c r="I10" i="230"/>
  <c r="D10" i="230"/>
  <c r="M9" i="230"/>
  <c r="L9" i="230"/>
  <c r="K9" i="230"/>
  <c r="F9" i="230"/>
  <c r="D9" i="230"/>
  <c r="O7" i="230"/>
  <c r="D7" i="230"/>
  <c r="J7" i="230" s="1"/>
  <c r="D6" i="230"/>
  <c r="P4" i="230"/>
  <c r="O4" i="230"/>
  <c r="K4" i="230"/>
  <c r="J4" i="230"/>
  <c r="I4" i="230"/>
  <c r="D4" i="230"/>
  <c r="M3" i="230"/>
  <c r="L3" i="230"/>
  <c r="K3" i="230"/>
  <c r="F3" i="230"/>
  <c r="D3" i="230"/>
  <c r="D1" i="230"/>
  <c r="D106" i="229"/>
  <c r="D93" i="229" s="1"/>
  <c r="D103" i="229"/>
  <c r="D102" i="229"/>
  <c r="D99" i="229"/>
  <c r="G93" i="229"/>
  <c r="G86" i="229"/>
  <c r="Q83" i="229"/>
  <c r="P83" i="229"/>
  <c r="O83" i="229"/>
  <c r="N83" i="229"/>
  <c r="M83" i="229"/>
  <c r="L83" i="229"/>
  <c r="K83" i="229"/>
  <c r="J83" i="229"/>
  <c r="I83" i="229"/>
  <c r="H83" i="229"/>
  <c r="G83" i="229"/>
  <c r="Q76" i="229"/>
  <c r="P76" i="229"/>
  <c r="D75" i="229"/>
  <c r="D72" i="229"/>
  <c r="D69" i="229"/>
  <c r="N65" i="229"/>
  <c r="D65" i="229"/>
  <c r="F65" i="229" s="1"/>
  <c r="N57" i="229"/>
  <c r="D57" i="229"/>
  <c r="K57" i="229" s="1"/>
  <c r="P56" i="229"/>
  <c r="D56" i="229"/>
  <c r="J56" i="229" s="1"/>
  <c r="D54" i="229"/>
  <c r="D51" i="229"/>
  <c r="P47" i="229"/>
  <c r="O47" i="229"/>
  <c r="M47" i="229"/>
  <c r="L47" i="229"/>
  <c r="J47" i="229"/>
  <c r="I47" i="229"/>
  <c r="H47" i="229"/>
  <c r="G47" i="229"/>
  <c r="F46" i="229"/>
  <c r="F47" i="229" s="1"/>
  <c r="D46" i="229"/>
  <c r="P45" i="229"/>
  <c r="O45" i="229"/>
  <c r="N45" i="229"/>
  <c r="M45" i="229"/>
  <c r="K45" i="229"/>
  <c r="J45" i="229"/>
  <c r="H45" i="229"/>
  <c r="G45" i="229"/>
  <c r="D44" i="229"/>
  <c r="L44" i="229" s="1"/>
  <c r="L45" i="229" s="1"/>
  <c r="D43" i="229"/>
  <c r="R41" i="229"/>
  <c r="Q40" i="229"/>
  <c r="P40" i="229"/>
  <c r="O40" i="229"/>
  <c r="N40" i="229"/>
  <c r="M40" i="229"/>
  <c r="L40" i="229"/>
  <c r="K40" i="229"/>
  <c r="J40" i="229"/>
  <c r="I40" i="229"/>
  <c r="H40" i="229"/>
  <c r="G40" i="229"/>
  <c r="F40" i="229"/>
  <c r="R39" i="229"/>
  <c r="R38" i="229"/>
  <c r="D36" i="229"/>
  <c r="F36" i="229" s="1"/>
  <c r="M33" i="229"/>
  <c r="I33" i="229"/>
  <c r="D33" i="229"/>
  <c r="N33" i="229" s="1"/>
  <c r="D31" i="229"/>
  <c r="K30" i="229"/>
  <c r="H30" i="229"/>
  <c r="D30" i="229"/>
  <c r="N30" i="229" s="1"/>
  <c r="M26" i="229"/>
  <c r="I26" i="229"/>
  <c r="D26" i="229"/>
  <c r="P26" i="229" s="1"/>
  <c r="D24" i="229"/>
  <c r="F24" i="229" s="1"/>
  <c r="O16" i="229"/>
  <c r="K16" i="229"/>
  <c r="I16" i="229"/>
  <c r="F16" i="229"/>
  <c r="D16" i="229"/>
  <c r="L16" i="229" s="1"/>
  <c r="O14" i="229"/>
  <c r="K14" i="229"/>
  <c r="I14" i="229"/>
  <c r="F14" i="229"/>
  <c r="D14" i="229"/>
  <c r="L14" i="229" s="1"/>
  <c r="P13" i="229"/>
  <c r="N13" i="229"/>
  <c r="G13" i="229"/>
  <c r="D13" i="229"/>
  <c r="D11" i="229"/>
  <c r="F11" i="229" s="1"/>
  <c r="M10" i="229"/>
  <c r="L10" i="229"/>
  <c r="F10" i="229"/>
  <c r="D10" i="229"/>
  <c r="M9" i="229"/>
  <c r="L9" i="229"/>
  <c r="F9" i="229"/>
  <c r="D9" i="229"/>
  <c r="D8" i="229"/>
  <c r="M8" i="229" s="1"/>
  <c r="L7" i="229"/>
  <c r="D7" i="229"/>
  <c r="D6" i="229"/>
  <c r="D2" i="229"/>
  <c r="D1" i="229"/>
  <c r="D107" i="228"/>
  <c r="D95" i="228" s="1"/>
  <c r="D106" i="228"/>
  <c r="D105" i="228"/>
  <c r="D90" i="228"/>
  <c r="G86" i="228"/>
  <c r="Q83" i="228"/>
  <c r="P83" i="228"/>
  <c r="O83" i="228"/>
  <c r="N83" i="228"/>
  <c r="M83" i="228"/>
  <c r="L83" i="228"/>
  <c r="K83" i="228"/>
  <c r="J83" i="228"/>
  <c r="I83" i="228"/>
  <c r="H83" i="228"/>
  <c r="G83" i="228"/>
  <c r="Q76" i="228"/>
  <c r="P76" i="228"/>
  <c r="I73" i="228"/>
  <c r="D73" i="228"/>
  <c r="D66" i="228"/>
  <c r="D65" i="228"/>
  <c r="D63" i="228"/>
  <c r="D60" i="228"/>
  <c r="F60" i="228" s="1"/>
  <c r="D56" i="228"/>
  <c r="D52" i="228"/>
  <c r="F51" i="228"/>
  <c r="D51" i="228"/>
  <c r="P47" i="228"/>
  <c r="O47" i="228"/>
  <c r="M47" i="228"/>
  <c r="L47" i="228"/>
  <c r="J47" i="228"/>
  <c r="I47" i="228"/>
  <c r="H47" i="228"/>
  <c r="G47" i="228"/>
  <c r="D46" i="228"/>
  <c r="N46" i="228" s="1"/>
  <c r="N47" i="228" s="1"/>
  <c r="P45" i="228"/>
  <c r="O45" i="228"/>
  <c r="N45" i="228"/>
  <c r="M45" i="228"/>
  <c r="K45" i="228"/>
  <c r="J45" i="228"/>
  <c r="H45" i="228"/>
  <c r="G45" i="228"/>
  <c r="D44" i="228"/>
  <c r="R41" i="228"/>
  <c r="Q40" i="228"/>
  <c r="P40" i="228"/>
  <c r="O40" i="228"/>
  <c r="N40" i="228"/>
  <c r="M40" i="228"/>
  <c r="L40" i="228"/>
  <c r="K40" i="228"/>
  <c r="J40" i="228"/>
  <c r="I40" i="228"/>
  <c r="H40" i="228"/>
  <c r="G40" i="228"/>
  <c r="F40" i="228"/>
  <c r="R39" i="228"/>
  <c r="R38" i="228"/>
  <c r="L32" i="228"/>
  <c r="K32" i="228"/>
  <c r="N16" i="228"/>
  <c r="K16" i="228"/>
  <c r="D16" i="228"/>
  <c r="N14" i="228"/>
  <c r="D14" i="228"/>
  <c r="D11" i="228"/>
  <c r="D1" i="228"/>
  <c r="D32" i="228" s="1"/>
  <c r="G86" i="227"/>
  <c r="Q83" i="227"/>
  <c r="P83" i="227"/>
  <c r="O83" i="227"/>
  <c r="N83" i="227"/>
  <c r="M83" i="227"/>
  <c r="L83" i="227"/>
  <c r="K83" i="227"/>
  <c r="J83" i="227"/>
  <c r="I83" i="227"/>
  <c r="H83" i="227"/>
  <c r="G83" i="227"/>
  <c r="Q76" i="227"/>
  <c r="P76" i="227"/>
  <c r="P47" i="227"/>
  <c r="O47" i="227"/>
  <c r="M47" i="227"/>
  <c r="L47" i="227"/>
  <c r="J47" i="227"/>
  <c r="I47" i="227"/>
  <c r="H47" i="227"/>
  <c r="G47" i="227"/>
  <c r="P45" i="227"/>
  <c r="O45" i="227"/>
  <c r="N45" i="227"/>
  <c r="M45" i="227"/>
  <c r="K45" i="227"/>
  <c r="J45" i="227"/>
  <c r="H45" i="227"/>
  <c r="G45" i="227"/>
  <c r="R41" i="227"/>
  <c r="Q40" i="227"/>
  <c r="P40" i="227"/>
  <c r="O40" i="227"/>
  <c r="N40" i="227"/>
  <c r="M40" i="227"/>
  <c r="L40" i="227"/>
  <c r="K40" i="227"/>
  <c r="J40" i="227"/>
  <c r="I40" i="227"/>
  <c r="H40" i="227"/>
  <c r="G40" i="227"/>
  <c r="F40" i="227"/>
  <c r="R40" i="227" s="1"/>
  <c r="R39" i="227"/>
  <c r="R38" i="227"/>
  <c r="D1" i="227"/>
  <c r="D99" i="227" s="1"/>
  <c r="D97" i="226"/>
  <c r="G86" i="226"/>
  <c r="Q83" i="226"/>
  <c r="P83" i="226"/>
  <c r="O83" i="226"/>
  <c r="N83" i="226"/>
  <c r="M83" i="226"/>
  <c r="L83" i="226"/>
  <c r="K83" i="226"/>
  <c r="J83" i="226"/>
  <c r="I83" i="226"/>
  <c r="H83" i="226"/>
  <c r="G83" i="226"/>
  <c r="D82" i="226"/>
  <c r="Q76" i="226"/>
  <c r="P76" i="226"/>
  <c r="D68" i="226"/>
  <c r="F64" i="226"/>
  <c r="D64" i="226"/>
  <c r="D59" i="226"/>
  <c r="D58" i="226"/>
  <c r="F50" i="226"/>
  <c r="D50" i="226"/>
  <c r="P47" i="226"/>
  <c r="O47" i="226"/>
  <c r="M47" i="226"/>
  <c r="L47" i="226"/>
  <c r="J47" i="226"/>
  <c r="I47" i="226"/>
  <c r="H47" i="226"/>
  <c r="G47" i="226"/>
  <c r="D46" i="226"/>
  <c r="P45" i="226"/>
  <c r="O45" i="226"/>
  <c r="N45" i="226"/>
  <c r="M45" i="226"/>
  <c r="K45" i="226"/>
  <c r="J45" i="226"/>
  <c r="H45" i="226"/>
  <c r="G45" i="226"/>
  <c r="D44" i="226"/>
  <c r="R41" i="226"/>
  <c r="Q40" i="226"/>
  <c r="P40" i="226"/>
  <c r="O40" i="226"/>
  <c r="N40" i="226"/>
  <c r="M40" i="226"/>
  <c r="L40" i="226"/>
  <c r="K40" i="226"/>
  <c r="J40" i="226"/>
  <c r="I40" i="226"/>
  <c r="H40" i="226"/>
  <c r="G40" i="226"/>
  <c r="F40" i="226"/>
  <c r="R40" i="226" s="1"/>
  <c r="R39" i="226"/>
  <c r="R38" i="226"/>
  <c r="D31" i="226"/>
  <c r="O31" i="226" s="1"/>
  <c r="O28" i="226"/>
  <c r="N28" i="226"/>
  <c r="D28" i="226"/>
  <c r="D16" i="226"/>
  <c r="M14" i="226"/>
  <c r="D14" i="226"/>
  <c r="D11" i="226"/>
  <c r="D10" i="226"/>
  <c r="D1" i="226"/>
  <c r="D100" i="226" s="1"/>
  <c r="D105" i="225"/>
  <c r="G86" i="225"/>
  <c r="Q83" i="225"/>
  <c r="P83" i="225"/>
  <c r="O83" i="225"/>
  <c r="N83" i="225"/>
  <c r="M83" i="225"/>
  <c r="L83" i="225"/>
  <c r="K83" i="225"/>
  <c r="J83" i="225"/>
  <c r="I83" i="225"/>
  <c r="H83" i="225"/>
  <c r="G83" i="225"/>
  <c r="D80" i="225"/>
  <c r="F80" i="225" s="1"/>
  <c r="Q76" i="225"/>
  <c r="P76" i="225"/>
  <c r="D75" i="225"/>
  <c r="N74" i="225"/>
  <c r="D74" i="225"/>
  <c r="D71" i="225"/>
  <c r="D67" i="225"/>
  <c r="H67" i="225" s="1"/>
  <c r="D60" i="225"/>
  <c r="F60" i="225" s="1"/>
  <c r="D55" i="225"/>
  <c r="M55" i="225" s="1"/>
  <c r="D54" i="225"/>
  <c r="K54" i="225" s="1"/>
  <c r="N53" i="225"/>
  <c r="D53" i="225"/>
  <c r="M49" i="225"/>
  <c r="I49" i="225"/>
  <c r="H49" i="225"/>
  <c r="D49" i="225"/>
  <c r="P47" i="225"/>
  <c r="O47" i="225"/>
  <c r="M47" i="225"/>
  <c r="L47" i="225"/>
  <c r="J47" i="225"/>
  <c r="I47" i="225"/>
  <c r="H47" i="225"/>
  <c r="G47" i="225"/>
  <c r="D47" i="225"/>
  <c r="D46" i="225"/>
  <c r="P45" i="225"/>
  <c r="O45" i="225"/>
  <c r="N45" i="225"/>
  <c r="M45" i="225"/>
  <c r="K45" i="225"/>
  <c r="J45" i="225"/>
  <c r="H45" i="225"/>
  <c r="G45" i="225"/>
  <c r="R41" i="225"/>
  <c r="Q40" i="225"/>
  <c r="P40" i="225"/>
  <c r="O40" i="225"/>
  <c r="N40" i="225"/>
  <c r="M40" i="225"/>
  <c r="L40" i="225"/>
  <c r="K40" i="225"/>
  <c r="J40" i="225"/>
  <c r="I40" i="225"/>
  <c r="H40" i="225"/>
  <c r="G40" i="225"/>
  <c r="F40" i="225"/>
  <c r="R40" i="225" s="1"/>
  <c r="R39" i="225"/>
  <c r="R38" i="225"/>
  <c r="D32" i="225"/>
  <c r="N32" i="225" s="1"/>
  <c r="D31" i="225"/>
  <c r="H31" i="225" s="1"/>
  <c r="D29" i="225"/>
  <c r="H29" i="225" s="1"/>
  <c r="D28" i="225"/>
  <c r="L28" i="225" s="1"/>
  <c r="D24" i="225"/>
  <c r="P17" i="225"/>
  <c r="K17" i="225"/>
  <c r="J17" i="225"/>
  <c r="G17" i="225"/>
  <c r="D17" i="225"/>
  <c r="M17" i="225" s="1"/>
  <c r="D15" i="225"/>
  <c r="I13" i="225"/>
  <c r="H13" i="225"/>
  <c r="D13" i="225"/>
  <c r="O13" i="225" s="1"/>
  <c r="D11" i="225"/>
  <c r="D10" i="225"/>
  <c r="K8" i="225"/>
  <c r="D8" i="225"/>
  <c r="O8" i="225" s="1"/>
  <c r="K7" i="225"/>
  <c r="D7" i="225"/>
  <c r="P7" i="225" s="1"/>
  <c r="D2" i="225"/>
  <c r="D1" i="225"/>
  <c r="D107" i="224"/>
  <c r="D95" i="224" s="1"/>
  <c r="G86" i="224"/>
  <c r="Q83" i="224"/>
  <c r="P83" i="224"/>
  <c r="O83" i="224"/>
  <c r="N83" i="224"/>
  <c r="M83" i="224"/>
  <c r="L83" i="224"/>
  <c r="K83" i="224"/>
  <c r="J83" i="224"/>
  <c r="I83" i="224"/>
  <c r="H83" i="224"/>
  <c r="G83" i="224"/>
  <c r="D82" i="224"/>
  <c r="Q76" i="224"/>
  <c r="P76" i="224"/>
  <c r="D73" i="224"/>
  <c r="J73" i="224" s="1"/>
  <c r="D66" i="224"/>
  <c r="L66" i="224" s="1"/>
  <c r="D65" i="224"/>
  <c r="D63" i="224"/>
  <c r="D56" i="224"/>
  <c r="D52" i="224"/>
  <c r="D51" i="224"/>
  <c r="P47" i="224"/>
  <c r="O47" i="224"/>
  <c r="M47" i="224"/>
  <c r="L47" i="224"/>
  <c r="J47" i="224"/>
  <c r="I47" i="224"/>
  <c r="H47" i="224"/>
  <c r="G47" i="224"/>
  <c r="P45" i="224"/>
  <c r="O45" i="224"/>
  <c r="N45" i="224"/>
  <c r="M45" i="224"/>
  <c r="K45" i="224"/>
  <c r="J45" i="224"/>
  <c r="H45" i="224"/>
  <c r="G45" i="224"/>
  <c r="D42" i="224"/>
  <c r="R41" i="224"/>
  <c r="Q40" i="224"/>
  <c r="P40" i="224"/>
  <c r="O40" i="224"/>
  <c r="N40" i="224"/>
  <c r="M40" i="224"/>
  <c r="L40" i="224"/>
  <c r="K40" i="224"/>
  <c r="J40" i="224"/>
  <c r="I40" i="224"/>
  <c r="H40" i="224"/>
  <c r="G40" i="224"/>
  <c r="F40" i="224"/>
  <c r="R39" i="224"/>
  <c r="R38" i="224"/>
  <c r="D30" i="224"/>
  <c r="D27" i="224"/>
  <c r="M17" i="224"/>
  <c r="L17" i="224"/>
  <c r="D17" i="224"/>
  <c r="D15" i="224"/>
  <c r="O13" i="224"/>
  <c r="D13" i="224"/>
  <c r="P3" i="224"/>
  <c r="K3" i="224"/>
  <c r="D3" i="224"/>
  <c r="D1" i="224"/>
  <c r="D99" i="224" s="1"/>
  <c r="G86" i="223"/>
  <c r="Q83" i="223"/>
  <c r="P83" i="223"/>
  <c r="O83" i="223"/>
  <c r="N83" i="223"/>
  <c r="M83" i="223"/>
  <c r="L83" i="223"/>
  <c r="K83" i="223"/>
  <c r="J83" i="223"/>
  <c r="I83" i="223"/>
  <c r="H83" i="223"/>
  <c r="G83" i="223"/>
  <c r="Q76" i="223"/>
  <c r="P76" i="223"/>
  <c r="P47" i="223"/>
  <c r="O47" i="223"/>
  <c r="M47" i="223"/>
  <c r="L47" i="223"/>
  <c r="J47" i="223"/>
  <c r="I47" i="223"/>
  <c r="H47" i="223"/>
  <c r="G47" i="223"/>
  <c r="P45" i="223"/>
  <c r="O45" i="223"/>
  <c r="N45" i="223"/>
  <c r="M45" i="223"/>
  <c r="K45" i="223"/>
  <c r="J45" i="223"/>
  <c r="H45" i="223"/>
  <c r="G45" i="223"/>
  <c r="R41" i="223"/>
  <c r="Q40" i="223"/>
  <c r="P40" i="223"/>
  <c r="O40" i="223"/>
  <c r="N40" i="223"/>
  <c r="M40" i="223"/>
  <c r="L40" i="223"/>
  <c r="K40" i="223"/>
  <c r="J40" i="223"/>
  <c r="I40" i="223"/>
  <c r="H40" i="223"/>
  <c r="G40" i="223"/>
  <c r="F40" i="223"/>
  <c r="R39" i="223"/>
  <c r="R38" i="223"/>
  <c r="D1" i="223"/>
  <c r="D102" i="223" s="1"/>
  <c r="D107" i="222"/>
  <c r="D95" i="222" s="1"/>
  <c r="D99" i="222"/>
  <c r="D97" i="222"/>
  <c r="G86" i="222"/>
  <c r="Q83" i="222"/>
  <c r="P83" i="222"/>
  <c r="O83" i="222"/>
  <c r="N83" i="222"/>
  <c r="M83" i="222"/>
  <c r="L83" i="222"/>
  <c r="K83" i="222"/>
  <c r="J83" i="222"/>
  <c r="I83" i="222"/>
  <c r="H83" i="222"/>
  <c r="G83" i="222"/>
  <c r="Q76" i="222"/>
  <c r="P76" i="222"/>
  <c r="F74" i="222"/>
  <c r="D74" i="222"/>
  <c r="D73" i="222"/>
  <c r="D67" i="222"/>
  <c r="D66" i="222"/>
  <c r="N65" i="222"/>
  <c r="D65" i="222"/>
  <c r="K65" i="222" s="1"/>
  <c r="D63" i="222"/>
  <c r="D56" i="222"/>
  <c r="D55" i="222"/>
  <c r="G54" i="222"/>
  <c r="D54" i="222"/>
  <c r="D53" i="222"/>
  <c r="D52" i="222"/>
  <c r="N51" i="222"/>
  <c r="D51" i="222"/>
  <c r="P47" i="222"/>
  <c r="O47" i="222"/>
  <c r="M47" i="222"/>
  <c r="L47" i="222"/>
  <c r="J47" i="222"/>
  <c r="I47" i="222"/>
  <c r="H47" i="222"/>
  <c r="G47" i="222"/>
  <c r="D46" i="222"/>
  <c r="P45" i="222"/>
  <c r="O45" i="222"/>
  <c r="N45" i="222"/>
  <c r="M45" i="222"/>
  <c r="K45" i="222"/>
  <c r="J45" i="222"/>
  <c r="H45" i="222"/>
  <c r="G45" i="222"/>
  <c r="D42" i="222"/>
  <c r="R41" i="222"/>
  <c r="Q40" i="222"/>
  <c r="P40" i="222"/>
  <c r="O40" i="222"/>
  <c r="N40" i="222"/>
  <c r="M40" i="222"/>
  <c r="L40" i="222"/>
  <c r="K40" i="222"/>
  <c r="J40" i="222"/>
  <c r="I40" i="222"/>
  <c r="H40" i="222"/>
  <c r="G40" i="222"/>
  <c r="F40" i="222"/>
  <c r="R40" i="222" s="1"/>
  <c r="R39" i="222"/>
  <c r="R38" i="222"/>
  <c r="D36" i="222"/>
  <c r="F36" i="222" s="1"/>
  <c r="D33" i="222"/>
  <c r="D27" i="222"/>
  <c r="O17" i="222"/>
  <c r="M17" i="222"/>
  <c r="F17" i="222"/>
  <c r="D17" i="222"/>
  <c r="D15" i="222"/>
  <c r="D12" i="222"/>
  <c r="N3" i="222"/>
  <c r="L3" i="222"/>
  <c r="F3" i="222"/>
  <c r="D3" i="222"/>
  <c r="O3" i="222" s="1"/>
  <c r="D2" i="222"/>
  <c r="D1" i="222"/>
  <c r="D105" i="222" s="1"/>
  <c r="D107" i="221"/>
  <c r="D95" i="221" s="1"/>
  <c r="D90" i="221"/>
  <c r="G86" i="221"/>
  <c r="Q83" i="221"/>
  <c r="P83" i="221"/>
  <c r="O83" i="221"/>
  <c r="N83" i="221"/>
  <c r="M83" i="221"/>
  <c r="L83" i="221"/>
  <c r="K83" i="221"/>
  <c r="J83" i="221"/>
  <c r="I83" i="221"/>
  <c r="H83" i="221"/>
  <c r="G83" i="221"/>
  <c r="F82" i="221"/>
  <c r="D82" i="221"/>
  <c r="R82" i="221" s="1"/>
  <c r="D77" i="221"/>
  <c r="Q76" i="221"/>
  <c r="P76" i="221"/>
  <c r="D74" i="221"/>
  <c r="D68" i="221"/>
  <c r="R62" i="221"/>
  <c r="N62" i="221"/>
  <c r="D62" i="221"/>
  <c r="I62" i="221" s="1"/>
  <c r="L61" i="221"/>
  <c r="G61" i="221"/>
  <c r="F61" i="221"/>
  <c r="D61" i="221"/>
  <c r="O61" i="221" s="1"/>
  <c r="P47" i="221"/>
  <c r="O47" i="221"/>
  <c r="M47" i="221"/>
  <c r="L47" i="221"/>
  <c r="J47" i="221"/>
  <c r="I47" i="221"/>
  <c r="H47" i="221"/>
  <c r="G47" i="221"/>
  <c r="P45" i="221"/>
  <c r="O45" i="221"/>
  <c r="N45" i="221"/>
  <c r="M45" i="221"/>
  <c r="K45" i="221"/>
  <c r="J45" i="221"/>
  <c r="H45" i="221"/>
  <c r="G45" i="221"/>
  <c r="D42" i="221"/>
  <c r="I42" i="221" s="1"/>
  <c r="I45" i="221" s="1"/>
  <c r="R41" i="221"/>
  <c r="Q40" i="221"/>
  <c r="P40" i="221"/>
  <c r="O40" i="221"/>
  <c r="N40" i="221"/>
  <c r="M40" i="221"/>
  <c r="L40" i="221"/>
  <c r="K40" i="221"/>
  <c r="J40" i="221"/>
  <c r="I40" i="221"/>
  <c r="H40" i="221"/>
  <c r="G40" i="221"/>
  <c r="F40" i="221"/>
  <c r="R40" i="221" s="1"/>
  <c r="R39" i="221"/>
  <c r="R38" i="221"/>
  <c r="P33" i="221"/>
  <c r="I33" i="221"/>
  <c r="H33" i="221"/>
  <c r="F33" i="221"/>
  <c r="D33" i="221"/>
  <c r="N33" i="221" s="1"/>
  <c r="P31" i="221"/>
  <c r="O31" i="221"/>
  <c r="H31" i="221"/>
  <c r="D31" i="221"/>
  <c r="M30" i="221"/>
  <c r="L30" i="221"/>
  <c r="K30" i="221"/>
  <c r="D30" i="221"/>
  <c r="D28" i="221"/>
  <c r="O26" i="221"/>
  <c r="N26" i="221"/>
  <c r="M26" i="221"/>
  <c r="D26" i="221"/>
  <c r="D24" i="221"/>
  <c r="N17" i="221"/>
  <c r="M17" i="221"/>
  <c r="L17" i="221"/>
  <c r="H17" i="221"/>
  <c r="G17" i="221"/>
  <c r="F17" i="221"/>
  <c r="D17" i="221"/>
  <c r="F15" i="221"/>
  <c r="D15" i="221"/>
  <c r="P13" i="221"/>
  <c r="K13" i="221"/>
  <c r="J13" i="221"/>
  <c r="F13" i="221"/>
  <c r="D13" i="221"/>
  <c r="L13" i="221" s="1"/>
  <c r="K12" i="221"/>
  <c r="J12" i="221"/>
  <c r="F12" i="221"/>
  <c r="D12" i="221"/>
  <c r="L12" i="221" s="1"/>
  <c r="P10" i="221"/>
  <c r="O10" i="221"/>
  <c r="K10" i="221"/>
  <c r="J10" i="221"/>
  <c r="I10" i="221"/>
  <c r="D10" i="221"/>
  <c r="M9" i="221"/>
  <c r="D9" i="221"/>
  <c r="K9" i="221" s="1"/>
  <c r="D7" i="221"/>
  <c r="O7" i="221" s="1"/>
  <c r="L6" i="221"/>
  <c r="K6" i="221"/>
  <c r="G6" i="221"/>
  <c r="D6" i="221"/>
  <c r="M6" i="221" s="1"/>
  <c r="P4" i="221"/>
  <c r="O4" i="221"/>
  <c r="K4" i="221"/>
  <c r="I4" i="221"/>
  <c r="D4" i="221"/>
  <c r="M3" i="221"/>
  <c r="D3" i="221"/>
  <c r="K3" i="221" s="1"/>
  <c r="D1" i="221"/>
  <c r="D105" i="220"/>
  <c r="D102" i="220"/>
  <c r="D91" i="220"/>
  <c r="G86" i="220"/>
  <c r="Q83" i="220"/>
  <c r="P83" i="220"/>
  <c r="O83" i="220"/>
  <c r="N83" i="220"/>
  <c r="M83" i="220"/>
  <c r="L83" i="220"/>
  <c r="K83" i="220"/>
  <c r="J83" i="220"/>
  <c r="I83" i="220"/>
  <c r="H83" i="220"/>
  <c r="G83" i="220"/>
  <c r="Q76" i="220"/>
  <c r="P76" i="220"/>
  <c r="D73" i="220"/>
  <c r="D72" i="220"/>
  <c r="L72" i="220" s="1"/>
  <c r="F69" i="220"/>
  <c r="D69" i="220"/>
  <c r="D68" i="220"/>
  <c r="F68" i="220" s="1"/>
  <c r="D67" i="220"/>
  <c r="N65" i="220"/>
  <c r="D65" i="220"/>
  <c r="D63" i="220"/>
  <c r="D57" i="220"/>
  <c r="F57" i="220" s="1"/>
  <c r="D56" i="220"/>
  <c r="J56" i="220" s="1"/>
  <c r="D55" i="220"/>
  <c r="D54" i="220"/>
  <c r="D52" i="220"/>
  <c r="D51" i="220"/>
  <c r="H51" i="220" s="1"/>
  <c r="N49" i="220"/>
  <c r="D49" i="220"/>
  <c r="K49" i="220" s="1"/>
  <c r="P47" i="220"/>
  <c r="O47" i="220"/>
  <c r="M47" i="220"/>
  <c r="L47" i="220"/>
  <c r="J47" i="220"/>
  <c r="I47" i="220"/>
  <c r="H47" i="220"/>
  <c r="G47" i="220"/>
  <c r="D46" i="220"/>
  <c r="P45" i="220"/>
  <c r="O45" i="220"/>
  <c r="N45" i="220"/>
  <c r="M45" i="220"/>
  <c r="K45" i="220"/>
  <c r="J45" i="220"/>
  <c r="H45" i="220"/>
  <c r="G45" i="220"/>
  <c r="D43" i="220"/>
  <c r="D42" i="220"/>
  <c r="I42" i="220" s="1"/>
  <c r="I45" i="220" s="1"/>
  <c r="R41" i="220"/>
  <c r="Q40" i="220"/>
  <c r="P40" i="220"/>
  <c r="O40" i="220"/>
  <c r="N40" i="220"/>
  <c r="M40" i="220"/>
  <c r="L40" i="220"/>
  <c r="K40" i="220"/>
  <c r="J40" i="220"/>
  <c r="I40" i="220"/>
  <c r="H40" i="220"/>
  <c r="G40" i="220"/>
  <c r="F40" i="220"/>
  <c r="R40" i="220" s="1"/>
  <c r="R39" i="220"/>
  <c r="R38" i="220"/>
  <c r="D36" i="220"/>
  <c r="G33" i="220"/>
  <c r="D33" i="220"/>
  <c r="L31" i="220"/>
  <c r="D31" i="220"/>
  <c r="M31" i="220" s="1"/>
  <c r="K30" i="220"/>
  <c r="I30" i="220"/>
  <c r="D30" i="220"/>
  <c r="L30" i="220" s="1"/>
  <c r="P29" i="220"/>
  <c r="N29" i="220"/>
  <c r="G29" i="220"/>
  <c r="D29" i="220"/>
  <c r="L27" i="220"/>
  <c r="I27" i="220"/>
  <c r="H27" i="220"/>
  <c r="D27" i="220"/>
  <c r="K27" i="220" s="1"/>
  <c r="P9" i="220"/>
  <c r="J9" i="220"/>
  <c r="I9" i="220"/>
  <c r="D9" i="220"/>
  <c r="K9" i="220" s="1"/>
  <c r="P8" i="220"/>
  <c r="J8" i="220"/>
  <c r="I8" i="220"/>
  <c r="D8" i="220"/>
  <c r="O7" i="220"/>
  <c r="I7" i="220"/>
  <c r="H7" i="220"/>
  <c r="D7" i="220"/>
  <c r="K5" i="220"/>
  <c r="F5" i="220"/>
  <c r="D5" i="220"/>
  <c r="P4" i="220"/>
  <c r="N4" i="220"/>
  <c r="M4" i="220"/>
  <c r="J4" i="220"/>
  <c r="H4" i="220"/>
  <c r="G4" i="220"/>
  <c r="D4" i="220"/>
  <c r="D2" i="220"/>
  <c r="D1" i="220"/>
  <c r="D97" i="220" s="1"/>
  <c r="G86" i="219"/>
  <c r="Q83" i="219"/>
  <c r="P83" i="219"/>
  <c r="O83" i="219"/>
  <c r="N83" i="219"/>
  <c r="M83" i="219"/>
  <c r="L83" i="219"/>
  <c r="K83" i="219"/>
  <c r="J83" i="219"/>
  <c r="I83" i="219"/>
  <c r="H83" i="219"/>
  <c r="G83" i="219"/>
  <c r="Q76" i="219"/>
  <c r="P76" i="219"/>
  <c r="P47" i="219"/>
  <c r="O47" i="219"/>
  <c r="M47" i="219"/>
  <c r="L47" i="219"/>
  <c r="J47" i="219"/>
  <c r="I47" i="219"/>
  <c r="H47" i="219"/>
  <c r="G47" i="219"/>
  <c r="P45" i="219"/>
  <c r="O45" i="219"/>
  <c r="N45" i="219"/>
  <c r="M45" i="219"/>
  <c r="K45" i="219"/>
  <c r="J45" i="219"/>
  <c r="H45" i="219"/>
  <c r="G45" i="219"/>
  <c r="R41" i="219"/>
  <c r="Q40" i="219"/>
  <c r="P40" i="219"/>
  <c r="O40" i="219"/>
  <c r="N40" i="219"/>
  <c r="M40" i="219"/>
  <c r="L40" i="219"/>
  <c r="K40" i="219"/>
  <c r="J40" i="219"/>
  <c r="I40" i="219"/>
  <c r="H40" i="219"/>
  <c r="G40" i="219"/>
  <c r="F40" i="219"/>
  <c r="R40" i="219" s="1"/>
  <c r="R39" i="219"/>
  <c r="R38" i="219"/>
  <c r="D1" i="219"/>
  <c r="D67" i="219" s="1"/>
  <c r="D102" i="218"/>
  <c r="G86" i="218"/>
  <c r="Q83" i="218"/>
  <c r="P83" i="218"/>
  <c r="O83" i="218"/>
  <c r="N83" i="218"/>
  <c r="M83" i="218"/>
  <c r="L83" i="218"/>
  <c r="K83" i="218"/>
  <c r="J83" i="218"/>
  <c r="I83" i="218"/>
  <c r="H83" i="218"/>
  <c r="G83" i="218"/>
  <c r="D82" i="218"/>
  <c r="Q76" i="218"/>
  <c r="P76" i="218"/>
  <c r="D55" i="218"/>
  <c r="P47" i="218"/>
  <c r="O47" i="218"/>
  <c r="M47" i="218"/>
  <c r="L47" i="218"/>
  <c r="J47" i="218"/>
  <c r="I47" i="218"/>
  <c r="H47" i="218"/>
  <c r="G47" i="218"/>
  <c r="P45" i="218"/>
  <c r="O45" i="218"/>
  <c r="N45" i="218"/>
  <c r="M45" i="218"/>
  <c r="K45" i="218"/>
  <c r="J45" i="218"/>
  <c r="H45" i="218"/>
  <c r="G45" i="218"/>
  <c r="R41" i="218"/>
  <c r="Q40" i="218"/>
  <c r="P40" i="218"/>
  <c r="O40" i="218"/>
  <c r="N40" i="218"/>
  <c r="M40" i="218"/>
  <c r="L40" i="218"/>
  <c r="K40" i="218"/>
  <c r="J40" i="218"/>
  <c r="I40" i="218"/>
  <c r="H40" i="218"/>
  <c r="G40" i="218"/>
  <c r="F40" i="218"/>
  <c r="R39" i="218"/>
  <c r="R38" i="218"/>
  <c r="F11" i="218"/>
  <c r="D11" i="218"/>
  <c r="N10" i="218"/>
  <c r="P9" i="218"/>
  <c r="O9" i="218"/>
  <c r="J9" i="218"/>
  <c r="I9" i="218"/>
  <c r="D9" i="218"/>
  <c r="N9" i="218" s="1"/>
  <c r="K8" i="218"/>
  <c r="F8" i="218"/>
  <c r="D8" i="218"/>
  <c r="L8" i="218" s="1"/>
  <c r="P6" i="218"/>
  <c r="O6" i="218"/>
  <c r="J6" i="218"/>
  <c r="I6" i="218"/>
  <c r="D6" i="218"/>
  <c r="N6" i="218" s="1"/>
  <c r="K5" i="218"/>
  <c r="F5" i="218"/>
  <c r="D5" i="218"/>
  <c r="P3" i="218"/>
  <c r="O3" i="218"/>
  <c r="J3" i="218"/>
  <c r="I3" i="218"/>
  <c r="D3" i="218"/>
  <c r="M3" i="218" s="1"/>
  <c r="D2" i="218"/>
  <c r="D1" i="218"/>
  <c r="D10" i="218" s="1"/>
  <c r="D107" i="217"/>
  <c r="D105" i="217"/>
  <c r="D101" i="217"/>
  <c r="D95" i="217"/>
  <c r="D91" i="217"/>
  <c r="G86" i="217"/>
  <c r="Q83" i="217"/>
  <c r="P83" i="217"/>
  <c r="O83" i="217"/>
  <c r="N83" i="217"/>
  <c r="M83" i="217"/>
  <c r="L83" i="217"/>
  <c r="K83" i="217"/>
  <c r="J83" i="217"/>
  <c r="I83" i="217"/>
  <c r="H83" i="217"/>
  <c r="G83" i="217"/>
  <c r="D82" i="217"/>
  <c r="D80" i="217"/>
  <c r="Q76" i="217"/>
  <c r="P76" i="217"/>
  <c r="D71" i="217"/>
  <c r="F71" i="217" s="1"/>
  <c r="D69" i="217"/>
  <c r="R67" i="217"/>
  <c r="D67" i="217"/>
  <c r="H67" i="217" s="1"/>
  <c r="M66" i="217"/>
  <c r="G66" i="217"/>
  <c r="F66" i="217"/>
  <c r="D66" i="217"/>
  <c r="N66" i="217" s="1"/>
  <c r="K65" i="217"/>
  <c r="G65" i="217"/>
  <c r="D65" i="217"/>
  <c r="M65" i="217" s="1"/>
  <c r="K64" i="217"/>
  <c r="D64" i="217"/>
  <c r="D63" i="217"/>
  <c r="G57" i="217"/>
  <c r="D57" i="217"/>
  <c r="I55" i="217"/>
  <c r="D55" i="217"/>
  <c r="K54" i="217"/>
  <c r="D54" i="217"/>
  <c r="G53" i="217"/>
  <c r="D53" i="217"/>
  <c r="D51" i="217"/>
  <c r="D50" i="217"/>
  <c r="P47" i="217"/>
  <c r="O47" i="217"/>
  <c r="M47" i="217"/>
  <c r="L47" i="217"/>
  <c r="J47" i="217"/>
  <c r="I47" i="217"/>
  <c r="H47" i="217"/>
  <c r="G47" i="217"/>
  <c r="P45" i="217"/>
  <c r="O45" i="217"/>
  <c r="N45" i="217"/>
  <c r="M45" i="217"/>
  <c r="K45" i="217"/>
  <c r="J45" i="217"/>
  <c r="H45" i="217"/>
  <c r="G45" i="217"/>
  <c r="R41" i="217"/>
  <c r="Q40" i="217"/>
  <c r="P40" i="217"/>
  <c r="O40" i="217"/>
  <c r="N40" i="217"/>
  <c r="M40" i="217"/>
  <c r="L40" i="217"/>
  <c r="K40" i="217"/>
  <c r="J40" i="217"/>
  <c r="I40" i="217"/>
  <c r="H40" i="217"/>
  <c r="G40" i="217"/>
  <c r="F40" i="217"/>
  <c r="R39" i="217"/>
  <c r="R38" i="217"/>
  <c r="F36" i="217"/>
  <c r="D36" i="217"/>
  <c r="O31" i="217"/>
  <c r="I31" i="217"/>
  <c r="F31" i="217"/>
  <c r="D31" i="217"/>
  <c r="L31" i="217" s="1"/>
  <c r="K30" i="217"/>
  <c r="D30" i="217"/>
  <c r="P29" i="217"/>
  <c r="J29" i="217"/>
  <c r="G29" i="217"/>
  <c r="D29" i="217"/>
  <c r="M29" i="217" s="1"/>
  <c r="O27" i="217"/>
  <c r="K27" i="217"/>
  <c r="H27" i="217"/>
  <c r="G27" i="217"/>
  <c r="D27" i="217"/>
  <c r="M27" i="217" s="1"/>
  <c r="P26" i="217"/>
  <c r="M26" i="217"/>
  <c r="D26" i="217"/>
  <c r="D24" i="217"/>
  <c r="D15" i="217"/>
  <c r="L14" i="217"/>
  <c r="G14" i="217"/>
  <c r="D14" i="217"/>
  <c r="N14" i="217" s="1"/>
  <c r="R11" i="217"/>
  <c r="F11" i="217"/>
  <c r="D11" i="217"/>
  <c r="O10" i="217"/>
  <c r="I10" i="217"/>
  <c r="D10" i="217"/>
  <c r="D9" i="217"/>
  <c r="O8" i="217"/>
  <c r="M8" i="217"/>
  <c r="L8" i="217"/>
  <c r="I8" i="217"/>
  <c r="G8" i="217"/>
  <c r="F8" i="217"/>
  <c r="D8" i="217"/>
  <c r="D7" i="217"/>
  <c r="I7" i="217" s="1"/>
  <c r="M6" i="217"/>
  <c r="K6" i="217"/>
  <c r="G6" i="217"/>
  <c r="D6" i="217"/>
  <c r="O5" i="217"/>
  <c r="M5" i="217"/>
  <c r="L5" i="217"/>
  <c r="I5" i="217"/>
  <c r="G5" i="217"/>
  <c r="F5" i="217"/>
  <c r="D5" i="217"/>
  <c r="O4" i="217"/>
  <c r="K4" i="217"/>
  <c r="I4" i="217"/>
  <c r="D4" i="217"/>
  <c r="K3" i="217"/>
  <c r="G3" i="217"/>
  <c r="D3" i="217"/>
  <c r="M3" i="217" s="1"/>
  <c r="D2" i="217"/>
  <c r="D1" i="217"/>
  <c r="D99" i="217" s="1"/>
  <c r="D97" i="216"/>
  <c r="G86" i="216"/>
  <c r="Q83" i="216"/>
  <c r="P83" i="216"/>
  <c r="O83" i="216"/>
  <c r="N83" i="216"/>
  <c r="M83" i="216"/>
  <c r="L83" i="216"/>
  <c r="K83" i="216"/>
  <c r="J83" i="216"/>
  <c r="I83" i="216"/>
  <c r="H83" i="216"/>
  <c r="G83" i="216"/>
  <c r="D82" i="216"/>
  <c r="Q76" i="216"/>
  <c r="P76" i="216"/>
  <c r="D68" i="216"/>
  <c r="D64" i="216"/>
  <c r="P59" i="216"/>
  <c r="D59" i="216"/>
  <c r="M59" i="216" s="1"/>
  <c r="D58" i="216"/>
  <c r="F50" i="216"/>
  <c r="D50" i="216"/>
  <c r="P47" i="216"/>
  <c r="O47" i="216"/>
  <c r="M47" i="216"/>
  <c r="L47" i="216"/>
  <c r="J47" i="216"/>
  <c r="I47" i="216"/>
  <c r="H47" i="216"/>
  <c r="G47" i="216"/>
  <c r="D46" i="216"/>
  <c r="P45" i="216"/>
  <c r="O45" i="216"/>
  <c r="N45" i="216"/>
  <c r="M45" i="216"/>
  <c r="K45" i="216"/>
  <c r="J45" i="216"/>
  <c r="H45" i="216"/>
  <c r="G45" i="216"/>
  <c r="D44" i="216"/>
  <c r="R41" i="216"/>
  <c r="Q40" i="216"/>
  <c r="P40" i="216"/>
  <c r="O40" i="216"/>
  <c r="N40" i="216"/>
  <c r="M40" i="216"/>
  <c r="L40" i="216"/>
  <c r="K40" i="216"/>
  <c r="J40" i="216"/>
  <c r="I40" i="216"/>
  <c r="H40" i="216"/>
  <c r="G40" i="216"/>
  <c r="F40" i="216"/>
  <c r="R40" i="216" s="1"/>
  <c r="R39" i="216"/>
  <c r="R38" i="216"/>
  <c r="O31" i="216"/>
  <c r="F31" i="216"/>
  <c r="D31" i="216"/>
  <c r="O28" i="216"/>
  <c r="N28" i="216"/>
  <c r="D28" i="216"/>
  <c r="D16" i="216"/>
  <c r="D14" i="216"/>
  <c r="D11" i="216"/>
  <c r="D10" i="216"/>
  <c r="D1" i="216"/>
  <c r="D100" i="216" s="1"/>
  <c r="G86" i="215"/>
  <c r="Q83" i="215"/>
  <c r="P83" i="215"/>
  <c r="O83" i="215"/>
  <c r="N83" i="215"/>
  <c r="M83" i="215"/>
  <c r="L83" i="215"/>
  <c r="K83" i="215"/>
  <c r="J83" i="215"/>
  <c r="I83" i="215"/>
  <c r="H83" i="215"/>
  <c r="G83" i="215"/>
  <c r="Q76" i="215"/>
  <c r="P76" i="215"/>
  <c r="P47" i="215"/>
  <c r="O47" i="215"/>
  <c r="M47" i="215"/>
  <c r="L47" i="215"/>
  <c r="J47" i="215"/>
  <c r="I47" i="215"/>
  <c r="H47" i="215"/>
  <c r="G47" i="215"/>
  <c r="P45" i="215"/>
  <c r="O45" i="215"/>
  <c r="N45" i="215"/>
  <c r="M45" i="215"/>
  <c r="K45" i="215"/>
  <c r="J45" i="215"/>
  <c r="H45" i="215"/>
  <c r="G45" i="215"/>
  <c r="R41" i="215"/>
  <c r="Q40" i="215"/>
  <c r="P40" i="215"/>
  <c r="O40" i="215"/>
  <c r="N40" i="215"/>
  <c r="M40" i="215"/>
  <c r="L40" i="215"/>
  <c r="K40" i="215"/>
  <c r="J40" i="215"/>
  <c r="I40" i="215"/>
  <c r="H40" i="215"/>
  <c r="G40" i="215"/>
  <c r="F40" i="215"/>
  <c r="R40" i="215" s="1"/>
  <c r="R39" i="215"/>
  <c r="R38" i="215"/>
  <c r="D11" i="215"/>
  <c r="D4" i="215"/>
  <c r="F4" i="215" s="1"/>
  <c r="D1" i="215"/>
  <c r="D7" i="215" s="1"/>
  <c r="G86" i="214"/>
  <c r="Q83" i="214"/>
  <c r="P83" i="214"/>
  <c r="O83" i="214"/>
  <c r="N83" i="214"/>
  <c r="M83" i="214"/>
  <c r="L83" i="214"/>
  <c r="K83" i="214"/>
  <c r="J83" i="214"/>
  <c r="I83" i="214"/>
  <c r="H83" i="214"/>
  <c r="G83" i="214"/>
  <c r="Q76" i="214"/>
  <c r="P76" i="214"/>
  <c r="P47" i="214"/>
  <c r="O47" i="214"/>
  <c r="M47" i="214"/>
  <c r="L47" i="214"/>
  <c r="J47" i="214"/>
  <c r="I47" i="214"/>
  <c r="H47" i="214"/>
  <c r="G47" i="214"/>
  <c r="P45" i="214"/>
  <c r="O45" i="214"/>
  <c r="N45" i="214"/>
  <c r="M45" i="214"/>
  <c r="K45" i="214"/>
  <c r="J45" i="214"/>
  <c r="H45" i="214"/>
  <c r="G45" i="214"/>
  <c r="R41" i="214"/>
  <c r="Q40" i="214"/>
  <c r="P40" i="214"/>
  <c r="O40" i="214"/>
  <c r="N40" i="214"/>
  <c r="M40" i="214"/>
  <c r="L40" i="214"/>
  <c r="K40" i="214"/>
  <c r="J40" i="214"/>
  <c r="I40" i="214"/>
  <c r="H40" i="214"/>
  <c r="G40" i="214"/>
  <c r="F40" i="214"/>
  <c r="R40" i="214" s="1"/>
  <c r="R39" i="214"/>
  <c r="R38" i="214"/>
  <c r="D7" i="214"/>
  <c r="D1" i="214"/>
  <c r="D10" i="214" s="1"/>
  <c r="D88" i="213"/>
  <c r="G86" i="213"/>
  <c r="Q83" i="213"/>
  <c r="P83" i="213"/>
  <c r="O83" i="213"/>
  <c r="N83" i="213"/>
  <c r="M83" i="213"/>
  <c r="L83" i="213"/>
  <c r="K83" i="213"/>
  <c r="J83" i="213"/>
  <c r="I83" i="213"/>
  <c r="H83" i="213"/>
  <c r="G83" i="213"/>
  <c r="Q76" i="213"/>
  <c r="P76" i="213"/>
  <c r="D57" i="213"/>
  <c r="D54" i="213"/>
  <c r="P47" i="213"/>
  <c r="O47" i="213"/>
  <c r="M47" i="213"/>
  <c r="L47" i="213"/>
  <c r="J47" i="213"/>
  <c r="I47" i="213"/>
  <c r="H47" i="213"/>
  <c r="G47" i="213"/>
  <c r="P45" i="213"/>
  <c r="O45" i="213"/>
  <c r="N45" i="213"/>
  <c r="M45" i="213"/>
  <c r="K45" i="213"/>
  <c r="J45" i="213"/>
  <c r="H45" i="213"/>
  <c r="G45" i="213"/>
  <c r="R41" i="213"/>
  <c r="Q40" i="213"/>
  <c r="P40" i="213"/>
  <c r="O40" i="213"/>
  <c r="N40" i="213"/>
  <c r="M40" i="213"/>
  <c r="L40" i="213"/>
  <c r="K40" i="213"/>
  <c r="J40" i="213"/>
  <c r="I40" i="213"/>
  <c r="H40" i="213"/>
  <c r="G40" i="213"/>
  <c r="F40" i="213"/>
  <c r="R40" i="213" s="1"/>
  <c r="R39" i="213"/>
  <c r="R38" i="213"/>
  <c r="D36" i="213"/>
  <c r="D29" i="213"/>
  <c r="P29" i="213" s="1"/>
  <c r="D16" i="213"/>
  <c r="M9" i="213"/>
  <c r="D9" i="213"/>
  <c r="J9" i="213" s="1"/>
  <c r="D7" i="213"/>
  <c r="D1" i="213"/>
  <c r="D101" i="213" s="1"/>
  <c r="D107" i="212"/>
  <c r="D95" i="212" s="1"/>
  <c r="G86" i="212"/>
  <c r="Q83" i="212"/>
  <c r="P83" i="212"/>
  <c r="O83" i="212"/>
  <c r="N83" i="212"/>
  <c r="M83" i="212"/>
  <c r="L83" i="212"/>
  <c r="K83" i="212"/>
  <c r="J83" i="212"/>
  <c r="I83" i="212"/>
  <c r="H83" i="212"/>
  <c r="G83" i="212"/>
  <c r="Q76" i="212"/>
  <c r="P76" i="212"/>
  <c r="D74" i="212"/>
  <c r="P47" i="212"/>
  <c r="O47" i="212"/>
  <c r="M47" i="212"/>
  <c r="L47" i="212"/>
  <c r="J47" i="212"/>
  <c r="I47" i="212"/>
  <c r="H47" i="212"/>
  <c r="G47" i="212"/>
  <c r="P45" i="212"/>
  <c r="O45" i="212"/>
  <c r="N45" i="212"/>
  <c r="M45" i="212"/>
  <c r="K45" i="212"/>
  <c r="J45" i="212"/>
  <c r="H45" i="212"/>
  <c r="G45" i="212"/>
  <c r="R41" i="212"/>
  <c r="Q40" i="212"/>
  <c r="P40" i="212"/>
  <c r="O40" i="212"/>
  <c r="N40" i="212"/>
  <c r="M40" i="212"/>
  <c r="L40" i="212"/>
  <c r="K40" i="212"/>
  <c r="J40" i="212"/>
  <c r="I40" i="212"/>
  <c r="H40" i="212"/>
  <c r="G40" i="212"/>
  <c r="F40" i="212"/>
  <c r="R40" i="212" s="1"/>
  <c r="R39" i="212"/>
  <c r="R38" i="212"/>
  <c r="D8" i="212"/>
  <c r="N8" i="212" s="1"/>
  <c r="D4" i="212"/>
  <c r="D1" i="212"/>
  <c r="D63" i="212" s="1"/>
  <c r="D105" i="211"/>
  <c r="D102" i="211"/>
  <c r="D91" i="211"/>
  <c r="D90" i="211"/>
  <c r="F88" i="211"/>
  <c r="D88" i="211"/>
  <c r="L88" i="211" s="1"/>
  <c r="G86" i="211"/>
  <c r="Q83" i="211"/>
  <c r="P83" i="211"/>
  <c r="O83" i="211"/>
  <c r="N83" i="211"/>
  <c r="M83" i="211"/>
  <c r="L83" i="211"/>
  <c r="K83" i="211"/>
  <c r="J83" i="211"/>
  <c r="I83" i="211"/>
  <c r="H83" i="211"/>
  <c r="G83" i="211"/>
  <c r="D82" i="211"/>
  <c r="Q76" i="211"/>
  <c r="P76" i="211"/>
  <c r="K74" i="211"/>
  <c r="D74" i="211"/>
  <c r="I73" i="211"/>
  <c r="D73" i="211"/>
  <c r="D71" i="211"/>
  <c r="D68" i="211"/>
  <c r="D67" i="211"/>
  <c r="N66" i="211"/>
  <c r="M66" i="211"/>
  <c r="F66" i="211"/>
  <c r="D66" i="211"/>
  <c r="L66" i="211" s="1"/>
  <c r="D63" i="211"/>
  <c r="P61" i="211"/>
  <c r="K61" i="211"/>
  <c r="D61" i="211"/>
  <c r="O61" i="211" s="1"/>
  <c r="L51" i="211"/>
  <c r="D51" i="211"/>
  <c r="M51" i="211" s="1"/>
  <c r="L50" i="211"/>
  <c r="D50" i="211"/>
  <c r="N50" i="211" s="1"/>
  <c r="P47" i="211"/>
  <c r="O47" i="211"/>
  <c r="M47" i="211"/>
  <c r="L47" i="211"/>
  <c r="J47" i="211"/>
  <c r="I47" i="211"/>
  <c r="H47" i="211"/>
  <c r="G47" i="211"/>
  <c r="P45" i="211"/>
  <c r="O45" i="211"/>
  <c r="N45" i="211"/>
  <c r="M45" i="211"/>
  <c r="K45" i="211"/>
  <c r="J45" i="211"/>
  <c r="H45" i="211"/>
  <c r="G45" i="211"/>
  <c r="R41" i="211"/>
  <c r="Q40" i="211"/>
  <c r="P40" i="211"/>
  <c r="O40" i="211"/>
  <c r="N40" i="211"/>
  <c r="M40" i="211"/>
  <c r="L40" i="211"/>
  <c r="K40" i="211"/>
  <c r="J40" i="211"/>
  <c r="I40" i="211"/>
  <c r="H40" i="211"/>
  <c r="G40" i="211"/>
  <c r="F40" i="211"/>
  <c r="R40" i="211" s="1"/>
  <c r="R39" i="211"/>
  <c r="R38" i="211"/>
  <c r="O32" i="211"/>
  <c r="K32" i="211"/>
  <c r="H32" i="211"/>
  <c r="D32" i="211"/>
  <c r="J32" i="211" s="1"/>
  <c r="J28" i="211"/>
  <c r="D28" i="211"/>
  <c r="L28" i="211" s="1"/>
  <c r="O17" i="211"/>
  <c r="K17" i="211"/>
  <c r="H17" i="211"/>
  <c r="D17" i="211"/>
  <c r="N16" i="211"/>
  <c r="K16" i="211"/>
  <c r="G16" i="211"/>
  <c r="D16" i="211"/>
  <c r="D13" i="211"/>
  <c r="D12" i="211"/>
  <c r="D11" i="211"/>
  <c r="P9" i="211"/>
  <c r="O9" i="211"/>
  <c r="L9" i="211"/>
  <c r="J9" i="211"/>
  <c r="I9" i="211"/>
  <c r="F9" i="211"/>
  <c r="D9" i="211"/>
  <c r="N8" i="211"/>
  <c r="H8" i="211"/>
  <c r="D8" i="211"/>
  <c r="M8" i="211" s="1"/>
  <c r="P6" i="211"/>
  <c r="O6" i="211"/>
  <c r="L6" i="211"/>
  <c r="J6" i="211"/>
  <c r="I6" i="211"/>
  <c r="F6" i="211"/>
  <c r="D6" i="211"/>
  <c r="N5" i="211"/>
  <c r="H5" i="211"/>
  <c r="D5" i="211"/>
  <c r="M5" i="211" s="1"/>
  <c r="O3" i="211"/>
  <c r="L3" i="211"/>
  <c r="I3" i="211"/>
  <c r="F3" i="211"/>
  <c r="D3" i="211"/>
  <c r="D2" i="211"/>
  <c r="D1" i="211"/>
  <c r="D100" i="211" s="1"/>
  <c r="D97" i="210"/>
  <c r="G86" i="210"/>
  <c r="Q83" i="210"/>
  <c r="P83" i="210"/>
  <c r="O83" i="210"/>
  <c r="N83" i="210"/>
  <c r="M83" i="210"/>
  <c r="L83" i="210"/>
  <c r="K83" i="210"/>
  <c r="J83" i="210"/>
  <c r="I83" i="210"/>
  <c r="H83" i="210"/>
  <c r="G83" i="210"/>
  <c r="Q76" i="210"/>
  <c r="P76" i="210"/>
  <c r="D74" i="210"/>
  <c r="D67" i="210"/>
  <c r="D53" i="210"/>
  <c r="P47" i="210"/>
  <c r="O47" i="210"/>
  <c r="M47" i="210"/>
  <c r="L47" i="210"/>
  <c r="J47" i="210"/>
  <c r="I47" i="210"/>
  <c r="H47" i="210"/>
  <c r="G47" i="210"/>
  <c r="P45" i="210"/>
  <c r="O45" i="210"/>
  <c r="N45" i="210"/>
  <c r="M45" i="210"/>
  <c r="K45" i="210"/>
  <c r="J45" i="210"/>
  <c r="H45" i="210"/>
  <c r="G45" i="210"/>
  <c r="D44" i="210"/>
  <c r="R41" i="210"/>
  <c r="Q40" i="210"/>
  <c r="P40" i="210"/>
  <c r="O40" i="210"/>
  <c r="N40" i="210"/>
  <c r="M40" i="210"/>
  <c r="L40" i="210"/>
  <c r="K40" i="210"/>
  <c r="J40" i="210"/>
  <c r="I40" i="210"/>
  <c r="H40" i="210"/>
  <c r="G40" i="210"/>
  <c r="F40" i="210"/>
  <c r="R40" i="210" s="1"/>
  <c r="R39" i="210"/>
  <c r="R38" i="210"/>
  <c r="D36" i="210"/>
  <c r="D33" i="210"/>
  <c r="J33" i="210" s="1"/>
  <c r="D32" i="210"/>
  <c r="L32" i="210" s="1"/>
  <c r="D31" i="210"/>
  <c r="H31" i="210" s="1"/>
  <c r="M3" i="210"/>
  <c r="D3" i="210"/>
  <c r="D2" i="210"/>
  <c r="D1" i="210"/>
  <c r="D75" i="210" s="1"/>
  <c r="J75" i="210" s="1"/>
  <c r="D97" i="209"/>
  <c r="G86" i="209"/>
  <c r="Q83" i="209"/>
  <c r="P83" i="209"/>
  <c r="O83" i="209"/>
  <c r="N83" i="209"/>
  <c r="M83" i="209"/>
  <c r="L83" i="209"/>
  <c r="K83" i="209"/>
  <c r="J83" i="209"/>
  <c r="I83" i="209"/>
  <c r="H83" i="209"/>
  <c r="G83" i="209"/>
  <c r="D82" i="209"/>
  <c r="Q76" i="209"/>
  <c r="P76" i="209"/>
  <c r="D68" i="209"/>
  <c r="D64" i="209"/>
  <c r="P59" i="209"/>
  <c r="D59" i="209"/>
  <c r="M59" i="209" s="1"/>
  <c r="D58" i="209"/>
  <c r="D50" i="209"/>
  <c r="P47" i="209"/>
  <c r="O47" i="209"/>
  <c r="M47" i="209"/>
  <c r="L47" i="209"/>
  <c r="J47" i="209"/>
  <c r="I47" i="209"/>
  <c r="H47" i="209"/>
  <c r="G47" i="209"/>
  <c r="D46" i="209"/>
  <c r="P45" i="209"/>
  <c r="O45" i="209"/>
  <c r="N45" i="209"/>
  <c r="M45" i="209"/>
  <c r="K45" i="209"/>
  <c r="J45" i="209"/>
  <c r="H45" i="209"/>
  <c r="G45" i="209"/>
  <c r="D44" i="209"/>
  <c r="R41" i="209"/>
  <c r="Q40" i="209"/>
  <c r="P40" i="209"/>
  <c r="O40" i="209"/>
  <c r="N40" i="209"/>
  <c r="M40" i="209"/>
  <c r="L40" i="209"/>
  <c r="K40" i="209"/>
  <c r="J40" i="209"/>
  <c r="I40" i="209"/>
  <c r="H40" i="209"/>
  <c r="G40" i="209"/>
  <c r="F40" i="209"/>
  <c r="R40" i="209" s="1"/>
  <c r="R39" i="209"/>
  <c r="R38" i="209"/>
  <c r="D31" i="209"/>
  <c r="O31" i="209" s="1"/>
  <c r="O28" i="209"/>
  <c r="N28" i="209"/>
  <c r="D28" i="209"/>
  <c r="D16" i="209"/>
  <c r="D14" i="209"/>
  <c r="D11" i="209"/>
  <c r="D10" i="209"/>
  <c r="D1" i="209"/>
  <c r="D100" i="209" s="1"/>
  <c r="G86" i="208"/>
  <c r="Q83" i="208"/>
  <c r="P83" i="208"/>
  <c r="O83" i="208"/>
  <c r="N83" i="208"/>
  <c r="M83" i="208"/>
  <c r="L83" i="208"/>
  <c r="K83" i="208"/>
  <c r="J83" i="208"/>
  <c r="I83" i="208"/>
  <c r="H83" i="208"/>
  <c r="G83" i="208"/>
  <c r="Q76" i="208"/>
  <c r="P76" i="208"/>
  <c r="D66" i="208"/>
  <c r="P47" i="208"/>
  <c r="O47" i="208"/>
  <c r="M47" i="208"/>
  <c r="L47" i="208"/>
  <c r="J47" i="208"/>
  <c r="I47" i="208"/>
  <c r="H47" i="208"/>
  <c r="G47" i="208"/>
  <c r="P45" i="208"/>
  <c r="O45" i="208"/>
  <c r="N45" i="208"/>
  <c r="M45" i="208"/>
  <c r="K45" i="208"/>
  <c r="J45" i="208"/>
  <c r="H45" i="208"/>
  <c r="G45" i="208"/>
  <c r="D42" i="208"/>
  <c r="R41" i="208"/>
  <c r="Q40" i="208"/>
  <c r="P40" i="208"/>
  <c r="O40" i="208"/>
  <c r="N40" i="208"/>
  <c r="M40" i="208"/>
  <c r="L40" i="208"/>
  <c r="K40" i="208"/>
  <c r="J40" i="208"/>
  <c r="I40" i="208"/>
  <c r="H40" i="208"/>
  <c r="G40" i="208"/>
  <c r="F40" i="208"/>
  <c r="R39" i="208"/>
  <c r="R38" i="208"/>
  <c r="D36" i="208"/>
  <c r="D33" i="208"/>
  <c r="L33" i="208" s="1"/>
  <c r="D30" i="208"/>
  <c r="K30" i="208" s="1"/>
  <c r="D24" i="208"/>
  <c r="D13" i="208"/>
  <c r="K13" i="208" s="1"/>
  <c r="D12" i="208"/>
  <c r="L12" i="208" s="1"/>
  <c r="P7" i="208"/>
  <c r="D7" i="208"/>
  <c r="J7" i="208" s="1"/>
  <c r="D1" i="208"/>
  <c r="D69" i="208" s="1"/>
  <c r="G86" i="207"/>
  <c r="Q83" i="207"/>
  <c r="P83" i="207"/>
  <c r="O83" i="207"/>
  <c r="N83" i="207"/>
  <c r="M83" i="207"/>
  <c r="L83" i="207"/>
  <c r="K83" i="207"/>
  <c r="J83" i="207"/>
  <c r="I83" i="207"/>
  <c r="H83" i="207"/>
  <c r="G83" i="207"/>
  <c r="Q76" i="207"/>
  <c r="P76" i="207"/>
  <c r="P47" i="207"/>
  <c r="O47" i="207"/>
  <c r="M47" i="207"/>
  <c r="L47" i="207"/>
  <c r="J47" i="207"/>
  <c r="I47" i="207"/>
  <c r="H47" i="207"/>
  <c r="G47" i="207"/>
  <c r="P45" i="207"/>
  <c r="O45" i="207"/>
  <c r="N45" i="207"/>
  <c r="M45" i="207"/>
  <c r="K45" i="207"/>
  <c r="J45" i="207"/>
  <c r="H45" i="207"/>
  <c r="G45" i="207"/>
  <c r="R41" i="207"/>
  <c r="Q40" i="207"/>
  <c r="P40" i="207"/>
  <c r="O40" i="207"/>
  <c r="N40" i="207"/>
  <c r="M40" i="207"/>
  <c r="L40" i="207"/>
  <c r="K40" i="207"/>
  <c r="J40" i="207"/>
  <c r="I40" i="207"/>
  <c r="H40" i="207"/>
  <c r="G40" i="207"/>
  <c r="F40" i="207"/>
  <c r="R40" i="207" s="1"/>
  <c r="R39" i="207"/>
  <c r="R38" i="207"/>
  <c r="D1" i="207"/>
  <c r="D105" i="207" s="1"/>
  <c r="G86" i="206"/>
  <c r="Q83" i="206"/>
  <c r="P83" i="206"/>
  <c r="O83" i="206"/>
  <c r="N83" i="206"/>
  <c r="M83" i="206"/>
  <c r="L83" i="206"/>
  <c r="K83" i="206"/>
  <c r="J83" i="206"/>
  <c r="I83" i="206"/>
  <c r="H83" i="206"/>
  <c r="G83" i="206"/>
  <c r="Q76" i="206"/>
  <c r="P76" i="206"/>
  <c r="D67" i="206"/>
  <c r="D63" i="206"/>
  <c r="D55" i="206"/>
  <c r="D53" i="206"/>
  <c r="D52" i="206"/>
  <c r="P47" i="206"/>
  <c r="O47" i="206"/>
  <c r="M47" i="206"/>
  <c r="L47" i="206"/>
  <c r="J47" i="206"/>
  <c r="I47" i="206"/>
  <c r="H47" i="206"/>
  <c r="G47" i="206"/>
  <c r="D46" i="206"/>
  <c r="P45" i="206"/>
  <c r="O45" i="206"/>
  <c r="N45" i="206"/>
  <c r="M45" i="206"/>
  <c r="K45" i="206"/>
  <c r="J45" i="206"/>
  <c r="H45" i="206"/>
  <c r="G45" i="206"/>
  <c r="R41" i="206"/>
  <c r="Q40" i="206"/>
  <c r="P40" i="206"/>
  <c r="O40" i="206"/>
  <c r="N40" i="206"/>
  <c r="M40" i="206"/>
  <c r="L40" i="206"/>
  <c r="K40" i="206"/>
  <c r="J40" i="206"/>
  <c r="I40" i="206"/>
  <c r="H40" i="206"/>
  <c r="G40" i="206"/>
  <c r="F40" i="206"/>
  <c r="R39" i="206"/>
  <c r="R38" i="206"/>
  <c r="D28" i="206"/>
  <c r="P28" i="206" s="1"/>
  <c r="D17" i="206"/>
  <c r="P17" i="206" s="1"/>
  <c r="N8" i="206"/>
  <c r="L8" i="206"/>
  <c r="D8" i="206"/>
  <c r="D7" i="206"/>
  <c r="M7" i="206" s="1"/>
  <c r="D4" i="206"/>
  <c r="D1" i="206"/>
  <c r="D74" i="206" s="1"/>
  <c r="D97" i="205"/>
  <c r="G86" i="205"/>
  <c r="Q83" i="205"/>
  <c r="P83" i="205"/>
  <c r="O83" i="205"/>
  <c r="N83" i="205"/>
  <c r="M83" i="205"/>
  <c r="L83" i="205"/>
  <c r="K83" i="205"/>
  <c r="J83" i="205"/>
  <c r="I83" i="205"/>
  <c r="H83" i="205"/>
  <c r="G83" i="205"/>
  <c r="D82" i="205"/>
  <c r="Q76" i="205"/>
  <c r="P76" i="205"/>
  <c r="D68" i="205"/>
  <c r="D64" i="205"/>
  <c r="P59" i="205"/>
  <c r="D59" i="205"/>
  <c r="D58" i="205"/>
  <c r="D50" i="205"/>
  <c r="P47" i="205"/>
  <c r="O47" i="205"/>
  <c r="M47" i="205"/>
  <c r="L47" i="205"/>
  <c r="J47" i="205"/>
  <c r="I47" i="205"/>
  <c r="H47" i="205"/>
  <c r="G47" i="205"/>
  <c r="D46" i="205"/>
  <c r="P45" i="205"/>
  <c r="O45" i="205"/>
  <c r="N45" i="205"/>
  <c r="M45" i="205"/>
  <c r="K45" i="205"/>
  <c r="J45" i="205"/>
  <c r="H45" i="205"/>
  <c r="G45" i="205"/>
  <c r="D44" i="205"/>
  <c r="R41" i="205"/>
  <c r="Q40" i="205"/>
  <c r="P40" i="205"/>
  <c r="O40" i="205"/>
  <c r="N40" i="205"/>
  <c r="M40" i="205"/>
  <c r="L40" i="205"/>
  <c r="K40" i="205"/>
  <c r="J40" i="205"/>
  <c r="I40" i="205"/>
  <c r="H40" i="205"/>
  <c r="G40" i="205"/>
  <c r="F40" i="205"/>
  <c r="R40" i="205" s="1"/>
  <c r="R39" i="205"/>
  <c r="R38" i="205"/>
  <c r="O31" i="205"/>
  <c r="F31" i="205"/>
  <c r="D31" i="205"/>
  <c r="O28" i="205"/>
  <c r="D28" i="205"/>
  <c r="D16" i="205"/>
  <c r="N16" i="205" s="1"/>
  <c r="D14" i="205"/>
  <c r="D11" i="205"/>
  <c r="D10" i="205"/>
  <c r="D1" i="205"/>
  <c r="D100" i="205" s="1"/>
  <c r="D107" i="204"/>
  <c r="D95" i="204" s="1"/>
  <c r="D106" i="204"/>
  <c r="D101" i="204"/>
  <c r="G86" i="204"/>
  <c r="Q83" i="204"/>
  <c r="P83" i="204"/>
  <c r="O83" i="204"/>
  <c r="N83" i="204"/>
  <c r="M83" i="204"/>
  <c r="L83" i="204"/>
  <c r="K83" i="204"/>
  <c r="J83" i="204"/>
  <c r="I83" i="204"/>
  <c r="H83" i="204"/>
  <c r="G83" i="204"/>
  <c r="D80" i="204"/>
  <c r="Q76" i="204"/>
  <c r="P76" i="204"/>
  <c r="N75" i="204"/>
  <c r="I75" i="204"/>
  <c r="D75" i="204"/>
  <c r="F75" i="204" s="1"/>
  <c r="D71" i="204"/>
  <c r="D69" i="204"/>
  <c r="L66" i="204"/>
  <c r="K66" i="204"/>
  <c r="D66" i="204"/>
  <c r="L61" i="204"/>
  <c r="K61" i="204"/>
  <c r="H61" i="204"/>
  <c r="D61" i="204"/>
  <c r="D59" i="204"/>
  <c r="P59" i="204" s="1"/>
  <c r="D58" i="204"/>
  <c r="L58" i="204" s="1"/>
  <c r="O57" i="204"/>
  <c r="D57" i="204"/>
  <c r="G57" i="204" s="1"/>
  <c r="O56" i="204"/>
  <c r="I56" i="204"/>
  <c r="G56" i="204"/>
  <c r="D56" i="204"/>
  <c r="D51" i="204"/>
  <c r="H51" i="204" s="1"/>
  <c r="K50" i="204"/>
  <c r="D50" i="204"/>
  <c r="P47" i="204"/>
  <c r="O47" i="204"/>
  <c r="M47" i="204"/>
  <c r="L47" i="204"/>
  <c r="J47" i="204"/>
  <c r="I47" i="204"/>
  <c r="H47" i="204"/>
  <c r="G47" i="204"/>
  <c r="P45" i="204"/>
  <c r="O45" i="204"/>
  <c r="N45" i="204"/>
  <c r="M45" i="204"/>
  <c r="K45" i="204"/>
  <c r="J45" i="204"/>
  <c r="H45" i="204"/>
  <c r="G45" i="204"/>
  <c r="R41" i="204"/>
  <c r="Q40" i="204"/>
  <c r="P40" i="204"/>
  <c r="O40" i="204"/>
  <c r="N40" i="204"/>
  <c r="M40" i="204"/>
  <c r="L40" i="204"/>
  <c r="K40" i="204"/>
  <c r="J40" i="204"/>
  <c r="I40" i="204"/>
  <c r="H40" i="204"/>
  <c r="G40" i="204"/>
  <c r="F40" i="204"/>
  <c r="R40" i="204" s="1"/>
  <c r="R39" i="204"/>
  <c r="R38" i="204"/>
  <c r="P33" i="204"/>
  <c r="O33" i="204"/>
  <c r="I33" i="204"/>
  <c r="G33" i="204"/>
  <c r="D33" i="204"/>
  <c r="D31" i="204"/>
  <c r="M31" i="204" s="1"/>
  <c r="D30" i="204"/>
  <c r="N30" i="204" s="1"/>
  <c r="N28" i="204"/>
  <c r="D28" i="204"/>
  <c r="P26" i="204"/>
  <c r="D26" i="204"/>
  <c r="H26" i="204" s="1"/>
  <c r="F24" i="204"/>
  <c r="L24" i="204" s="1"/>
  <c r="D24" i="204"/>
  <c r="O16" i="204"/>
  <c r="M16" i="204"/>
  <c r="J16" i="204"/>
  <c r="G16" i="204"/>
  <c r="F16" i="204"/>
  <c r="D16" i="204"/>
  <c r="N8" i="204"/>
  <c r="L8" i="204"/>
  <c r="K8" i="204"/>
  <c r="J8" i="204"/>
  <c r="F8" i="204"/>
  <c r="D8" i="204"/>
  <c r="M7" i="204"/>
  <c r="L7" i="204"/>
  <c r="D7" i="204"/>
  <c r="J7" i="204" s="1"/>
  <c r="L5" i="204"/>
  <c r="K5" i="204"/>
  <c r="J5" i="204"/>
  <c r="I5" i="204"/>
  <c r="D5" i="204"/>
  <c r="P5" i="204" s="1"/>
  <c r="P4" i="204"/>
  <c r="L4" i="204"/>
  <c r="K4" i="204"/>
  <c r="D4" i="204"/>
  <c r="D3" i="204"/>
  <c r="D2" i="204"/>
  <c r="D1" i="204"/>
  <c r="D82" i="204" s="1"/>
  <c r="D103" i="203"/>
  <c r="G86" i="203"/>
  <c r="Q83" i="203"/>
  <c r="P83" i="203"/>
  <c r="O83" i="203"/>
  <c r="N83" i="203"/>
  <c r="M83" i="203"/>
  <c r="L83" i="203"/>
  <c r="K83" i="203"/>
  <c r="J83" i="203"/>
  <c r="I83" i="203"/>
  <c r="H83" i="203"/>
  <c r="G83" i="203"/>
  <c r="Q76" i="203"/>
  <c r="P76" i="203"/>
  <c r="D59" i="203"/>
  <c r="D56" i="203"/>
  <c r="P47" i="203"/>
  <c r="O47" i="203"/>
  <c r="M47" i="203"/>
  <c r="L47" i="203"/>
  <c r="J47" i="203"/>
  <c r="I47" i="203"/>
  <c r="H47" i="203"/>
  <c r="G47" i="203"/>
  <c r="P45" i="203"/>
  <c r="O45" i="203"/>
  <c r="N45" i="203"/>
  <c r="M45" i="203"/>
  <c r="K45" i="203"/>
  <c r="J45" i="203"/>
  <c r="H45" i="203"/>
  <c r="G45" i="203"/>
  <c r="D44" i="203"/>
  <c r="F43" i="203"/>
  <c r="F45" i="203" s="1"/>
  <c r="D43" i="203"/>
  <c r="D42" i="203"/>
  <c r="R41" i="203"/>
  <c r="Q40" i="203"/>
  <c r="P40" i="203"/>
  <c r="O40" i="203"/>
  <c r="N40" i="203"/>
  <c r="M40" i="203"/>
  <c r="L40" i="203"/>
  <c r="K40" i="203"/>
  <c r="J40" i="203"/>
  <c r="I40" i="203"/>
  <c r="H40" i="203"/>
  <c r="G40" i="203"/>
  <c r="F40" i="203"/>
  <c r="R39" i="203"/>
  <c r="R38" i="203"/>
  <c r="D33" i="203"/>
  <c r="P32" i="203"/>
  <c r="N32" i="203"/>
  <c r="M32" i="203"/>
  <c r="L32" i="203"/>
  <c r="J32" i="203"/>
  <c r="H32" i="203"/>
  <c r="G32" i="203"/>
  <c r="F32" i="203"/>
  <c r="D32" i="203"/>
  <c r="D30" i="203"/>
  <c r="N29" i="203"/>
  <c r="M29" i="203"/>
  <c r="L29" i="203"/>
  <c r="H29" i="203"/>
  <c r="G29" i="203"/>
  <c r="F29" i="203"/>
  <c r="D29" i="203"/>
  <c r="D27" i="203"/>
  <c r="D26" i="203"/>
  <c r="D24" i="203"/>
  <c r="N17" i="203"/>
  <c r="M17" i="203"/>
  <c r="L17" i="203"/>
  <c r="H17" i="203"/>
  <c r="G17" i="203"/>
  <c r="F17" i="203"/>
  <c r="D17" i="203"/>
  <c r="R15" i="203"/>
  <c r="L15" i="203"/>
  <c r="F15" i="203"/>
  <c r="D15" i="203"/>
  <c r="K13" i="203"/>
  <c r="F13" i="203"/>
  <c r="D13" i="203"/>
  <c r="L12" i="203"/>
  <c r="D12" i="203"/>
  <c r="R11" i="203"/>
  <c r="F11" i="203"/>
  <c r="D11" i="203"/>
  <c r="K10" i="203"/>
  <c r="J10" i="203"/>
  <c r="D10" i="203"/>
  <c r="M9" i="203"/>
  <c r="L9" i="203"/>
  <c r="G9" i="203"/>
  <c r="F9" i="203"/>
  <c r="D9" i="203"/>
  <c r="O8" i="203"/>
  <c r="N8" i="203"/>
  <c r="M8" i="203"/>
  <c r="L8" i="203"/>
  <c r="I8" i="203"/>
  <c r="H8" i="203"/>
  <c r="G8" i="203"/>
  <c r="F8" i="203"/>
  <c r="D8" i="203"/>
  <c r="P7" i="203"/>
  <c r="K7" i="203"/>
  <c r="J7" i="203"/>
  <c r="D7" i="203"/>
  <c r="M6" i="203"/>
  <c r="L6" i="203"/>
  <c r="G6" i="203"/>
  <c r="F6" i="203"/>
  <c r="D6" i="203"/>
  <c r="O5" i="203"/>
  <c r="N5" i="203"/>
  <c r="M5" i="203"/>
  <c r="I5" i="203"/>
  <c r="H5" i="203"/>
  <c r="G5" i="203"/>
  <c r="D5" i="203"/>
  <c r="P4" i="203"/>
  <c r="K4" i="203"/>
  <c r="J4" i="203"/>
  <c r="D4" i="203"/>
  <c r="M3" i="203"/>
  <c r="L3" i="203"/>
  <c r="G3" i="203"/>
  <c r="F3" i="203"/>
  <c r="D3" i="203"/>
  <c r="D2" i="203"/>
  <c r="D1" i="203"/>
  <c r="D97" i="202"/>
  <c r="G86" i="202"/>
  <c r="Q83" i="202"/>
  <c r="P83" i="202"/>
  <c r="O83" i="202"/>
  <c r="N83" i="202"/>
  <c r="M83" i="202"/>
  <c r="L83" i="202"/>
  <c r="K83" i="202"/>
  <c r="J83" i="202"/>
  <c r="I83" i="202"/>
  <c r="H83" i="202"/>
  <c r="G83" i="202"/>
  <c r="D82" i="202"/>
  <c r="Q76" i="202"/>
  <c r="P76" i="202"/>
  <c r="D68" i="202"/>
  <c r="D64" i="202"/>
  <c r="P59" i="202"/>
  <c r="D59" i="202"/>
  <c r="H59" i="202" s="1"/>
  <c r="D58" i="202"/>
  <c r="D50" i="202"/>
  <c r="P47" i="202"/>
  <c r="O47" i="202"/>
  <c r="M47" i="202"/>
  <c r="L47" i="202"/>
  <c r="J47" i="202"/>
  <c r="I47" i="202"/>
  <c r="H47" i="202"/>
  <c r="G47" i="202"/>
  <c r="D46" i="202"/>
  <c r="P45" i="202"/>
  <c r="O45" i="202"/>
  <c r="N45" i="202"/>
  <c r="M45" i="202"/>
  <c r="K45" i="202"/>
  <c r="J45" i="202"/>
  <c r="H45" i="202"/>
  <c r="G45" i="202"/>
  <c r="D44" i="202"/>
  <c r="R41" i="202"/>
  <c r="Q40" i="202"/>
  <c r="P40" i="202"/>
  <c r="O40" i="202"/>
  <c r="N40" i="202"/>
  <c r="M40" i="202"/>
  <c r="L40" i="202"/>
  <c r="K40" i="202"/>
  <c r="J40" i="202"/>
  <c r="I40" i="202"/>
  <c r="H40" i="202"/>
  <c r="G40" i="202"/>
  <c r="F40" i="202"/>
  <c r="R40" i="202" s="1"/>
  <c r="R39" i="202"/>
  <c r="R38" i="202"/>
  <c r="D31" i="202"/>
  <c r="N28" i="202"/>
  <c r="D28" i="202"/>
  <c r="K28" i="202" s="1"/>
  <c r="D16" i="202"/>
  <c r="N14" i="202"/>
  <c r="M14" i="202"/>
  <c r="D14" i="202"/>
  <c r="D11" i="202"/>
  <c r="L10" i="202"/>
  <c r="K10" i="202"/>
  <c r="D10" i="202"/>
  <c r="D1" i="202"/>
  <c r="D100" i="202" s="1"/>
  <c r="D104" i="201"/>
  <c r="D94" i="201" s="1"/>
  <c r="D103" i="201"/>
  <c r="D89" i="201"/>
  <c r="G86" i="201"/>
  <c r="Q83" i="201"/>
  <c r="P83" i="201"/>
  <c r="O83" i="201"/>
  <c r="N83" i="201"/>
  <c r="M83" i="201"/>
  <c r="L83" i="201"/>
  <c r="K83" i="201"/>
  <c r="J83" i="201"/>
  <c r="I83" i="201"/>
  <c r="H83" i="201"/>
  <c r="G83" i="201"/>
  <c r="Q76" i="201"/>
  <c r="P76" i="201"/>
  <c r="D74" i="201"/>
  <c r="D62" i="201"/>
  <c r="D61" i="201"/>
  <c r="D59" i="201"/>
  <c r="P47" i="201"/>
  <c r="O47" i="201"/>
  <c r="M47" i="201"/>
  <c r="L47" i="201"/>
  <c r="J47" i="201"/>
  <c r="I47" i="201"/>
  <c r="H47" i="201"/>
  <c r="G47" i="201"/>
  <c r="P45" i="201"/>
  <c r="O45" i="201"/>
  <c r="N45" i="201"/>
  <c r="M45" i="201"/>
  <c r="K45" i="201"/>
  <c r="J45" i="201"/>
  <c r="H45" i="201"/>
  <c r="G45" i="201"/>
  <c r="D42" i="201"/>
  <c r="R41" i="201"/>
  <c r="Q40" i="201"/>
  <c r="P40" i="201"/>
  <c r="O40" i="201"/>
  <c r="N40" i="201"/>
  <c r="M40" i="201"/>
  <c r="L40" i="201"/>
  <c r="K40" i="201"/>
  <c r="J40" i="201"/>
  <c r="I40" i="201"/>
  <c r="H40" i="201"/>
  <c r="G40" i="201"/>
  <c r="F40" i="201"/>
  <c r="R40" i="201" s="1"/>
  <c r="R39" i="201"/>
  <c r="R38" i="201"/>
  <c r="D36" i="201"/>
  <c r="M32" i="201"/>
  <c r="L32" i="201"/>
  <c r="F32" i="201"/>
  <c r="D32" i="201"/>
  <c r="D30" i="201"/>
  <c r="D26" i="201"/>
  <c r="P26" i="201" s="1"/>
  <c r="D24" i="201"/>
  <c r="P13" i="201"/>
  <c r="O13" i="201"/>
  <c r="D13" i="201"/>
  <c r="D12" i="201"/>
  <c r="I12" i="201" s="1"/>
  <c r="L9" i="201"/>
  <c r="K9" i="201"/>
  <c r="J9" i="201"/>
  <c r="F9" i="201"/>
  <c r="D9" i="201"/>
  <c r="P9" i="201" s="1"/>
  <c r="P6" i="201"/>
  <c r="D6" i="201"/>
  <c r="J6" i="201" s="1"/>
  <c r="L3" i="201"/>
  <c r="K3" i="201"/>
  <c r="J3" i="201"/>
  <c r="D3" i="201"/>
  <c r="P3" i="201" s="1"/>
  <c r="D1" i="201"/>
  <c r="D63" i="201" s="1"/>
  <c r="G86" i="200"/>
  <c r="Q83" i="200"/>
  <c r="P83" i="200"/>
  <c r="O83" i="200"/>
  <c r="N83" i="200"/>
  <c r="M83" i="200"/>
  <c r="L83" i="200"/>
  <c r="K83" i="200"/>
  <c r="J83" i="200"/>
  <c r="I83" i="200"/>
  <c r="H83" i="200"/>
  <c r="G83" i="200"/>
  <c r="Q76" i="200"/>
  <c r="P76" i="200"/>
  <c r="P47" i="200"/>
  <c r="O47" i="200"/>
  <c r="M47" i="200"/>
  <c r="L47" i="200"/>
  <c r="J47" i="200"/>
  <c r="I47" i="200"/>
  <c r="H47" i="200"/>
  <c r="G47" i="200"/>
  <c r="P45" i="200"/>
  <c r="O45" i="200"/>
  <c r="N45" i="200"/>
  <c r="M45" i="200"/>
  <c r="K45" i="200"/>
  <c r="J45" i="200"/>
  <c r="H45" i="200"/>
  <c r="G45" i="200"/>
  <c r="R41" i="200"/>
  <c r="Q40" i="200"/>
  <c r="P40" i="200"/>
  <c r="O40" i="200"/>
  <c r="N40" i="200"/>
  <c r="M40" i="200"/>
  <c r="L40" i="200"/>
  <c r="K40" i="200"/>
  <c r="J40" i="200"/>
  <c r="I40" i="200"/>
  <c r="H40" i="200"/>
  <c r="G40" i="200"/>
  <c r="F40" i="200"/>
  <c r="R39" i="200"/>
  <c r="R38" i="200"/>
  <c r="D1" i="200"/>
  <c r="G86" i="199"/>
  <c r="Q83" i="199"/>
  <c r="P83" i="199"/>
  <c r="O83" i="199"/>
  <c r="N83" i="199"/>
  <c r="M83" i="199"/>
  <c r="L83" i="199"/>
  <c r="K83" i="199"/>
  <c r="J83" i="199"/>
  <c r="I83" i="199"/>
  <c r="H83" i="199"/>
  <c r="G83" i="199"/>
  <c r="Q76" i="199"/>
  <c r="P76" i="199"/>
  <c r="D66" i="199"/>
  <c r="D54" i="199"/>
  <c r="P47" i="199"/>
  <c r="O47" i="199"/>
  <c r="M47" i="199"/>
  <c r="L47" i="199"/>
  <c r="J47" i="199"/>
  <c r="I47" i="199"/>
  <c r="H47" i="199"/>
  <c r="G47" i="199"/>
  <c r="P45" i="199"/>
  <c r="O45" i="199"/>
  <c r="N45" i="199"/>
  <c r="M45" i="199"/>
  <c r="K45" i="199"/>
  <c r="J45" i="199"/>
  <c r="H45" i="199"/>
  <c r="G45" i="199"/>
  <c r="D42" i="199"/>
  <c r="R41" i="199"/>
  <c r="Q40" i="199"/>
  <c r="P40" i="199"/>
  <c r="O40" i="199"/>
  <c r="N40" i="199"/>
  <c r="M40" i="199"/>
  <c r="L40" i="199"/>
  <c r="K40" i="199"/>
  <c r="J40" i="199"/>
  <c r="I40" i="199"/>
  <c r="H40" i="199"/>
  <c r="G40" i="199"/>
  <c r="F40" i="199"/>
  <c r="R40" i="199" s="1"/>
  <c r="R39" i="199"/>
  <c r="R38" i="199"/>
  <c r="D14" i="199"/>
  <c r="L14" i="199" s="1"/>
  <c r="D11" i="199"/>
  <c r="D8" i="199"/>
  <c r="D2" i="199"/>
  <c r="D1" i="199"/>
  <c r="D15" i="199" s="1"/>
  <c r="D106" i="198"/>
  <c r="D88" i="198"/>
  <c r="G86" i="198"/>
  <c r="Q83" i="198"/>
  <c r="P83" i="198"/>
  <c r="O83" i="198"/>
  <c r="N83" i="198"/>
  <c r="M83" i="198"/>
  <c r="L83" i="198"/>
  <c r="K83" i="198"/>
  <c r="J83" i="198"/>
  <c r="I83" i="198"/>
  <c r="H83" i="198"/>
  <c r="G83" i="198"/>
  <c r="Q76" i="198"/>
  <c r="P76" i="198"/>
  <c r="D73" i="198"/>
  <c r="J73" i="198" s="1"/>
  <c r="D71" i="198"/>
  <c r="F71" i="198" s="1"/>
  <c r="D63" i="198"/>
  <c r="D57" i="198"/>
  <c r="L57" i="198" s="1"/>
  <c r="P47" i="198"/>
  <c r="O47" i="198"/>
  <c r="M47" i="198"/>
  <c r="L47" i="198"/>
  <c r="J47" i="198"/>
  <c r="I47" i="198"/>
  <c r="H47" i="198"/>
  <c r="G47" i="198"/>
  <c r="P45" i="198"/>
  <c r="O45" i="198"/>
  <c r="N45" i="198"/>
  <c r="M45" i="198"/>
  <c r="K45" i="198"/>
  <c r="J45" i="198"/>
  <c r="H45" i="198"/>
  <c r="G45" i="198"/>
  <c r="R41" i="198"/>
  <c r="Q40" i="198"/>
  <c r="P40" i="198"/>
  <c r="O40" i="198"/>
  <c r="N40" i="198"/>
  <c r="M40" i="198"/>
  <c r="L40" i="198"/>
  <c r="K40" i="198"/>
  <c r="J40" i="198"/>
  <c r="I40" i="198"/>
  <c r="H40" i="198"/>
  <c r="G40" i="198"/>
  <c r="F40" i="198"/>
  <c r="R40" i="198" s="1"/>
  <c r="R39" i="198"/>
  <c r="R38" i="198"/>
  <c r="N32" i="198"/>
  <c r="D32" i="198"/>
  <c r="H32" i="198" s="1"/>
  <c r="M13" i="198"/>
  <c r="D13" i="198"/>
  <c r="D1" i="198"/>
  <c r="D75" i="198" s="1"/>
  <c r="D106" i="197"/>
  <c r="D103" i="197"/>
  <c r="D100" i="197"/>
  <c r="D99" i="197"/>
  <c r="D91" i="197"/>
  <c r="D90" i="197"/>
  <c r="G86" i="197"/>
  <c r="Q83" i="197"/>
  <c r="P83" i="197"/>
  <c r="O83" i="197"/>
  <c r="N83" i="197"/>
  <c r="M83" i="197"/>
  <c r="L83" i="197"/>
  <c r="K83" i="197"/>
  <c r="J83" i="197"/>
  <c r="I83" i="197"/>
  <c r="H83" i="197"/>
  <c r="G83" i="197"/>
  <c r="Q76" i="197"/>
  <c r="P76" i="197"/>
  <c r="I75" i="197"/>
  <c r="D75" i="197"/>
  <c r="D72" i="197"/>
  <c r="D69" i="197"/>
  <c r="D68" i="197"/>
  <c r="D67" i="197"/>
  <c r="L66" i="197"/>
  <c r="D66" i="197"/>
  <c r="N66" i="197" s="1"/>
  <c r="K65" i="197"/>
  <c r="D65" i="197"/>
  <c r="N65" i="197" s="1"/>
  <c r="N64" i="197"/>
  <c r="I64" i="197"/>
  <c r="D64" i="197"/>
  <c r="K64" i="197" s="1"/>
  <c r="D63" i="197"/>
  <c r="F60" i="197"/>
  <c r="D60" i="197"/>
  <c r="O58" i="197"/>
  <c r="L58" i="197"/>
  <c r="I58" i="197"/>
  <c r="D58" i="197"/>
  <c r="J58" i="197" s="1"/>
  <c r="O57" i="197"/>
  <c r="D57" i="197"/>
  <c r="D53" i="197"/>
  <c r="H50" i="197"/>
  <c r="D50" i="197"/>
  <c r="P47" i="197"/>
  <c r="O47" i="197"/>
  <c r="M47" i="197"/>
  <c r="L47" i="197"/>
  <c r="J47" i="197"/>
  <c r="I47" i="197"/>
  <c r="H47" i="197"/>
  <c r="G47" i="197"/>
  <c r="P45" i="197"/>
  <c r="O45" i="197"/>
  <c r="N45" i="197"/>
  <c r="M45" i="197"/>
  <c r="K45" i="197"/>
  <c r="J45" i="197"/>
  <c r="H45" i="197"/>
  <c r="G45" i="197"/>
  <c r="D44" i="197"/>
  <c r="R41" i="197"/>
  <c r="Q40" i="197"/>
  <c r="P40" i="197"/>
  <c r="O40" i="197"/>
  <c r="N40" i="197"/>
  <c r="M40" i="197"/>
  <c r="L40" i="197"/>
  <c r="K40" i="197"/>
  <c r="J40" i="197"/>
  <c r="I40" i="197"/>
  <c r="H40" i="197"/>
  <c r="G40" i="197"/>
  <c r="F40" i="197"/>
  <c r="R40" i="197" s="1"/>
  <c r="R39" i="197"/>
  <c r="R38" i="197"/>
  <c r="D36" i="197"/>
  <c r="P33" i="197"/>
  <c r="D33" i="197"/>
  <c r="K32" i="197"/>
  <c r="G32" i="197"/>
  <c r="D32" i="197"/>
  <c r="L32" i="197" s="1"/>
  <c r="K30" i="197"/>
  <c r="I30" i="197"/>
  <c r="D30" i="197"/>
  <c r="M30" i="197" s="1"/>
  <c r="G29" i="197"/>
  <c r="D29" i="197"/>
  <c r="O28" i="197"/>
  <c r="M28" i="197"/>
  <c r="I28" i="197"/>
  <c r="G28" i="197"/>
  <c r="D28" i="197"/>
  <c r="K28" i="197" s="1"/>
  <c r="I27" i="197"/>
  <c r="D27" i="197"/>
  <c r="M26" i="197"/>
  <c r="J26" i="197"/>
  <c r="D26" i="197"/>
  <c r="O26" i="197" s="1"/>
  <c r="D24" i="197"/>
  <c r="G17" i="197"/>
  <c r="D17" i="197"/>
  <c r="D16" i="197"/>
  <c r="D15" i="197"/>
  <c r="F15" i="197" s="1"/>
  <c r="P14" i="197"/>
  <c r="N14" i="197"/>
  <c r="K14" i="197"/>
  <c r="J14" i="197"/>
  <c r="I14" i="197"/>
  <c r="G14" i="197"/>
  <c r="D14" i="197"/>
  <c r="O14" i="197" s="1"/>
  <c r="P13" i="197"/>
  <c r="M13" i="197"/>
  <c r="K13" i="197"/>
  <c r="J13" i="197"/>
  <c r="I13" i="197"/>
  <c r="F13" i="197"/>
  <c r="D13" i="197"/>
  <c r="O13" i="197" s="1"/>
  <c r="P10" i="197"/>
  <c r="N10" i="197"/>
  <c r="K10" i="197"/>
  <c r="J10" i="197"/>
  <c r="I10" i="197"/>
  <c r="F10" i="197"/>
  <c r="D10" i="197"/>
  <c r="O10" i="197" s="1"/>
  <c r="P9" i="197"/>
  <c r="M9" i="197"/>
  <c r="K9" i="197"/>
  <c r="J9" i="197"/>
  <c r="H9" i="197"/>
  <c r="F9" i="197"/>
  <c r="D9" i="197"/>
  <c r="N9" i="197" s="1"/>
  <c r="O7" i="197"/>
  <c r="H7" i="197"/>
  <c r="D7" i="197"/>
  <c r="N6" i="197"/>
  <c r="G6" i="197"/>
  <c r="D6" i="197"/>
  <c r="D1" i="197"/>
  <c r="D91" i="196"/>
  <c r="G86" i="196"/>
  <c r="Q83" i="196"/>
  <c r="P83" i="196"/>
  <c r="O83" i="196"/>
  <c r="N83" i="196"/>
  <c r="M83" i="196"/>
  <c r="L83" i="196"/>
  <c r="K83" i="196"/>
  <c r="J83" i="196"/>
  <c r="I83" i="196"/>
  <c r="H83" i="196"/>
  <c r="G83" i="196"/>
  <c r="Q76" i="196"/>
  <c r="P76" i="196"/>
  <c r="D75" i="196"/>
  <c r="L75" i="196" s="1"/>
  <c r="D63" i="196"/>
  <c r="D61" i="196"/>
  <c r="P47" i="196"/>
  <c r="O47" i="196"/>
  <c r="M47" i="196"/>
  <c r="L47" i="196"/>
  <c r="J47" i="196"/>
  <c r="I47" i="196"/>
  <c r="H47" i="196"/>
  <c r="G47" i="196"/>
  <c r="P45" i="196"/>
  <c r="O45" i="196"/>
  <c r="N45" i="196"/>
  <c r="M45" i="196"/>
  <c r="K45" i="196"/>
  <c r="J45" i="196"/>
  <c r="H45" i="196"/>
  <c r="G45" i="196"/>
  <c r="R41" i="196"/>
  <c r="Q40" i="196"/>
  <c r="P40" i="196"/>
  <c r="O40" i="196"/>
  <c r="N40" i="196"/>
  <c r="M40" i="196"/>
  <c r="L40" i="196"/>
  <c r="K40" i="196"/>
  <c r="J40" i="196"/>
  <c r="I40" i="196"/>
  <c r="H40" i="196"/>
  <c r="G40" i="196"/>
  <c r="F40" i="196"/>
  <c r="R40" i="196" s="1"/>
  <c r="R39" i="196"/>
  <c r="R38" i="196"/>
  <c r="D16" i="196"/>
  <c r="L5" i="196"/>
  <c r="D5" i="196"/>
  <c r="N3" i="196"/>
  <c r="D3" i="196"/>
  <c r="D1" i="196"/>
  <c r="G86" i="195"/>
  <c r="Q83" i="195"/>
  <c r="P83" i="195"/>
  <c r="O83" i="195"/>
  <c r="N83" i="195"/>
  <c r="M83" i="195"/>
  <c r="L83" i="195"/>
  <c r="K83" i="195"/>
  <c r="J83" i="195"/>
  <c r="I83" i="195"/>
  <c r="H83" i="195"/>
  <c r="G83" i="195"/>
  <c r="D82" i="195"/>
  <c r="Q76" i="195"/>
  <c r="P76" i="195"/>
  <c r="D64" i="195"/>
  <c r="D58" i="195"/>
  <c r="D50" i="195"/>
  <c r="P47" i="195"/>
  <c r="O47" i="195"/>
  <c r="M47" i="195"/>
  <c r="L47" i="195"/>
  <c r="J47" i="195"/>
  <c r="I47" i="195"/>
  <c r="H47" i="195"/>
  <c r="G47" i="195"/>
  <c r="P45" i="195"/>
  <c r="O45" i="195"/>
  <c r="N45" i="195"/>
  <c r="M45" i="195"/>
  <c r="K45" i="195"/>
  <c r="J45" i="195"/>
  <c r="H45" i="195"/>
  <c r="G45" i="195"/>
  <c r="R41" i="195"/>
  <c r="Q40" i="195"/>
  <c r="P40" i="195"/>
  <c r="O40" i="195"/>
  <c r="N40" i="195"/>
  <c r="M40" i="195"/>
  <c r="L40" i="195"/>
  <c r="K40" i="195"/>
  <c r="J40" i="195"/>
  <c r="I40" i="195"/>
  <c r="H40" i="195"/>
  <c r="G40" i="195"/>
  <c r="F40" i="195"/>
  <c r="R40" i="195" s="1"/>
  <c r="R39" i="195"/>
  <c r="R38" i="195"/>
  <c r="O31" i="195"/>
  <c r="D31" i="195"/>
  <c r="M14" i="195"/>
  <c r="D14" i="195"/>
  <c r="D11" i="195"/>
  <c r="K10" i="195"/>
  <c r="D10" i="195"/>
  <c r="N10" i="195" s="1"/>
  <c r="D1" i="195"/>
  <c r="D100" i="195" s="1"/>
  <c r="D106" i="194"/>
  <c r="D101" i="194"/>
  <c r="D100" i="194"/>
  <c r="D90" i="194"/>
  <c r="G86" i="194"/>
  <c r="Q83" i="194"/>
  <c r="P83" i="194"/>
  <c r="O83" i="194"/>
  <c r="N83" i="194"/>
  <c r="M83" i="194"/>
  <c r="L83" i="194"/>
  <c r="K83" i="194"/>
  <c r="J83" i="194"/>
  <c r="I83" i="194"/>
  <c r="H83" i="194"/>
  <c r="G83" i="194"/>
  <c r="F80" i="194"/>
  <c r="D80" i="194"/>
  <c r="Q76" i="194"/>
  <c r="P76" i="194"/>
  <c r="D68" i="194"/>
  <c r="D67" i="194"/>
  <c r="H67" i="194" s="1"/>
  <c r="D66" i="194"/>
  <c r="I66" i="194" s="1"/>
  <c r="D55" i="194"/>
  <c r="I55" i="194" s="1"/>
  <c r="D54" i="194"/>
  <c r="D50" i="194"/>
  <c r="L50" i="194" s="1"/>
  <c r="P47" i="194"/>
  <c r="O47" i="194"/>
  <c r="M47" i="194"/>
  <c r="L47" i="194"/>
  <c r="J47" i="194"/>
  <c r="I47" i="194"/>
  <c r="H47" i="194"/>
  <c r="G47" i="194"/>
  <c r="P45" i="194"/>
  <c r="O45" i="194"/>
  <c r="N45" i="194"/>
  <c r="M45" i="194"/>
  <c r="K45" i="194"/>
  <c r="J45" i="194"/>
  <c r="H45" i="194"/>
  <c r="G45" i="194"/>
  <c r="D43" i="194"/>
  <c r="F43" i="194" s="1"/>
  <c r="F45" i="194" s="1"/>
  <c r="R41" i="194"/>
  <c r="Q40" i="194"/>
  <c r="P40" i="194"/>
  <c r="O40" i="194"/>
  <c r="N40" i="194"/>
  <c r="M40" i="194"/>
  <c r="L40" i="194"/>
  <c r="K40" i="194"/>
  <c r="J40" i="194"/>
  <c r="I40" i="194"/>
  <c r="H40" i="194"/>
  <c r="G40" i="194"/>
  <c r="F40" i="194"/>
  <c r="R40" i="194" s="1"/>
  <c r="R39" i="194"/>
  <c r="R38" i="194"/>
  <c r="D28" i="194"/>
  <c r="I28" i="194" s="1"/>
  <c r="O26" i="194"/>
  <c r="M26" i="194"/>
  <c r="D26" i="194"/>
  <c r="J26" i="194" s="1"/>
  <c r="D24" i="194"/>
  <c r="D16" i="194"/>
  <c r="D14" i="194"/>
  <c r="M12" i="194"/>
  <c r="K12" i="194"/>
  <c r="D12" i="194"/>
  <c r="D3" i="194"/>
  <c r="D2" i="194"/>
  <c r="D1" i="194"/>
  <c r="D27" i="194" s="1"/>
  <c r="G86" i="193"/>
  <c r="Q83" i="193"/>
  <c r="P83" i="193"/>
  <c r="O83" i="193"/>
  <c r="N83" i="193"/>
  <c r="M83" i="193"/>
  <c r="L83" i="193"/>
  <c r="K83" i="193"/>
  <c r="J83" i="193"/>
  <c r="I83" i="193"/>
  <c r="H83" i="193"/>
  <c r="G83" i="193"/>
  <c r="Q76" i="193"/>
  <c r="P76" i="193"/>
  <c r="D53" i="193"/>
  <c r="G53" i="193" s="1"/>
  <c r="D52" i="193"/>
  <c r="P47" i="193"/>
  <c r="O47" i="193"/>
  <c r="M47" i="193"/>
  <c r="L47" i="193"/>
  <c r="J47" i="193"/>
  <c r="I47" i="193"/>
  <c r="H47" i="193"/>
  <c r="G47" i="193"/>
  <c r="P45" i="193"/>
  <c r="O45" i="193"/>
  <c r="N45" i="193"/>
  <c r="M45" i="193"/>
  <c r="K45" i="193"/>
  <c r="J45" i="193"/>
  <c r="H45" i="193"/>
  <c r="G45" i="193"/>
  <c r="D44" i="193"/>
  <c r="R41" i="193"/>
  <c r="Q40" i="193"/>
  <c r="P40" i="193"/>
  <c r="O40" i="193"/>
  <c r="N40" i="193"/>
  <c r="M40" i="193"/>
  <c r="L40" i="193"/>
  <c r="K40" i="193"/>
  <c r="J40" i="193"/>
  <c r="I40" i="193"/>
  <c r="H40" i="193"/>
  <c r="G40" i="193"/>
  <c r="F40" i="193"/>
  <c r="R39" i="193"/>
  <c r="R38" i="193"/>
  <c r="D30" i="193"/>
  <c r="D14" i="193"/>
  <c r="M13" i="193"/>
  <c r="D13" i="193"/>
  <c r="D12" i="193"/>
  <c r="D1" i="193"/>
  <c r="D16" i="193" s="1"/>
  <c r="D107" i="192"/>
  <c r="D95" i="192" s="1"/>
  <c r="D101" i="192"/>
  <c r="D100" i="192"/>
  <c r="D99" i="192"/>
  <c r="D90" i="192"/>
  <c r="G86" i="192"/>
  <c r="Q83" i="192"/>
  <c r="P83" i="192"/>
  <c r="O83" i="192"/>
  <c r="N83" i="192"/>
  <c r="M83" i="192"/>
  <c r="L83" i="192"/>
  <c r="K83" i="192"/>
  <c r="J83" i="192"/>
  <c r="I83" i="192"/>
  <c r="H83" i="192"/>
  <c r="G83" i="192"/>
  <c r="D80" i="192"/>
  <c r="Q76" i="192"/>
  <c r="P76" i="192"/>
  <c r="D71" i="192"/>
  <c r="D68" i="192"/>
  <c r="M54" i="192"/>
  <c r="L54" i="192"/>
  <c r="D54" i="192"/>
  <c r="N54" i="192" s="1"/>
  <c r="D53" i="192"/>
  <c r="M53" i="192" s="1"/>
  <c r="M50" i="192"/>
  <c r="I50" i="192"/>
  <c r="D50" i="192"/>
  <c r="P47" i="192"/>
  <c r="O47" i="192"/>
  <c r="M47" i="192"/>
  <c r="L47" i="192"/>
  <c r="J47" i="192"/>
  <c r="I47" i="192"/>
  <c r="H47" i="192"/>
  <c r="G47" i="192"/>
  <c r="P45" i="192"/>
  <c r="O45" i="192"/>
  <c r="N45" i="192"/>
  <c r="M45" i="192"/>
  <c r="K45" i="192"/>
  <c r="J45" i="192"/>
  <c r="H45" i="192"/>
  <c r="G45" i="192"/>
  <c r="D44" i="192"/>
  <c r="D43" i="192"/>
  <c r="R41" i="192"/>
  <c r="Q40" i="192"/>
  <c r="P40" i="192"/>
  <c r="O40" i="192"/>
  <c r="N40" i="192"/>
  <c r="M40" i="192"/>
  <c r="L40" i="192"/>
  <c r="K40" i="192"/>
  <c r="J40" i="192"/>
  <c r="I40" i="192"/>
  <c r="H40" i="192"/>
  <c r="G40" i="192"/>
  <c r="F40" i="192"/>
  <c r="R40" i="192" s="1"/>
  <c r="R39" i="192"/>
  <c r="R38" i="192"/>
  <c r="D36" i="192"/>
  <c r="D33" i="192"/>
  <c r="I33" i="192" s="1"/>
  <c r="D32" i="192"/>
  <c r="L32" i="192" s="1"/>
  <c r="D30" i="192"/>
  <c r="O30" i="192" s="1"/>
  <c r="J29" i="192"/>
  <c r="D29" i="192"/>
  <c r="M29" i="192" s="1"/>
  <c r="P27" i="192"/>
  <c r="L27" i="192"/>
  <c r="K27" i="192"/>
  <c r="G27" i="192"/>
  <c r="F27" i="192"/>
  <c r="D27" i="192"/>
  <c r="M26" i="192"/>
  <c r="K26" i="192"/>
  <c r="F26" i="192"/>
  <c r="D26" i="192"/>
  <c r="N26" i="192" s="1"/>
  <c r="D24" i="192"/>
  <c r="J16" i="192"/>
  <c r="D16" i="192"/>
  <c r="N16" i="192" s="1"/>
  <c r="J14" i="192"/>
  <c r="D14" i="192"/>
  <c r="N14" i="192" s="1"/>
  <c r="P13" i="192"/>
  <c r="L13" i="192"/>
  <c r="K13" i="192"/>
  <c r="G13" i="192"/>
  <c r="F13" i="192"/>
  <c r="D13" i="192"/>
  <c r="J12" i="192"/>
  <c r="D12" i="192"/>
  <c r="L10" i="192"/>
  <c r="I10" i="192"/>
  <c r="D10" i="192"/>
  <c r="K10" i="192" s="1"/>
  <c r="D9" i="192"/>
  <c r="D7" i="192"/>
  <c r="J7" i="192" s="1"/>
  <c r="D6" i="192"/>
  <c r="P5" i="192"/>
  <c r="O5" i="192"/>
  <c r="K5" i="192"/>
  <c r="I5" i="192"/>
  <c r="H5" i="192"/>
  <c r="D5" i="192"/>
  <c r="O4" i="192"/>
  <c r="K4" i="192"/>
  <c r="G4" i="192"/>
  <c r="D4" i="192"/>
  <c r="P3" i="192"/>
  <c r="O3" i="192"/>
  <c r="M3" i="192"/>
  <c r="L3" i="192"/>
  <c r="J3" i="192"/>
  <c r="I3" i="192"/>
  <c r="G3" i="192"/>
  <c r="F3" i="192"/>
  <c r="D3" i="192"/>
  <c r="N3" i="192" s="1"/>
  <c r="D2" i="192"/>
  <c r="D1" i="192"/>
  <c r="G86" i="191"/>
  <c r="Q83" i="191"/>
  <c r="P83" i="191"/>
  <c r="O83" i="191"/>
  <c r="N83" i="191"/>
  <c r="M83" i="191"/>
  <c r="L83" i="191"/>
  <c r="K83" i="191"/>
  <c r="J83" i="191"/>
  <c r="I83" i="191"/>
  <c r="H83" i="191"/>
  <c r="G83" i="191"/>
  <c r="Q76" i="191"/>
  <c r="P76" i="191"/>
  <c r="P47" i="191"/>
  <c r="O47" i="191"/>
  <c r="M47" i="191"/>
  <c r="L47" i="191"/>
  <c r="J47" i="191"/>
  <c r="I47" i="191"/>
  <c r="H47" i="191"/>
  <c r="G47" i="191"/>
  <c r="P45" i="191"/>
  <c r="O45" i="191"/>
  <c r="N45" i="191"/>
  <c r="M45" i="191"/>
  <c r="K45" i="191"/>
  <c r="J45" i="191"/>
  <c r="H45" i="191"/>
  <c r="G45" i="191"/>
  <c r="R41" i="191"/>
  <c r="Q40" i="191"/>
  <c r="P40" i="191"/>
  <c r="O40" i="191"/>
  <c r="N40" i="191"/>
  <c r="M40" i="191"/>
  <c r="L40" i="191"/>
  <c r="K40" i="191"/>
  <c r="J40" i="191"/>
  <c r="I40" i="191"/>
  <c r="H40" i="191"/>
  <c r="G40" i="191"/>
  <c r="F40" i="191"/>
  <c r="R39" i="191"/>
  <c r="R38" i="191"/>
  <c r="D12" i="191"/>
  <c r="D1" i="191"/>
  <c r="G86" i="190"/>
  <c r="Q83" i="190"/>
  <c r="P83" i="190"/>
  <c r="O83" i="190"/>
  <c r="N83" i="190"/>
  <c r="M83" i="190"/>
  <c r="L83" i="190"/>
  <c r="K83" i="190"/>
  <c r="J83" i="190"/>
  <c r="I83" i="190"/>
  <c r="H83" i="190"/>
  <c r="G83" i="190"/>
  <c r="Q76" i="190"/>
  <c r="P76" i="190"/>
  <c r="P47" i="190"/>
  <c r="O47" i="190"/>
  <c r="M47" i="190"/>
  <c r="L47" i="190"/>
  <c r="J47" i="190"/>
  <c r="I47" i="190"/>
  <c r="H47" i="190"/>
  <c r="G47" i="190"/>
  <c r="P45" i="190"/>
  <c r="O45" i="190"/>
  <c r="N45" i="190"/>
  <c r="M45" i="190"/>
  <c r="K45" i="190"/>
  <c r="J45" i="190"/>
  <c r="H45" i="190"/>
  <c r="G45" i="190"/>
  <c r="R41" i="190"/>
  <c r="Q40" i="190"/>
  <c r="P40" i="190"/>
  <c r="O40" i="190"/>
  <c r="N40" i="190"/>
  <c r="M40" i="190"/>
  <c r="L40" i="190"/>
  <c r="K40" i="190"/>
  <c r="J40" i="190"/>
  <c r="I40" i="190"/>
  <c r="H40" i="190"/>
  <c r="G40" i="190"/>
  <c r="F40" i="190"/>
  <c r="R40" i="190" s="1"/>
  <c r="R39" i="190"/>
  <c r="R38" i="190"/>
  <c r="D1" i="190"/>
  <c r="D104" i="190" s="1"/>
  <c r="D94" i="190" s="1"/>
  <c r="D101" i="189"/>
  <c r="G86" i="189"/>
  <c r="Q83" i="189"/>
  <c r="P83" i="189"/>
  <c r="O83" i="189"/>
  <c r="N83" i="189"/>
  <c r="M83" i="189"/>
  <c r="L83" i="189"/>
  <c r="K83" i="189"/>
  <c r="J83" i="189"/>
  <c r="I83" i="189"/>
  <c r="H83" i="189"/>
  <c r="G83" i="189"/>
  <c r="Q76" i="189"/>
  <c r="P76" i="189"/>
  <c r="D56" i="189"/>
  <c r="I56" i="189" s="1"/>
  <c r="D51" i="189"/>
  <c r="L51" i="189" s="1"/>
  <c r="P47" i="189"/>
  <c r="O47" i="189"/>
  <c r="M47" i="189"/>
  <c r="L47" i="189"/>
  <c r="J47" i="189"/>
  <c r="I47" i="189"/>
  <c r="H47" i="189"/>
  <c r="G47" i="189"/>
  <c r="P45" i="189"/>
  <c r="O45" i="189"/>
  <c r="N45" i="189"/>
  <c r="M45" i="189"/>
  <c r="K45" i="189"/>
  <c r="J45" i="189"/>
  <c r="H45" i="189"/>
  <c r="G45" i="189"/>
  <c r="R41" i="189"/>
  <c r="Q40" i="189"/>
  <c r="P40" i="189"/>
  <c r="O40" i="189"/>
  <c r="N40" i="189"/>
  <c r="M40" i="189"/>
  <c r="L40" i="189"/>
  <c r="K40" i="189"/>
  <c r="J40" i="189"/>
  <c r="I40" i="189"/>
  <c r="H40" i="189"/>
  <c r="G40" i="189"/>
  <c r="F40" i="189"/>
  <c r="R40" i="189" s="1"/>
  <c r="R39" i="189"/>
  <c r="R38" i="189"/>
  <c r="D32" i="189"/>
  <c r="L32" i="189" s="1"/>
  <c r="D26" i="189"/>
  <c r="D24" i="189"/>
  <c r="F24" i="189" s="1"/>
  <c r="D12" i="189"/>
  <c r="K12" i="189" s="1"/>
  <c r="D8" i="189"/>
  <c r="D1" i="189"/>
  <c r="D88" i="189" s="1"/>
  <c r="D100" i="188"/>
  <c r="G86" i="188"/>
  <c r="Q83" i="188"/>
  <c r="P83" i="188"/>
  <c r="O83" i="188"/>
  <c r="N83" i="188"/>
  <c r="M83" i="188"/>
  <c r="L83" i="188"/>
  <c r="K83" i="188"/>
  <c r="J83" i="188"/>
  <c r="I83" i="188"/>
  <c r="H83" i="188"/>
  <c r="G83" i="188"/>
  <c r="Q76" i="188"/>
  <c r="P76" i="188"/>
  <c r="K74" i="188"/>
  <c r="D74" i="188"/>
  <c r="H73" i="188"/>
  <c r="D73" i="188"/>
  <c r="D71" i="188"/>
  <c r="D68" i="188"/>
  <c r="D66" i="188"/>
  <c r="K66" i="188" s="1"/>
  <c r="D65" i="188"/>
  <c r="D63" i="188"/>
  <c r="K61" i="188"/>
  <c r="D61" i="188"/>
  <c r="K50" i="188"/>
  <c r="D50" i="188"/>
  <c r="D49" i="188"/>
  <c r="P47" i="188"/>
  <c r="O47" i="188"/>
  <c r="M47" i="188"/>
  <c r="L47" i="188"/>
  <c r="J47" i="188"/>
  <c r="I47" i="188"/>
  <c r="H47" i="188"/>
  <c r="G47" i="188"/>
  <c r="P45" i="188"/>
  <c r="O45" i="188"/>
  <c r="N45" i="188"/>
  <c r="M45" i="188"/>
  <c r="K45" i="188"/>
  <c r="J45" i="188"/>
  <c r="H45" i="188"/>
  <c r="G45" i="188"/>
  <c r="R41" i="188"/>
  <c r="Q40" i="188"/>
  <c r="P40" i="188"/>
  <c r="O40" i="188"/>
  <c r="N40" i="188"/>
  <c r="M40" i="188"/>
  <c r="L40" i="188"/>
  <c r="K40" i="188"/>
  <c r="J40" i="188"/>
  <c r="I40" i="188"/>
  <c r="H40" i="188"/>
  <c r="G40" i="188"/>
  <c r="F40" i="188"/>
  <c r="R39" i="188"/>
  <c r="R38" i="188"/>
  <c r="D36" i="188"/>
  <c r="D30" i="188"/>
  <c r="D28" i="188"/>
  <c r="D27" i="188"/>
  <c r="L27" i="188" s="1"/>
  <c r="D26" i="188"/>
  <c r="D24" i="188"/>
  <c r="D16" i="188"/>
  <c r="K16" i="188" s="1"/>
  <c r="D14" i="188"/>
  <c r="P14" i="188" s="1"/>
  <c r="K13" i="188"/>
  <c r="D13" i="188"/>
  <c r="D11" i="188"/>
  <c r="F11" i="188" s="1"/>
  <c r="J10" i="188"/>
  <c r="D10" i="188"/>
  <c r="O10" i="188" s="1"/>
  <c r="I9" i="188"/>
  <c r="D9" i="188"/>
  <c r="N9" i="188" s="1"/>
  <c r="P8" i="188"/>
  <c r="K8" i="188"/>
  <c r="I8" i="188"/>
  <c r="D8" i="188"/>
  <c r="P7" i="188"/>
  <c r="K7" i="188"/>
  <c r="I7" i="188"/>
  <c r="D7" i="188"/>
  <c r="M7" i="188" s="1"/>
  <c r="O6" i="188"/>
  <c r="K6" i="188"/>
  <c r="H6" i="188"/>
  <c r="D6" i="188"/>
  <c r="D1" i="188"/>
  <c r="D103" i="188" s="1"/>
  <c r="G86" i="187"/>
  <c r="Q83" i="187"/>
  <c r="P83" i="187"/>
  <c r="O83" i="187"/>
  <c r="N83" i="187"/>
  <c r="M83" i="187"/>
  <c r="L83" i="187"/>
  <c r="K83" i="187"/>
  <c r="J83" i="187"/>
  <c r="I83" i="187"/>
  <c r="H83" i="187"/>
  <c r="G83" i="187"/>
  <c r="Q76" i="187"/>
  <c r="P76" i="187"/>
  <c r="P47" i="187"/>
  <c r="O47" i="187"/>
  <c r="M47" i="187"/>
  <c r="L47" i="187"/>
  <c r="J47" i="187"/>
  <c r="I47" i="187"/>
  <c r="H47" i="187"/>
  <c r="G47" i="187"/>
  <c r="P45" i="187"/>
  <c r="O45" i="187"/>
  <c r="N45" i="187"/>
  <c r="M45" i="187"/>
  <c r="K45" i="187"/>
  <c r="J45" i="187"/>
  <c r="H45" i="187"/>
  <c r="G45" i="187"/>
  <c r="R41" i="187"/>
  <c r="Q40" i="187"/>
  <c r="P40" i="187"/>
  <c r="O40" i="187"/>
  <c r="N40" i="187"/>
  <c r="M40" i="187"/>
  <c r="L40" i="187"/>
  <c r="K40" i="187"/>
  <c r="J40" i="187"/>
  <c r="I40" i="187"/>
  <c r="H40" i="187"/>
  <c r="G40" i="187"/>
  <c r="F40" i="187"/>
  <c r="R39" i="187"/>
  <c r="R38" i="187"/>
  <c r="D1" i="187"/>
  <c r="D105" i="186"/>
  <c r="D99" i="186"/>
  <c r="G86" i="186"/>
  <c r="Q83" i="186"/>
  <c r="P83" i="186"/>
  <c r="O83" i="186"/>
  <c r="N83" i="186"/>
  <c r="M83" i="186"/>
  <c r="L83" i="186"/>
  <c r="K83" i="186"/>
  <c r="J83" i="186"/>
  <c r="I83" i="186"/>
  <c r="H83" i="186"/>
  <c r="G83" i="186"/>
  <c r="D77" i="186"/>
  <c r="Q76" i="186"/>
  <c r="P76" i="186"/>
  <c r="D67" i="186"/>
  <c r="H67" i="186" s="1"/>
  <c r="D62" i="186"/>
  <c r="D49" i="186"/>
  <c r="P47" i="186"/>
  <c r="O47" i="186"/>
  <c r="M47" i="186"/>
  <c r="L47" i="186"/>
  <c r="J47" i="186"/>
  <c r="I47" i="186"/>
  <c r="H47" i="186"/>
  <c r="G47" i="186"/>
  <c r="P45" i="186"/>
  <c r="O45" i="186"/>
  <c r="N45" i="186"/>
  <c r="M45" i="186"/>
  <c r="K45" i="186"/>
  <c r="J45" i="186"/>
  <c r="H45" i="186"/>
  <c r="G45" i="186"/>
  <c r="R41" i="186"/>
  <c r="Q40" i="186"/>
  <c r="P40" i="186"/>
  <c r="O40" i="186"/>
  <c r="N40" i="186"/>
  <c r="M40" i="186"/>
  <c r="L40" i="186"/>
  <c r="K40" i="186"/>
  <c r="J40" i="186"/>
  <c r="I40" i="186"/>
  <c r="H40" i="186"/>
  <c r="G40" i="186"/>
  <c r="F40" i="186"/>
  <c r="R39" i="186"/>
  <c r="R38" i="186"/>
  <c r="D32" i="186"/>
  <c r="M32" i="186" s="1"/>
  <c r="D30" i="186"/>
  <c r="L30" i="186" s="1"/>
  <c r="D26" i="186"/>
  <c r="N26" i="186" s="1"/>
  <c r="D24" i="186"/>
  <c r="D12" i="186"/>
  <c r="D6" i="186"/>
  <c r="J6" i="186" s="1"/>
  <c r="N5" i="186"/>
  <c r="M5" i="186"/>
  <c r="L5" i="186"/>
  <c r="H5" i="186"/>
  <c r="G5" i="186"/>
  <c r="F5" i="186"/>
  <c r="D5" i="186"/>
  <c r="P3" i="186"/>
  <c r="K3" i="186"/>
  <c r="J3" i="186"/>
  <c r="D3" i="186"/>
  <c r="D2" i="186"/>
  <c r="D1" i="186"/>
  <c r="D81" i="186" s="1"/>
  <c r="G86" i="185"/>
  <c r="Q83" i="185"/>
  <c r="P83" i="185"/>
  <c r="O83" i="185"/>
  <c r="N83" i="185"/>
  <c r="M83" i="185"/>
  <c r="L83" i="185"/>
  <c r="K83" i="185"/>
  <c r="J83" i="185"/>
  <c r="I83" i="185"/>
  <c r="H83" i="185"/>
  <c r="G83" i="185"/>
  <c r="Q76" i="185"/>
  <c r="P76" i="185"/>
  <c r="P47" i="185"/>
  <c r="O47" i="185"/>
  <c r="M47" i="185"/>
  <c r="L47" i="185"/>
  <c r="J47" i="185"/>
  <c r="I47" i="185"/>
  <c r="H47" i="185"/>
  <c r="G47" i="185"/>
  <c r="P45" i="185"/>
  <c r="O45" i="185"/>
  <c r="N45" i="185"/>
  <c r="M45" i="185"/>
  <c r="K45" i="185"/>
  <c r="J45" i="185"/>
  <c r="H45" i="185"/>
  <c r="G45" i="185"/>
  <c r="R41" i="185"/>
  <c r="Q40" i="185"/>
  <c r="P40" i="185"/>
  <c r="O40" i="185"/>
  <c r="N40" i="185"/>
  <c r="M40" i="185"/>
  <c r="L40" i="185"/>
  <c r="K40" i="185"/>
  <c r="J40" i="185"/>
  <c r="I40" i="185"/>
  <c r="H40" i="185"/>
  <c r="G40" i="185"/>
  <c r="F40" i="185"/>
  <c r="R40" i="185" s="1"/>
  <c r="R39" i="185"/>
  <c r="R38" i="185"/>
  <c r="D1" i="185"/>
  <c r="D107" i="184"/>
  <c r="D95" i="184" s="1"/>
  <c r="D100" i="184"/>
  <c r="G86" i="184"/>
  <c r="Q83" i="184"/>
  <c r="P83" i="184"/>
  <c r="O83" i="184"/>
  <c r="N83" i="184"/>
  <c r="M83" i="184"/>
  <c r="L83" i="184"/>
  <c r="K83" i="184"/>
  <c r="J83" i="184"/>
  <c r="I83" i="184"/>
  <c r="H83" i="184"/>
  <c r="G83" i="184"/>
  <c r="Q76" i="184"/>
  <c r="P76" i="184"/>
  <c r="P47" i="184"/>
  <c r="O47" i="184"/>
  <c r="M47" i="184"/>
  <c r="L47" i="184"/>
  <c r="J47" i="184"/>
  <c r="I47" i="184"/>
  <c r="H47" i="184"/>
  <c r="G47" i="184"/>
  <c r="P45" i="184"/>
  <c r="O45" i="184"/>
  <c r="N45" i="184"/>
  <c r="M45" i="184"/>
  <c r="K45" i="184"/>
  <c r="J45" i="184"/>
  <c r="H45" i="184"/>
  <c r="G45" i="184"/>
  <c r="R41" i="184"/>
  <c r="Q40" i="184"/>
  <c r="P40" i="184"/>
  <c r="O40" i="184"/>
  <c r="N40" i="184"/>
  <c r="M40" i="184"/>
  <c r="L40" i="184"/>
  <c r="K40" i="184"/>
  <c r="J40" i="184"/>
  <c r="I40" i="184"/>
  <c r="H40" i="184"/>
  <c r="G40" i="184"/>
  <c r="F40" i="184"/>
  <c r="R40" i="184" s="1"/>
  <c r="R39" i="184"/>
  <c r="R38" i="184"/>
  <c r="D33" i="184"/>
  <c r="F33" i="184" s="1"/>
  <c r="D11" i="184"/>
  <c r="G10" i="184"/>
  <c r="D10" i="184"/>
  <c r="O8" i="184"/>
  <c r="K8" i="184"/>
  <c r="D8" i="184"/>
  <c r="M7" i="184"/>
  <c r="K7" i="184"/>
  <c r="G7" i="184"/>
  <c r="D7" i="184"/>
  <c r="D5" i="184"/>
  <c r="M4" i="184"/>
  <c r="D4" i="184"/>
  <c r="G4" i="184" s="1"/>
  <c r="D2" i="184"/>
  <c r="D1" i="184"/>
  <c r="G86" i="183"/>
  <c r="Q83" i="183"/>
  <c r="P83" i="183"/>
  <c r="O83" i="183"/>
  <c r="N83" i="183"/>
  <c r="M83" i="183"/>
  <c r="L83" i="183"/>
  <c r="K83" i="183"/>
  <c r="J83" i="183"/>
  <c r="I83" i="183"/>
  <c r="H83" i="183"/>
  <c r="G83" i="183"/>
  <c r="Q76" i="183"/>
  <c r="P76" i="183"/>
  <c r="P47" i="183"/>
  <c r="O47" i="183"/>
  <c r="M47" i="183"/>
  <c r="L47" i="183"/>
  <c r="J47" i="183"/>
  <c r="I47" i="183"/>
  <c r="H47" i="183"/>
  <c r="G47" i="183"/>
  <c r="P45" i="183"/>
  <c r="O45" i="183"/>
  <c r="N45" i="183"/>
  <c r="M45" i="183"/>
  <c r="K45" i="183"/>
  <c r="J45" i="183"/>
  <c r="H45" i="183"/>
  <c r="G45" i="183"/>
  <c r="R41" i="183"/>
  <c r="Q40" i="183"/>
  <c r="P40" i="183"/>
  <c r="O40" i="183"/>
  <c r="N40" i="183"/>
  <c r="M40" i="183"/>
  <c r="L40" i="183"/>
  <c r="K40" i="183"/>
  <c r="J40" i="183"/>
  <c r="I40" i="183"/>
  <c r="H40" i="183"/>
  <c r="G40" i="183"/>
  <c r="F40" i="183"/>
  <c r="R40" i="183" s="1"/>
  <c r="R39" i="183"/>
  <c r="R38" i="183"/>
  <c r="M32" i="183"/>
  <c r="D32" i="183"/>
  <c r="P32" i="183" s="1"/>
  <c r="D30" i="183"/>
  <c r="P30" i="183" s="1"/>
  <c r="L28" i="183"/>
  <c r="D28" i="183"/>
  <c r="D17" i="183"/>
  <c r="O17" i="183" s="1"/>
  <c r="D15" i="183"/>
  <c r="P6" i="183"/>
  <c r="N6" i="183"/>
  <c r="H6" i="183"/>
  <c r="G6" i="183"/>
  <c r="D6" i="183"/>
  <c r="M6" i="183" s="1"/>
  <c r="H4" i="183"/>
  <c r="D4" i="183"/>
  <c r="M3" i="183"/>
  <c r="G3" i="183"/>
  <c r="D3" i="183"/>
  <c r="N3" i="183" s="1"/>
  <c r="D2" i="183"/>
  <c r="D1" i="183"/>
  <c r="D100" i="182"/>
  <c r="D88" i="182"/>
  <c r="G86" i="182"/>
  <c r="Q83" i="182"/>
  <c r="P83" i="182"/>
  <c r="O83" i="182"/>
  <c r="N83" i="182"/>
  <c r="M83" i="182"/>
  <c r="L83" i="182"/>
  <c r="K83" i="182"/>
  <c r="J83" i="182"/>
  <c r="I83" i="182"/>
  <c r="H83" i="182"/>
  <c r="G83" i="182"/>
  <c r="Q76" i="182"/>
  <c r="P76" i="182"/>
  <c r="D75" i="182"/>
  <c r="D74" i="182"/>
  <c r="D50" i="182"/>
  <c r="P47" i="182"/>
  <c r="O47" i="182"/>
  <c r="M47" i="182"/>
  <c r="L47" i="182"/>
  <c r="J47" i="182"/>
  <c r="I47" i="182"/>
  <c r="H47" i="182"/>
  <c r="G47" i="182"/>
  <c r="P45" i="182"/>
  <c r="O45" i="182"/>
  <c r="N45" i="182"/>
  <c r="M45" i="182"/>
  <c r="K45" i="182"/>
  <c r="J45" i="182"/>
  <c r="H45" i="182"/>
  <c r="G45" i="182"/>
  <c r="R41" i="182"/>
  <c r="Q40" i="182"/>
  <c r="P40" i="182"/>
  <c r="O40" i="182"/>
  <c r="N40" i="182"/>
  <c r="M40" i="182"/>
  <c r="L40" i="182"/>
  <c r="K40" i="182"/>
  <c r="J40" i="182"/>
  <c r="I40" i="182"/>
  <c r="H40" i="182"/>
  <c r="G40" i="182"/>
  <c r="F40" i="182"/>
  <c r="R39" i="182"/>
  <c r="R38" i="182"/>
  <c r="D30" i="182"/>
  <c r="N30" i="182" s="1"/>
  <c r="D9" i="182"/>
  <c r="M9" i="182" s="1"/>
  <c r="M5" i="182"/>
  <c r="K5" i="182"/>
  <c r="J5" i="182"/>
  <c r="D5" i="182"/>
  <c r="L4" i="182"/>
  <c r="K4" i="182"/>
  <c r="D4" i="182"/>
  <c r="L3" i="182"/>
  <c r="K3" i="182"/>
  <c r="D3" i="182"/>
  <c r="D2" i="182"/>
  <c r="D1" i="182"/>
  <c r="D107" i="181"/>
  <c r="D95" i="181" s="1"/>
  <c r="D105" i="181"/>
  <c r="D103" i="181"/>
  <c r="D100" i="181"/>
  <c r="D91" i="181"/>
  <c r="G86" i="181"/>
  <c r="Q83" i="181"/>
  <c r="P83" i="181"/>
  <c r="O83" i="181"/>
  <c r="N83" i="181"/>
  <c r="M83" i="181"/>
  <c r="L83" i="181"/>
  <c r="K83" i="181"/>
  <c r="J83" i="181"/>
  <c r="I83" i="181"/>
  <c r="H83" i="181"/>
  <c r="G83" i="181"/>
  <c r="D80" i="181"/>
  <c r="F80" i="181" s="1"/>
  <c r="Q76" i="181"/>
  <c r="P76" i="181"/>
  <c r="D75" i="181"/>
  <c r="N75" i="181" s="1"/>
  <c r="N74" i="181"/>
  <c r="D74" i="181"/>
  <c r="D71" i="181"/>
  <c r="D67" i="181"/>
  <c r="D63" i="181"/>
  <c r="J61" i="181"/>
  <c r="I61" i="181"/>
  <c r="D61" i="181"/>
  <c r="D55" i="181"/>
  <c r="D54" i="181"/>
  <c r="D53" i="181"/>
  <c r="D52" i="181"/>
  <c r="P47" i="181"/>
  <c r="O47" i="181"/>
  <c r="M47" i="181"/>
  <c r="L47" i="181"/>
  <c r="J47" i="181"/>
  <c r="I47" i="181"/>
  <c r="H47" i="181"/>
  <c r="G47" i="181"/>
  <c r="D46" i="181"/>
  <c r="P45" i="181"/>
  <c r="O45" i="181"/>
  <c r="N45" i="181"/>
  <c r="M45" i="181"/>
  <c r="K45" i="181"/>
  <c r="J45" i="181"/>
  <c r="H45" i="181"/>
  <c r="G45" i="181"/>
  <c r="D43" i="181"/>
  <c r="F43" i="181" s="1"/>
  <c r="F45" i="181" s="1"/>
  <c r="R41" i="181"/>
  <c r="Q40" i="181"/>
  <c r="P40" i="181"/>
  <c r="O40" i="181"/>
  <c r="N40" i="181"/>
  <c r="M40" i="181"/>
  <c r="L40" i="181"/>
  <c r="K40" i="181"/>
  <c r="J40" i="181"/>
  <c r="I40" i="181"/>
  <c r="H40" i="181"/>
  <c r="G40" i="181"/>
  <c r="F40" i="181"/>
  <c r="R40" i="181" s="1"/>
  <c r="R39" i="181"/>
  <c r="R38" i="181"/>
  <c r="P31" i="181"/>
  <c r="M31" i="181"/>
  <c r="D31" i="181"/>
  <c r="P28" i="181"/>
  <c r="N28" i="181"/>
  <c r="L28" i="181"/>
  <c r="D28" i="181"/>
  <c r="J26" i="181"/>
  <c r="I26" i="181"/>
  <c r="F26" i="181"/>
  <c r="D26" i="181"/>
  <c r="O26" i="181" s="1"/>
  <c r="D24" i="181"/>
  <c r="K17" i="181"/>
  <c r="D17" i="181"/>
  <c r="N17" i="181" s="1"/>
  <c r="D15" i="181"/>
  <c r="O13" i="181"/>
  <c r="K13" i="181"/>
  <c r="D13" i="181"/>
  <c r="F11" i="181"/>
  <c r="D11" i="181"/>
  <c r="K10" i="181"/>
  <c r="D10" i="181"/>
  <c r="D8" i="181"/>
  <c r="P7" i="181"/>
  <c r="J7" i="181"/>
  <c r="D7" i="181"/>
  <c r="L7" i="181" s="1"/>
  <c r="D1" i="181"/>
  <c r="D107" i="180"/>
  <c r="D105" i="180"/>
  <c r="D101" i="180"/>
  <c r="D100" i="180"/>
  <c r="D99" i="180"/>
  <c r="D95" i="180"/>
  <c r="D91" i="180"/>
  <c r="G86" i="180"/>
  <c r="Q83" i="180"/>
  <c r="P83" i="180"/>
  <c r="O83" i="180"/>
  <c r="N83" i="180"/>
  <c r="M83" i="180"/>
  <c r="L83" i="180"/>
  <c r="K83" i="180"/>
  <c r="J83" i="180"/>
  <c r="I83" i="180"/>
  <c r="H83" i="180"/>
  <c r="G83" i="180"/>
  <c r="Q76" i="180"/>
  <c r="P76" i="180"/>
  <c r="D74" i="180"/>
  <c r="L73" i="180"/>
  <c r="H73" i="180"/>
  <c r="D73" i="180"/>
  <c r="K73" i="180" s="1"/>
  <c r="F71" i="180"/>
  <c r="D71" i="180"/>
  <c r="L69" i="180"/>
  <c r="D69" i="180"/>
  <c r="F69" i="180" s="1"/>
  <c r="D68" i="180"/>
  <c r="L66" i="180"/>
  <c r="G66" i="180"/>
  <c r="D66" i="180"/>
  <c r="K66" i="180" s="1"/>
  <c r="D63" i="180"/>
  <c r="I61" i="180"/>
  <c r="D61" i="180"/>
  <c r="L61" i="180" s="1"/>
  <c r="D60" i="180"/>
  <c r="I59" i="180"/>
  <c r="D59" i="180"/>
  <c r="M59" i="180" s="1"/>
  <c r="D58" i="180"/>
  <c r="D53" i="180"/>
  <c r="M53" i="180" s="1"/>
  <c r="M52" i="180"/>
  <c r="L52" i="180"/>
  <c r="H52" i="180"/>
  <c r="D52" i="180"/>
  <c r="N50" i="180"/>
  <c r="L50" i="180"/>
  <c r="K50" i="180"/>
  <c r="F50" i="180"/>
  <c r="D50" i="180"/>
  <c r="H50" i="180" s="1"/>
  <c r="D49" i="180"/>
  <c r="I49" i="180" s="1"/>
  <c r="P47" i="180"/>
  <c r="O47" i="180"/>
  <c r="M47" i="180"/>
  <c r="L47" i="180"/>
  <c r="J47" i="180"/>
  <c r="I47" i="180"/>
  <c r="H47" i="180"/>
  <c r="G47" i="180"/>
  <c r="P45" i="180"/>
  <c r="O45" i="180"/>
  <c r="N45" i="180"/>
  <c r="M45" i="180"/>
  <c r="K45" i="180"/>
  <c r="J45" i="180"/>
  <c r="H45" i="180"/>
  <c r="G45" i="180"/>
  <c r="D44" i="180"/>
  <c r="R41" i="180"/>
  <c r="Q40" i="180"/>
  <c r="P40" i="180"/>
  <c r="O40" i="180"/>
  <c r="N40" i="180"/>
  <c r="M40" i="180"/>
  <c r="L40" i="180"/>
  <c r="K40" i="180"/>
  <c r="J40" i="180"/>
  <c r="I40" i="180"/>
  <c r="H40" i="180"/>
  <c r="G40" i="180"/>
  <c r="F40" i="180"/>
  <c r="R40" i="180" s="1"/>
  <c r="R39" i="180"/>
  <c r="R38" i="180"/>
  <c r="D36" i="180"/>
  <c r="N33" i="180"/>
  <c r="K33" i="180"/>
  <c r="J33" i="180"/>
  <c r="F33" i="180"/>
  <c r="D33" i="180"/>
  <c r="M32" i="180"/>
  <c r="K32" i="180"/>
  <c r="I32" i="180"/>
  <c r="F32" i="180"/>
  <c r="D32" i="180"/>
  <c r="O32" i="180" s="1"/>
  <c r="P31" i="180"/>
  <c r="M31" i="180"/>
  <c r="K31" i="180"/>
  <c r="J31" i="180"/>
  <c r="I31" i="180"/>
  <c r="D31" i="180"/>
  <c r="D30" i="180"/>
  <c r="K30" i="180" s="1"/>
  <c r="O29" i="180"/>
  <c r="K29" i="180"/>
  <c r="I29" i="180"/>
  <c r="D29" i="180"/>
  <c r="L29" i="180" s="1"/>
  <c r="P28" i="180"/>
  <c r="O28" i="180"/>
  <c r="K28" i="180"/>
  <c r="J28" i="180"/>
  <c r="I28" i="180"/>
  <c r="H28" i="180"/>
  <c r="D28" i="180"/>
  <c r="P27" i="180"/>
  <c r="O27" i="180"/>
  <c r="K27" i="180"/>
  <c r="J27" i="180"/>
  <c r="I27" i="180"/>
  <c r="G27" i="180"/>
  <c r="D27" i="180"/>
  <c r="N26" i="180"/>
  <c r="J26" i="180"/>
  <c r="D26" i="180"/>
  <c r="O26" i="180" s="1"/>
  <c r="D24" i="180"/>
  <c r="N17" i="180"/>
  <c r="G17" i="180"/>
  <c r="D17" i="180"/>
  <c r="D15" i="180"/>
  <c r="P13" i="180"/>
  <c r="O13" i="180"/>
  <c r="N13" i="180"/>
  <c r="K13" i="180"/>
  <c r="J13" i="180"/>
  <c r="I13" i="180"/>
  <c r="H13" i="180"/>
  <c r="F13" i="180"/>
  <c r="D13" i="180"/>
  <c r="H12" i="180"/>
  <c r="D12" i="180"/>
  <c r="K12" i="180" s="1"/>
  <c r="D11" i="180"/>
  <c r="P10" i="180"/>
  <c r="O10" i="180"/>
  <c r="N10" i="180"/>
  <c r="K10" i="180"/>
  <c r="J10" i="180"/>
  <c r="I10" i="180"/>
  <c r="H10" i="180"/>
  <c r="G10" i="180"/>
  <c r="D10" i="180"/>
  <c r="P9" i="180"/>
  <c r="O9" i="180"/>
  <c r="M9" i="180"/>
  <c r="K9" i="180"/>
  <c r="J9" i="180"/>
  <c r="I9" i="180"/>
  <c r="G9" i="180"/>
  <c r="F9" i="180"/>
  <c r="D9" i="180"/>
  <c r="O8" i="180"/>
  <c r="N8" i="180"/>
  <c r="M8" i="180"/>
  <c r="K8" i="180"/>
  <c r="I8" i="180"/>
  <c r="H8" i="180"/>
  <c r="G8" i="180"/>
  <c r="F8" i="180"/>
  <c r="D8" i="180"/>
  <c r="P7" i="180"/>
  <c r="N7" i="180"/>
  <c r="J7" i="180"/>
  <c r="I7" i="180"/>
  <c r="G7" i="180"/>
  <c r="D7" i="180"/>
  <c r="K7" i="180" s="1"/>
  <c r="P6" i="180"/>
  <c r="J6" i="180"/>
  <c r="I6" i="180"/>
  <c r="D6" i="180"/>
  <c r="O5" i="180"/>
  <c r="H5" i="180"/>
  <c r="D5" i="180"/>
  <c r="P4" i="180"/>
  <c r="O4" i="180"/>
  <c r="K4" i="180"/>
  <c r="I4" i="180"/>
  <c r="H4" i="180"/>
  <c r="D4" i="180"/>
  <c r="P3" i="180"/>
  <c r="O3" i="180"/>
  <c r="K3" i="180"/>
  <c r="I3" i="180"/>
  <c r="G3" i="180"/>
  <c r="D3" i="180"/>
  <c r="D2" i="180"/>
  <c r="D1" i="180"/>
  <c r="D99" i="179"/>
  <c r="D91" i="179"/>
  <c r="G86" i="179"/>
  <c r="Q83" i="179"/>
  <c r="P83" i="179"/>
  <c r="O83" i="179"/>
  <c r="N83" i="179"/>
  <c r="M83" i="179"/>
  <c r="L83" i="179"/>
  <c r="K83" i="179"/>
  <c r="J83" i="179"/>
  <c r="I83" i="179"/>
  <c r="H83" i="179"/>
  <c r="G83" i="179"/>
  <c r="Q76" i="179"/>
  <c r="P76" i="179"/>
  <c r="D58" i="179"/>
  <c r="D50" i="179"/>
  <c r="I50" i="179" s="1"/>
  <c r="P47" i="179"/>
  <c r="O47" i="179"/>
  <c r="M47" i="179"/>
  <c r="L47" i="179"/>
  <c r="J47" i="179"/>
  <c r="I47" i="179"/>
  <c r="H47" i="179"/>
  <c r="G47" i="179"/>
  <c r="P45" i="179"/>
  <c r="O45" i="179"/>
  <c r="N45" i="179"/>
  <c r="M45" i="179"/>
  <c r="K45" i="179"/>
  <c r="J45" i="179"/>
  <c r="H45" i="179"/>
  <c r="G45" i="179"/>
  <c r="R41" i="179"/>
  <c r="Q40" i="179"/>
  <c r="P40" i="179"/>
  <c r="O40" i="179"/>
  <c r="N40" i="179"/>
  <c r="M40" i="179"/>
  <c r="L40" i="179"/>
  <c r="K40" i="179"/>
  <c r="J40" i="179"/>
  <c r="I40" i="179"/>
  <c r="H40" i="179"/>
  <c r="G40" i="179"/>
  <c r="F40" i="179"/>
  <c r="R39" i="179"/>
  <c r="R38" i="179"/>
  <c r="D33" i="179"/>
  <c r="D31" i="179"/>
  <c r="D27" i="179"/>
  <c r="D17" i="179"/>
  <c r="N17" i="179" s="1"/>
  <c r="D15" i="179"/>
  <c r="N8" i="179"/>
  <c r="L8" i="179"/>
  <c r="D8" i="179"/>
  <c r="D7" i="179"/>
  <c r="M4" i="179"/>
  <c r="D4" i="179"/>
  <c r="D1" i="179"/>
  <c r="G86" i="178"/>
  <c r="Q83" i="178"/>
  <c r="P83" i="178"/>
  <c r="O83" i="178"/>
  <c r="N83" i="178"/>
  <c r="M83" i="178"/>
  <c r="L83" i="178"/>
  <c r="K83" i="178"/>
  <c r="J83" i="178"/>
  <c r="I83" i="178"/>
  <c r="H83" i="178"/>
  <c r="G83" i="178"/>
  <c r="Q76" i="178"/>
  <c r="P76" i="178"/>
  <c r="P47" i="178"/>
  <c r="O47" i="178"/>
  <c r="M47" i="178"/>
  <c r="L47" i="178"/>
  <c r="J47" i="178"/>
  <c r="I47" i="178"/>
  <c r="H47" i="178"/>
  <c r="G47" i="178"/>
  <c r="P45" i="178"/>
  <c r="O45" i="178"/>
  <c r="N45" i="178"/>
  <c r="M45" i="178"/>
  <c r="K45" i="178"/>
  <c r="J45" i="178"/>
  <c r="H45" i="178"/>
  <c r="G45" i="178"/>
  <c r="R41" i="178"/>
  <c r="Q40" i="178"/>
  <c r="P40" i="178"/>
  <c r="O40" i="178"/>
  <c r="N40" i="178"/>
  <c r="M40" i="178"/>
  <c r="L40" i="178"/>
  <c r="K40" i="178"/>
  <c r="J40" i="178"/>
  <c r="I40" i="178"/>
  <c r="H40" i="178"/>
  <c r="G40" i="178"/>
  <c r="F40" i="178"/>
  <c r="R40" i="178" s="1"/>
  <c r="R39" i="178"/>
  <c r="R38" i="178"/>
  <c r="D11" i="178"/>
  <c r="D3" i="178"/>
  <c r="D1" i="178"/>
  <c r="D30" i="178" s="1"/>
  <c r="G86" i="177"/>
  <c r="Q83" i="177"/>
  <c r="P83" i="177"/>
  <c r="O83" i="177"/>
  <c r="N83" i="177"/>
  <c r="M83" i="177"/>
  <c r="L83" i="177"/>
  <c r="K83" i="177"/>
  <c r="J83" i="177"/>
  <c r="I83" i="177"/>
  <c r="H83" i="177"/>
  <c r="G83" i="177"/>
  <c r="Q76" i="177"/>
  <c r="P76" i="177"/>
  <c r="P47" i="177"/>
  <c r="O47" i="177"/>
  <c r="M47" i="177"/>
  <c r="L47" i="177"/>
  <c r="J47" i="177"/>
  <c r="I47" i="177"/>
  <c r="H47" i="177"/>
  <c r="G47" i="177"/>
  <c r="P45" i="177"/>
  <c r="O45" i="177"/>
  <c r="N45" i="177"/>
  <c r="M45" i="177"/>
  <c r="K45" i="177"/>
  <c r="J45" i="177"/>
  <c r="H45" i="177"/>
  <c r="G45" i="177"/>
  <c r="R41" i="177"/>
  <c r="Q40" i="177"/>
  <c r="P40" i="177"/>
  <c r="O40" i="177"/>
  <c r="N40" i="177"/>
  <c r="M40" i="177"/>
  <c r="L40" i="177"/>
  <c r="K40" i="177"/>
  <c r="J40" i="177"/>
  <c r="I40" i="177"/>
  <c r="H40" i="177"/>
  <c r="G40" i="177"/>
  <c r="F40" i="177"/>
  <c r="R40" i="177" s="1"/>
  <c r="R39" i="177"/>
  <c r="R38" i="177"/>
  <c r="D8" i="177"/>
  <c r="D7" i="177"/>
  <c r="D1" i="177"/>
  <c r="G86" i="176"/>
  <c r="Q83" i="176"/>
  <c r="P83" i="176"/>
  <c r="O83" i="176"/>
  <c r="N83" i="176"/>
  <c r="M83" i="176"/>
  <c r="L83" i="176"/>
  <c r="K83" i="176"/>
  <c r="J83" i="176"/>
  <c r="I83" i="176"/>
  <c r="H83" i="176"/>
  <c r="G83" i="176"/>
  <c r="Q76" i="176"/>
  <c r="P76" i="176"/>
  <c r="P47" i="176"/>
  <c r="O47" i="176"/>
  <c r="M47" i="176"/>
  <c r="L47" i="176"/>
  <c r="J47" i="176"/>
  <c r="I47" i="176"/>
  <c r="H47" i="176"/>
  <c r="G47" i="176"/>
  <c r="P45" i="176"/>
  <c r="O45" i="176"/>
  <c r="N45" i="176"/>
  <c r="M45" i="176"/>
  <c r="K45" i="176"/>
  <c r="J45" i="176"/>
  <c r="H45" i="176"/>
  <c r="G45" i="176"/>
  <c r="R41" i="176"/>
  <c r="Q40" i="176"/>
  <c r="P40" i="176"/>
  <c r="O40" i="176"/>
  <c r="N40" i="176"/>
  <c r="M40" i="176"/>
  <c r="L40" i="176"/>
  <c r="K40" i="176"/>
  <c r="J40" i="176"/>
  <c r="I40" i="176"/>
  <c r="H40" i="176"/>
  <c r="G40" i="176"/>
  <c r="F40" i="176"/>
  <c r="R39" i="176"/>
  <c r="R38" i="176"/>
  <c r="D8" i="176"/>
  <c r="M5" i="176"/>
  <c r="D5" i="176"/>
  <c r="D3" i="176"/>
  <c r="N3" i="176" s="1"/>
  <c r="D1" i="176"/>
  <c r="G86" i="175"/>
  <c r="Q83" i="175"/>
  <c r="P83" i="175"/>
  <c r="O83" i="175"/>
  <c r="N83" i="175"/>
  <c r="M83" i="175"/>
  <c r="L83" i="175"/>
  <c r="K83" i="175"/>
  <c r="J83" i="175"/>
  <c r="I83" i="175"/>
  <c r="H83" i="175"/>
  <c r="G83" i="175"/>
  <c r="Q76" i="175"/>
  <c r="P76" i="175"/>
  <c r="D67" i="175"/>
  <c r="D56" i="175"/>
  <c r="P56" i="175" s="1"/>
  <c r="D55" i="175"/>
  <c r="P55" i="175" s="1"/>
  <c r="D51" i="175"/>
  <c r="P47" i="175"/>
  <c r="O47" i="175"/>
  <c r="M47" i="175"/>
  <c r="L47" i="175"/>
  <c r="J47" i="175"/>
  <c r="I47" i="175"/>
  <c r="H47" i="175"/>
  <c r="G47" i="175"/>
  <c r="P45" i="175"/>
  <c r="O45" i="175"/>
  <c r="N45" i="175"/>
  <c r="M45" i="175"/>
  <c r="K45" i="175"/>
  <c r="J45" i="175"/>
  <c r="H45" i="175"/>
  <c r="G45" i="175"/>
  <c r="R41" i="175"/>
  <c r="Q40" i="175"/>
  <c r="P40" i="175"/>
  <c r="O40" i="175"/>
  <c r="N40" i="175"/>
  <c r="M40" i="175"/>
  <c r="L40" i="175"/>
  <c r="K40" i="175"/>
  <c r="J40" i="175"/>
  <c r="I40" i="175"/>
  <c r="H40" i="175"/>
  <c r="G40" i="175"/>
  <c r="F40" i="175"/>
  <c r="R40" i="175" s="1"/>
  <c r="R39" i="175"/>
  <c r="R38" i="175"/>
  <c r="D30" i="175"/>
  <c r="D17" i="175"/>
  <c r="L17" i="175" s="1"/>
  <c r="D15" i="175"/>
  <c r="F15" i="175" s="1"/>
  <c r="D11" i="175"/>
  <c r="K9" i="175"/>
  <c r="D9" i="175"/>
  <c r="K8" i="175"/>
  <c r="D8" i="175"/>
  <c r="D1" i="175"/>
  <c r="D107" i="175" s="1"/>
  <c r="D95" i="175" s="1"/>
  <c r="G86" i="174"/>
  <c r="Q83" i="174"/>
  <c r="P83" i="174"/>
  <c r="O83" i="174"/>
  <c r="N83" i="174"/>
  <c r="M83" i="174"/>
  <c r="L83" i="174"/>
  <c r="K83" i="174"/>
  <c r="J83" i="174"/>
  <c r="I83" i="174"/>
  <c r="H83" i="174"/>
  <c r="G83" i="174"/>
  <c r="Q76" i="174"/>
  <c r="P76" i="174"/>
  <c r="P47" i="174"/>
  <c r="O47" i="174"/>
  <c r="M47" i="174"/>
  <c r="L47" i="174"/>
  <c r="J47" i="174"/>
  <c r="I47" i="174"/>
  <c r="H47" i="174"/>
  <c r="G47" i="174"/>
  <c r="P45" i="174"/>
  <c r="O45" i="174"/>
  <c r="N45" i="174"/>
  <c r="M45" i="174"/>
  <c r="K45" i="174"/>
  <c r="J45" i="174"/>
  <c r="H45" i="174"/>
  <c r="G45" i="174"/>
  <c r="R41" i="174"/>
  <c r="Q40" i="174"/>
  <c r="P40" i="174"/>
  <c r="O40" i="174"/>
  <c r="N40" i="174"/>
  <c r="M40" i="174"/>
  <c r="L40" i="174"/>
  <c r="K40" i="174"/>
  <c r="J40" i="174"/>
  <c r="I40" i="174"/>
  <c r="H40" i="174"/>
  <c r="G40" i="174"/>
  <c r="F40" i="174"/>
  <c r="R40" i="174" s="1"/>
  <c r="R39" i="174"/>
  <c r="R38" i="174"/>
  <c r="D1" i="174"/>
  <c r="D71" i="174" s="1"/>
  <c r="D105" i="173"/>
  <c r="D103" i="173"/>
  <c r="D101" i="173"/>
  <c r="D90" i="173"/>
  <c r="Q90" i="173" s="1"/>
  <c r="D88" i="173"/>
  <c r="G86" i="173"/>
  <c r="Q83" i="173"/>
  <c r="P83" i="173"/>
  <c r="O83" i="173"/>
  <c r="N83" i="173"/>
  <c r="M83" i="173"/>
  <c r="L83" i="173"/>
  <c r="K83" i="173"/>
  <c r="J83" i="173"/>
  <c r="I83" i="173"/>
  <c r="H83" i="173"/>
  <c r="G83" i="173"/>
  <c r="D80" i="173"/>
  <c r="F80" i="173" s="1"/>
  <c r="R80" i="173" s="1"/>
  <c r="Q76" i="173"/>
  <c r="P76" i="173"/>
  <c r="D73" i="173"/>
  <c r="L72" i="173"/>
  <c r="K72" i="173"/>
  <c r="D72" i="173"/>
  <c r="D71" i="173"/>
  <c r="D69" i="173"/>
  <c r="D68" i="173"/>
  <c r="D66" i="173"/>
  <c r="M65" i="173"/>
  <c r="L65" i="173"/>
  <c r="K65" i="173"/>
  <c r="D65" i="173"/>
  <c r="D63" i="173"/>
  <c r="L57" i="173"/>
  <c r="K57" i="173"/>
  <c r="D57" i="173"/>
  <c r="N53" i="173"/>
  <c r="M53" i="173"/>
  <c r="F53" i="173"/>
  <c r="D53" i="173"/>
  <c r="L53" i="173" s="1"/>
  <c r="D52" i="173"/>
  <c r="D50" i="173"/>
  <c r="L49" i="173"/>
  <c r="K49" i="173"/>
  <c r="I49" i="173"/>
  <c r="D49" i="173"/>
  <c r="P47" i="173"/>
  <c r="O47" i="173"/>
  <c r="M47" i="173"/>
  <c r="L47" i="173"/>
  <c r="J47" i="173"/>
  <c r="I47" i="173"/>
  <c r="H47" i="173"/>
  <c r="G47" i="173"/>
  <c r="P45" i="173"/>
  <c r="O45" i="173"/>
  <c r="N45" i="173"/>
  <c r="M45" i="173"/>
  <c r="K45" i="173"/>
  <c r="J45" i="173"/>
  <c r="H45" i="173"/>
  <c r="G45" i="173"/>
  <c r="D44" i="173"/>
  <c r="R41" i="173"/>
  <c r="Q40" i="173"/>
  <c r="P40" i="173"/>
  <c r="O40" i="173"/>
  <c r="N40" i="173"/>
  <c r="M40" i="173"/>
  <c r="L40" i="173"/>
  <c r="K40" i="173"/>
  <c r="J40" i="173"/>
  <c r="I40" i="173"/>
  <c r="H40" i="173"/>
  <c r="G40" i="173"/>
  <c r="F40" i="173"/>
  <c r="R40" i="173" s="1"/>
  <c r="R39" i="173"/>
  <c r="R38" i="173"/>
  <c r="D36" i="173"/>
  <c r="D33" i="173"/>
  <c r="K31" i="173"/>
  <c r="I31" i="173"/>
  <c r="D31" i="173"/>
  <c r="O31" i="173" s="1"/>
  <c r="D30" i="173"/>
  <c r="L28" i="173"/>
  <c r="J28" i="173"/>
  <c r="I28" i="173"/>
  <c r="D28" i="173"/>
  <c r="P27" i="173"/>
  <c r="J27" i="173"/>
  <c r="F27" i="173"/>
  <c r="D27" i="173"/>
  <c r="L27" i="173" s="1"/>
  <c r="D24" i="173"/>
  <c r="L17" i="173"/>
  <c r="D17" i="173"/>
  <c r="P16" i="173"/>
  <c r="O16" i="173"/>
  <c r="K16" i="173"/>
  <c r="I16" i="173"/>
  <c r="H16" i="173"/>
  <c r="D16" i="173"/>
  <c r="F15" i="173"/>
  <c r="D15" i="173"/>
  <c r="D14" i="173"/>
  <c r="M14" i="173" s="1"/>
  <c r="D13" i="173"/>
  <c r="L13" i="173" s="1"/>
  <c r="L12" i="173"/>
  <c r="D12" i="173"/>
  <c r="D10" i="173"/>
  <c r="D9" i="173"/>
  <c r="N9" i="173" s="1"/>
  <c r="O7" i="173"/>
  <c r="N7" i="173"/>
  <c r="K7" i="173"/>
  <c r="J7" i="173"/>
  <c r="H7" i="173"/>
  <c r="F7" i="173"/>
  <c r="D7" i="173"/>
  <c r="P7" i="173" s="1"/>
  <c r="M6" i="173"/>
  <c r="K6" i="173"/>
  <c r="J6" i="173"/>
  <c r="F6" i="173"/>
  <c r="D6" i="173"/>
  <c r="P6" i="173" s="1"/>
  <c r="N5" i="173"/>
  <c r="L5" i="173"/>
  <c r="K5" i="173"/>
  <c r="D5" i="173"/>
  <c r="P4" i="173"/>
  <c r="N4" i="173"/>
  <c r="M4" i="173"/>
  <c r="J4" i="173"/>
  <c r="H4" i="173"/>
  <c r="G4" i="173"/>
  <c r="D4" i="173"/>
  <c r="O4" i="173" s="1"/>
  <c r="P3" i="173"/>
  <c r="O3" i="173"/>
  <c r="L3" i="173"/>
  <c r="J3" i="173"/>
  <c r="I3" i="173"/>
  <c r="F3" i="173"/>
  <c r="D3" i="173"/>
  <c r="N3" i="173" s="1"/>
  <c r="D2" i="173"/>
  <c r="D1" i="173"/>
  <c r="J49" i="238" l="1"/>
  <c r="N49" i="238"/>
  <c r="G49" i="238"/>
  <c r="M49" i="238"/>
  <c r="F49" i="238"/>
  <c r="I49" i="238"/>
  <c r="K49" i="238"/>
  <c r="H49" i="238"/>
  <c r="L49" i="238"/>
  <c r="L36" i="238"/>
  <c r="F36" i="238"/>
  <c r="D3" i="238"/>
  <c r="H6" i="238"/>
  <c r="I12" i="238"/>
  <c r="D14" i="238"/>
  <c r="D17" i="238"/>
  <c r="D26" i="238"/>
  <c r="J32" i="238"/>
  <c r="R44" i="238"/>
  <c r="L53" i="238"/>
  <c r="R82" i="238"/>
  <c r="P16" i="238"/>
  <c r="J16" i="238"/>
  <c r="M16" i="238"/>
  <c r="F16" i="238"/>
  <c r="Q16" i="238" s="1"/>
  <c r="I16" i="238"/>
  <c r="O16" i="238"/>
  <c r="R60" i="238"/>
  <c r="F60" i="238"/>
  <c r="P6" i="238"/>
  <c r="H12" i="238"/>
  <c r="G16" i="238"/>
  <c r="R36" i="238"/>
  <c r="G53" i="238"/>
  <c r="R71" i="238"/>
  <c r="J6" i="238"/>
  <c r="K16" i="238"/>
  <c r="L32" i="238"/>
  <c r="L12" i="238"/>
  <c r="F12" i="238"/>
  <c r="N12" i="238"/>
  <c r="G12" i="238"/>
  <c r="J12" i="238"/>
  <c r="J53" i="238"/>
  <c r="I53" i="238"/>
  <c r="H53" i="238"/>
  <c r="K53" i="238"/>
  <c r="F53" i="238"/>
  <c r="O53" i="238" s="1"/>
  <c r="M53" i="238"/>
  <c r="D104" i="238"/>
  <c r="D94" i="238" s="1"/>
  <c r="D98" i="238"/>
  <c r="D89" i="238"/>
  <c r="D81" i="238"/>
  <c r="D79" i="238"/>
  <c r="D77" i="238"/>
  <c r="D62" i="238"/>
  <c r="D105" i="238"/>
  <c r="D97" i="238"/>
  <c r="D91" i="238"/>
  <c r="D67" i="238"/>
  <c r="D64" i="238"/>
  <c r="D56" i="238"/>
  <c r="D55" i="238"/>
  <c r="D54" i="238"/>
  <c r="D51" i="238"/>
  <c r="D46" i="238"/>
  <c r="D43" i="238"/>
  <c r="D103" i="238"/>
  <c r="D75" i="238"/>
  <c r="D72" i="238"/>
  <c r="D69" i="238"/>
  <c r="D59" i="238"/>
  <c r="D58" i="238"/>
  <c r="D57" i="238"/>
  <c r="D31" i="238"/>
  <c r="D28" i="238"/>
  <c r="D102" i="238"/>
  <c r="D93" i="238" s="1"/>
  <c r="D88" i="238"/>
  <c r="D30" i="238"/>
  <c r="D29" i="238"/>
  <c r="D10" i="238"/>
  <c r="D7" i="238"/>
  <c r="D107" i="238"/>
  <c r="D95" i="238" s="1"/>
  <c r="D73" i="238"/>
  <c r="D66" i="238"/>
  <c r="D63" i="238"/>
  <c r="D52" i="238"/>
  <c r="D50" i="238"/>
  <c r="D33" i="238"/>
  <c r="D27" i="238"/>
  <c r="D5" i="238"/>
  <c r="D2" i="238"/>
  <c r="D100" i="238"/>
  <c r="D61" i="238"/>
  <c r="D13" i="238"/>
  <c r="D9" i="238"/>
  <c r="D8" i="238"/>
  <c r="D11" i="238"/>
  <c r="M12" i="238"/>
  <c r="D15" i="238"/>
  <c r="L16" i="238"/>
  <c r="D24" i="238"/>
  <c r="D74" i="238"/>
  <c r="D90" i="238"/>
  <c r="O6" i="238"/>
  <c r="I6" i="238"/>
  <c r="L6" i="238"/>
  <c r="Q6" i="238" s="1"/>
  <c r="F6" i="238"/>
  <c r="N6" i="238"/>
  <c r="O32" i="238"/>
  <c r="I32" i="238"/>
  <c r="M32" i="238"/>
  <c r="F32" i="238"/>
  <c r="R32" i="238" s="1"/>
  <c r="K32" i="238"/>
  <c r="P32" i="238"/>
  <c r="G32" i="238"/>
  <c r="G6" i="238"/>
  <c r="H32" i="238"/>
  <c r="R68" i="238"/>
  <c r="D4" i="238"/>
  <c r="M6" i="238"/>
  <c r="N16" i="238"/>
  <c r="Q32" i="238"/>
  <c r="D42" i="238"/>
  <c r="D65" i="238"/>
  <c r="D80" i="238"/>
  <c r="D99" i="238"/>
  <c r="O4" i="237"/>
  <c r="I4" i="237"/>
  <c r="J4" i="237"/>
  <c r="P4" i="237"/>
  <c r="H4" i="237"/>
  <c r="N4" i="237"/>
  <c r="G4" i="237"/>
  <c r="M4" i="237"/>
  <c r="L4" i="237"/>
  <c r="K4" i="237"/>
  <c r="F4" i="237"/>
  <c r="Q4" i="237" s="1"/>
  <c r="D24" i="237"/>
  <c r="D55" i="237"/>
  <c r="M26" i="237"/>
  <c r="O26" i="237"/>
  <c r="F26" i="237"/>
  <c r="K26" i="237"/>
  <c r="J26" i="237"/>
  <c r="I26" i="237"/>
  <c r="H26" i="237"/>
  <c r="P26" i="237"/>
  <c r="N26" i="237"/>
  <c r="D104" i="237"/>
  <c r="D94" i="237" s="1"/>
  <c r="D98" i="237"/>
  <c r="D89" i="237"/>
  <c r="D81" i="237"/>
  <c r="D79" i="237"/>
  <c r="D77" i="237"/>
  <c r="D62" i="237"/>
  <c r="D101" i="237"/>
  <c r="D90" i="237"/>
  <c r="D73" i="237"/>
  <c r="D68" i="237"/>
  <c r="D44" i="237"/>
  <c r="D36" i="237"/>
  <c r="D33" i="237"/>
  <c r="D30" i="237"/>
  <c r="D27" i="237"/>
  <c r="D37" i="237" s="1"/>
  <c r="D100" i="237"/>
  <c r="D91" i="237"/>
  <c r="D82" i="237"/>
  <c r="D63" i="237"/>
  <c r="D61" i="237"/>
  <c r="D59" i="237"/>
  <c r="D52" i="237"/>
  <c r="D43" i="237"/>
  <c r="D107" i="237"/>
  <c r="D95" i="237" s="1"/>
  <c r="D99" i="237"/>
  <c r="D106" i="237"/>
  <c r="D97" i="237"/>
  <c r="D88" i="237"/>
  <c r="D72" i="237"/>
  <c r="D65" i="237"/>
  <c r="D57" i="237"/>
  <c r="D51" i="237"/>
  <c r="D42" i="237"/>
  <c r="D9" i="237"/>
  <c r="D6" i="237"/>
  <c r="D3" i="237"/>
  <c r="D102" i="237"/>
  <c r="D75" i="237"/>
  <c r="D71" i="237"/>
  <c r="D54" i="237"/>
  <c r="D46" i="237"/>
  <c r="D28" i="237"/>
  <c r="D17" i="237"/>
  <c r="D15" i="237"/>
  <c r="D11" i="237"/>
  <c r="D10" i="237"/>
  <c r="D80" i="237"/>
  <c r="D31" i="237"/>
  <c r="D13" i="237"/>
  <c r="D60" i="237"/>
  <c r="D69" i="237"/>
  <c r="D105" i="237"/>
  <c r="D49" i="237"/>
  <c r="D32" i="237"/>
  <c r="D8" i="237"/>
  <c r="D7" i="237"/>
  <c r="D103" i="237"/>
  <c r="D74" i="237"/>
  <c r="D64" i="237"/>
  <c r="D16" i="237"/>
  <c r="D14" i="237"/>
  <c r="D67" i="237"/>
  <c r="D56" i="237"/>
  <c r="D53" i="237"/>
  <c r="D50" i="237"/>
  <c r="D58" i="237"/>
  <c r="D5" i="237"/>
  <c r="D12" i="237"/>
  <c r="D66" i="237"/>
  <c r="D2" i="237"/>
  <c r="D29" i="237"/>
  <c r="D102" i="236"/>
  <c r="D93" i="236" s="1"/>
  <c r="D104" i="236"/>
  <c r="D94" i="236" s="1"/>
  <c r="D98" i="236"/>
  <c r="D89" i="236"/>
  <c r="D81" i="236"/>
  <c r="D79" i="236"/>
  <c r="D77" i="236"/>
  <c r="D62" i="236"/>
  <c r="D103" i="236"/>
  <c r="D97" i="236"/>
  <c r="D92" i="236" s="1"/>
  <c r="D59" i="236"/>
  <c r="D56" i="236"/>
  <c r="D44" i="236"/>
  <c r="D42" i="236"/>
  <c r="D33" i="236"/>
  <c r="D101" i="236"/>
  <c r="D80" i="236"/>
  <c r="D65" i="236"/>
  <c r="D60" i="236"/>
  <c r="D58" i="236"/>
  <c r="D52" i="236"/>
  <c r="D49" i="236"/>
  <c r="D46" i="236"/>
  <c r="D100" i="236"/>
  <c r="D75" i="236"/>
  <c r="D72" i="236"/>
  <c r="D30" i="236"/>
  <c r="D27" i="236"/>
  <c r="D26" i="236"/>
  <c r="D24" i="236"/>
  <c r="D13" i="236"/>
  <c r="D12" i="236"/>
  <c r="H3" i="236"/>
  <c r="N3" i="236"/>
  <c r="Q3" i="236" s="1"/>
  <c r="F4" i="236"/>
  <c r="L4" i="236"/>
  <c r="H6" i="236"/>
  <c r="N6" i="236"/>
  <c r="F7" i="236"/>
  <c r="L7" i="236"/>
  <c r="H9" i="236"/>
  <c r="N9" i="236"/>
  <c r="F10" i="236"/>
  <c r="L10" i="236"/>
  <c r="F14" i="236"/>
  <c r="Q14" i="236" s="1"/>
  <c r="N14" i="236"/>
  <c r="F16" i="236"/>
  <c r="N16" i="236"/>
  <c r="J17" i="236"/>
  <c r="F28" i="236"/>
  <c r="J29" i="236"/>
  <c r="H31" i="236"/>
  <c r="Q31" i="236" s="1"/>
  <c r="D50" i="236"/>
  <c r="D51" i="236"/>
  <c r="G53" i="236"/>
  <c r="K54" i="236"/>
  <c r="I55" i="236"/>
  <c r="G57" i="236"/>
  <c r="R57" i="236" s="1"/>
  <c r="K64" i="236"/>
  <c r="M66" i="236"/>
  <c r="D71" i="236"/>
  <c r="D82" i="236"/>
  <c r="D90" i="236"/>
  <c r="D107" i="236"/>
  <c r="D95" i="236" s="1"/>
  <c r="P28" i="236"/>
  <c r="J28" i="236"/>
  <c r="O28" i="236"/>
  <c r="I28" i="236"/>
  <c r="D2" i="236"/>
  <c r="I3" i="236"/>
  <c r="O3" i="236"/>
  <c r="G4" i="236"/>
  <c r="Q4" i="236" s="1"/>
  <c r="M4" i="236"/>
  <c r="D5" i="236"/>
  <c r="I6" i="236"/>
  <c r="O6" i="236"/>
  <c r="G7" i="236"/>
  <c r="M7" i="236"/>
  <c r="D8" i="236"/>
  <c r="I9" i="236"/>
  <c r="O9" i="236"/>
  <c r="G10" i="236"/>
  <c r="M10" i="236"/>
  <c r="D11" i="236"/>
  <c r="G14" i="236"/>
  <c r="G16" i="236"/>
  <c r="K17" i="236"/>
  <c r="G28" i="236"/>
  <c r="Q28" i="236"/>
  <c r="K29" i="236"/>
  <c r="D32" i="236"/>
  <c r="L53" i="236"/>
  <c r="L54" i="236"/>
  <c r="L55" i="236"/>
  <c r="D61" i="236"/>
  <c r="D73" i="236"/>
  <c r="D74" i="236"/>
  <c r="P14" i="236"/>
  <c r="J14" i="236"/>
  <c r="O14" i="236"/>
  <c r="I14" i="236"/>
  <c r="J3" i="236"/>
  <c r="P3" i="236"/>
  <c r="H4" i="236"/>
  <c r="N4" i="236"/>
  <c r="J6" i="236"/>
  <c r="P6" i="236"/>
  <c r="H7" i="236"/>
  <c r="N7" i="236"/>
  <c r="J9" i="236"/>
  <c r="P9" i="236"/>
  <c r="H10" i="236"/>
  <c r="Q10" i="236" s="1"/>
  <c r="N10" i="236"/>
  <c r="H14" i="236"/>
  <c r="H16" i="236"/>
  <c r="H28" i="236"/>
  <c r="R28" i="236" s="1"/>
  <c r="M53" i="236"/>
  <c r="M54" i="236"/>
  <c r="J66" i="236"/>
  <c r="O66" i="236"/>
  <c r="I66" i="236"/>
  <c r="K66" i="236"/>
  <c r="H66" i="236"/>
  <c r="H67" i="236"/>
  <c r="R67" i="236" s="1"/>
  <c r="D87" i="236"/>
  <c r="K10" i="236"/>
  <c r="M14" i="236"/>
  <c r="K3" i="236"/>
  <c r="I4" i="236"/>
  <c r="O4" i="236"/>
  <c r="K6" i="236"/>
  <c r="I7" i="236"/>
  <c r="Q7" i="236" s="1"/>
  <c r="O7" i="236"/>
  <c r="K9" i="236"/>
  <c r="I10" i="236"/>
  <c r="O10" i="236"/>
  <c r="K14" i="236"/>
  <c r="R15" i="236"/>
  <c r="L15" i="236"/>
  <c r="N17" i="236"/>
  <c r="H17" i="236"/>
  <c r="M17" i="236"/>
  <c r="G17" i="236"/>
  <c r="O17" i="236"/>
  <c r="K28" i="236"/>
  <c r="N29" i="236"/>
  <c r="H29" i="236"/>
  <c r="M29" i="236"/>
  <c r="G29" i="236"/>
  <c r="Q29" i="236" s="1"/>
  <c r="O29" i="236"/>
  <c r="P31" i="236"/>
  <c r="J31" i="236"/>
  <c r="O31" i="236"/>
  <c r="I31" i="236"/>
  <c r="M31" i="236"/>
  <c r="F63" i="236"/>
  <c r="R63" i="236" s="1"/>
  <c r="F66" i="236"/>
  <c r="R66" i="236" s="1"/>
  <c r="F68" i="236"/>
  <c r="R68" i="236" s="1"/>
  <c r="F88" i="236"/>
  <c r="K4" i="236"/>
  <c r="K7" i="236"/>
  <c r="P16" i="236"/>
  <c r="J16" i="236"/>
  <c r="O16" i="236"/>
  <c r="Q16" i="236" s="1"/>
  <c r="I16" i="236"/>
  <c r="M16" i="236"/>
  <c r="M28" i="236"/>
  <c r="F3" i="236"/>
  <c r="L3" i="236"/>
  <c r="J4" i="236"/>
  <c r="J7" i="236"/>
  <c r="J10" i="236"/>
  <c r="L14" i="236"/>
  <c r="R14" i="236" s="1"/>
  <c r="L16" i="236"/>
  <c r="L28" i="236"/>
  <c r="R36" i="236"/>
  <c r="J53" i="236"/>
  <c r="I53" i="236"/>
  <c r="K53" i="236"/>
  <c r="H53" i="236"/>
  <c r="P54" i="236"/>
  <c r="J54" i="236"/>
  <c r="O54" i="236"/>
  <c r="I54" i="236"/>
  <c r="G54" i="236"/>
  <c r="N54" i="236"/>
  <c r="F54" i="236"/>
  <c r="N55" i="236"/>
  <c r="H55" i="236"/>
  <c r="M55" i="236"/>
  <c r="G55" i="236"/>
  <c r="K55" i="236"/>
  <c r="J55" i="236"/>
  <c r="P57" i="236"/>
  <c r="J57" i="236"/>
  <c r="O57" i="236"/>
  <c r="I57" i="236"/>
  <c r="K57" i="236"/>
  <c r="H57" i="236"/>
  <c r="Q57" i="236"/>
  <c r="J64" i="236"/>
  <c r="I64" i="236"/>
  <c r="G64" i="236"/>
  <c r="N64" i="236"/>
  <c r="O64" i="236" s="1"/>
  <c r="F64" i="236"/>
  <c r="G66" i="236"/>
  <c r="R69" i="236"/>
  <c r="D105" i="236"/>
  <c r="M16" i="235"/>
  <c r="G16" i="235"/>
  <c r="L16" i="235"/>
  <c r="F16" i="235"/>
  <c r="Q16" i="235" s="1"/>
  <c r="N16" i="235"/>
  <c r="K16" i="235"/>
  <c r="I16" i="235"/>
  <c r="O16" i="235"/>
  <c r="J16" i="235"/>
  <c r="P16" i="235"/>
  <c r="H16" i="235"/>
  <c r="I12" i="235"/>
  <c r="N12" i="235"/>
  <c r="H12" i="235"/>
  <c r="L12" i="235"/>
  <c r="K12" i="235"/>
  <c r="G12" i="235"/>
  <c r="J12" i="235"/>
  <c r="F12" i="235"/>
  <c r="O12" i="235" s="1"/>
  <c r="M14" i="235"/>
  <c r="G14" i="235"/>
  <c r="L14" i="235"/>
  <c r="F14" i="235"/>
  <c r="N14" i="235"/>
  <c r="K14" i="235"/>
  <c r="I14" i="235"/>
  <c r="Q14" i="235" s="1"/>
  <c r="J14" i="235"/>
  <c r="P14" i="235"/>
  <c r="H14" i="235"/>
  <c r="R82" i="235"/>
  <c r="N10" i="235"/>
  <c r="H10" i="235"/>
  <c r="M10" i="235"/>
  <c r="G10" i="235"/>
  <c r="Q10" i="235" s="1"/>
  <c r="R10" i="235" s="1"/>
  <c r="O10" i="235"/>
  <c r="F24" i="235"/>
  <c r="F26" i="235"/>
  <c r="Q26" i="235" s="1"/>
  <c r="O27" i="235"/>
  <c r="M56" i="235"/>
  <c r="G56" i="235"/>
  <c r="J56" i="235"/>
  <c r="P56" i="235"/>
  <c r="I56" i="235"/>
  <c r="L56" i="235"/>
  <c r="K56" i="235"/>
  <c r="F10" i="235"/>
  <c r="G3" i="235"/>
  <c r="M3" i="235"/>
  <c r="D4" i="235"/>
  <c r="D7" i="235"/>
  <c r="D9" i="235"/>
  <c r="I10" i="235"/>
  <c r="F13" i="235"/>
  <c r="D29" i="235"/>
  <c r="D30" i="235"/>
  <c r="D32" i="235"/>
  <c r="H56" i="235"/>
  <c r="N26" i="235"/>
  <c r="J26" i="235"/>
  <c r="I26" i="235"/>
  <c r="P26" i="235"/>
  <c r="L27" i="235"/>
  <c r="F27" i="235"/>
  <c r="K27" i="235"/>
  <c r="J27" i="235"/>
  <c r="N46" i="235"/>
  <c r="N47" i="235" s="1"/>
  <c r="D47" i="235"/>
  <c r="K46" i="235"/>
  <c r="K47" i="235" s="1"/>
  <c r="F46" i="235"/>
  <c r="F47" i="235" s="1"/>
  <c r="F82" i="235"/>
  <c r="F3" i="235"/>
  <c r="L3" i="235"/>
  <c r="O13" i="235"/>
  <c r="I13" i="235"/>
  <c r="N13" i="235"/>
  <c r="H13" i="235"/>
  <c r="M13" i="235"/>
  <c r="L24" i="235"/>
  <c r="R24" i="235" s="1"/>
  <c r="H26" i="235"/>
  <c r="R26" i="235" s="1"/>
  <c r="G27" i="235"/>
  <c r="P27" i="235"/>
  <c r="F56" i="235"/>
  <c r="Q56" i="235" s="1"/>
  <c r="D105" i="235"/>
  <c r="D99" i="235"/>
  <c r="D71" i="235"/>
  <c r="D69" i="235"/>
  <c r="D67" i="235"/>
  <c r="D66" i="235"/>
  <c r="D65" i="235"/>
  <c r="D64" i="235"/>
  <c r="D60" i="235"/>
  <c r="D57" i="235"/>
  <c r="D54" i="235"/>
  <c r="D53" i="235"/>
  <c r="D52" i="235"/>
  <c r="D51" i="235"/>
  <c r="D50" i="235"/>
  <c r="D49" i="235"/>
  <c r="D36" i="235"/>
  <c r="D104" i="235"/>
  <c r="D94" i="235" s="1"/>
  <c r="D97" i="235"/>
  <c r="D91" i="235"/>
  <c r="D89" i="235"/>
  <c r="D81" i="235"/>
  <c r="D75" i="235"/>
  <c r="D72" i="235"/>
  <c r="D103" i="235"/>
  <c r="D63" i="235"/>
  <c r="D43" i="235"/>
  <c r="D31" i="235"/>
  <c r="D28" i="235"/>
  <c r="D102" i="235"/>
  <c r="D93" i="235" s="1"/>
  <c r="D77" i="235"/>
  <c r="D73" i="235"/>
  <c r="D68" i="235"/>
  <c r="D101" i="235"/>
  <c r="D74" i="235"/>
  <c r="D55" i="235"/>
  <c r="D17" i="235"/>
  <c r="D15" i="235"/>
  <c r="D100" i="235"/>
  <c r="D88" i="235"/>
  <c r="D79" i="235"/>
  <c r="D61" i="235"/>
  <c r="D58" i="235"/>
  <c r="D44" i="235"/>
  <c r="D11" i="235"/>
  <c r="D8" i="235"/>
  <c r="D5" i="235"/>
  <c r="H3" i="235"/>
  <c r="J10" i="235"/>
  <c r="G13" i="235"/>
  <c r="Q13" i="235" s="1"/>
  <c r="M26" i="235"/>
  <c r="I27" i="235"/>
  <c r="D33" i="235"/>
  <c r="N56" i="235"/>
  <c r="D59" i="235"/>
  <c r="D62" i="235"/>
  <c r="D80" i="235"/>
  <c r="K3" i="235"/>
  <c r="I42" i="235"/>
  <c r="I45" i="235" s="1"/>
  <c r="P10" i="235"/>
  <c r="Q90" i="235"/>
  <c r="L90" i="235" s="1"/>
  <c r="R90" i="235" s="1"/>
  <c r="D2" i="235"/>
  <c r="I3" i="235"/>
  <c r="O3" i="235"/>
  <c r="D6" i="235"/>
  <c r="K10" i="235"/>
  <c r="J13" i="235"/>
  <c r="O26" i="235"/>
  <c r="M27" i="235"/>
  <c r="O56" i="235"/>
  <c r="J66" i="234"/>
  <c r="M66" i="234"/>
  <c r="F66" i="234"/>
  <c r="L66" i="234"/>
  <c r="I66" i="234"/>
  <c r="N66" i="234"/>
  <c r="K66" i="234"/>
  <c r="G66" i="234"/>
  <c r="H66" i="234"/>
  <c r="O4" i="234"/>
  <c r="I4" i="234"/>
  <c r="J4" i="234"/>
  <c r="P4" i="234"/>
  <c r="H4" i="234"/>
  <c r="Q4" i="234" s="1"/>
  <c r="N4" i="234"/>
  <c r="G4" i="234"/>
  <c r="M4" i="234"/>
  <c r="F4" i="234"/>
  <c r="N55" i="234"/>
  <c r="H55" i="234"/>
  <c r="P55" i="234"/>
  <c r="I55" i="234"/>
  <c r="J55" i="234"/>
  <c r="O55" i="234"/>
  <c r="F55" i="234"/>
  <c r="R55" i="234" s="1"/>
  <c r="Q55" i="234"/>
  <c r="G55" i="234"/>
  <c r="M55" i="234"/>
  <c r="L55" i="234"/>
  <c r="K55" i="234"/>
  <c r="K4" i="234"/>
  <c r="L56" i="234"/>
  <c r="F56" i="234"/>
  <c r="Q56" i="234" s="1"/>
  <c r="P56" i="234"/>
  <c r="I56" i="234"/>
  <c r="M56" i="234"/>
  <c r="J56" i="234"/>
  <c r="R56" i="234" s="1"/>
  <c r="O56" i="234"/>
  <c r="N56" i="234"/>
  <c r="K56" i="234"/>
  <c r="G56" i="234"/>
  <c r="H56" i="234"/>
  <c r="L4" i="234"/>
  <c r="R4" i="234" s="1"/>
  <c r="D16" i="234"/>
  <c r="D29" i="234"/>
  <c r="D74" i="234"/>
  <c r="D8" i="234"/>
  <c r="D32" i="234"/>
  <c r="D104" i="234"/>
  <c r="D94" i="234" s="1"/>
  <c r="D98" i="234"/>
  <c r="D89" i="234"/>
  <c r="D81" i="234"/>
  <c r="D79" i="234"/>
  <c r="D77" i="234"/>
  <c r="D62" i="234"/>
  <c r="D101" i="234"/>
  <c r="D90" i="234"/>
  <c r="D73" i="234"/>
  <c r="D68" i="234"/>
  <c r="D44" i="234"/>
  <c r="D36" i="234"/>
  <c r="D33" i="234"/>
  <c r="D30" i="234"/>
  <c r="D27" i="234"/>
  <c r="D100" i="234"/>
  <c r="D91" i="234"/>
  <c r="D82" i="234"/>
  <c r="D63" i="234"/>
  <c r="D61" i="234"/>
  <c r="D59" i="234"/>
  <c r="D52" i="234"/>
  <c r="D43" i="234"/>
  <c r="D106" i="234"/>
  <c r="D97" i="234"/>
  <c r="D88" i="234"/>
  <c r="D72" i="234"/>
  <c r="D65" i="234"/>
  <c r="D57" i="234"/>
  <c r="D51" i="234"/>
  <c r="D42" i="234"/>
  <c r="D9" i="234"/>
  <c r="D6" i="234"/>
  <c r="D3" i="234"/>
  <c r="D105" i="234"/>
  <c r="D75" i="234"/>
  <c r="D71" i="234"/>
  <c r="D54" i="234"/>
  <c r="D46" i="234"/>
  <c r="D28" i="234"/>
  <c r="D17" i="234"/>
  <c r="D15" i="234"/>
  <c r="D11" i="234"/>
  <c r="D10" i="234"/>
  <c r="D64" i="234"/>
  <c r="D58" i="234"/>
  <c r="D50" i="234"/>
  <c r="D103" i="234"/>
  <c r="D80" i="234"/>
  <c r="D31" i="234"/>
  <c r="D13" i="234"/>
  <c r="D102" i="234"/>
  <c r="D93" i="234" s="1"/>
  <c r="D49" i="234"/>
  <c r="D99" i="234"/>
  <c r="D69" i="234"/>
  <c r="D60" i="234"/>
  <c r="D26" i="234"/>
  <c r="D24" i="234"/>
  <c r="D2" i="234"/>
  <c r="D5" i="234"/>
  <c r="D12" i="234"/>
  <c r="D14" i="234"/>
  <c r="D53" i="234"/>
  <c r="D67" i="234"/>
  <c r="D7" i="234"/>
  <c r="D107" i="234"/>
  <c r="D95" i="234" s="1"/>
  <c r="N33" i="233"/>
  <c r="H33" i="233"/>
  <c r="M33" i="233"/>
  <c r="G33" i="233"/>
  <c r="Q33" i="233" s="1"/>
  <c r="K33" i="233"/>
  <c r="J33" i="233"/>
  <c r="I33" i="233"/>
  <c r="L33" i="233"/>
  <c r="O33" i="233"/>
  <c r="F33" i="233"/>
  <c r="P33" i="233"/>
  <c r="O29" i="233"/>
  <c r="I29" i="233"/>
  <c r="N29" i="233"/>
  <c r="H29" i="233"/>
  <c r="M29" i="233"/>
  <c r="G29" i="233"/>
  <c r="P29" i="233"/>
  <c r="Q29" i="233"/>
  <c r="L29" i="233"/>
  <c r="K29" i="233"/>
  <c r="J29" i="233"/>
  <c r="F29" i="233"/>
  <c r="R29" i="233" s="1"/>
  <c r="K3" i="233"/>
  <c r="F55" i="233"/>
  <c r="O94" i="233"/>
  <c r="H94" i="233"/>
  <c r="R94" i="233" s="1"/>
  <c r="F3" i="233"/>
  <c r="L3" i="233"/>
  <c r="H5" i="233"/>
  <c r="N5" i="233"/>
  <c r="F6" i="233"/>
  <c r="R6" i="233" s="1"/>
  <c r="L6" i="233"/>
  <c r="H8" i="233"/>
  <c r="N8" i="233"/>
  <c r="F9" i="233"/>
  <c r="Q9" i="233" s="1"/>
  <c r="R9" i="233" s="1"/>
  <c r="L9" i="233"/>
  <c r="D12" i="233"/>
  <c r="D13" i="233"/>
  <c r="F15" i="233"/>
  <c r="D59" i="233"/>
  <c r="F61" i="233"/>
  <c r="P55" i="233"/>
  <c r="J55" i="233"/>
  <c r="O55" i="233"/>
  <c r="I55" i="233"/>
  <c r="L55" i="233"/>
  <c r="K55" i="233"/>
  <c r="H55" i="233"/>
  <c r="K9" i="233"/>
  <c r="I74" i="233"/>
  <c r="N74" i="233"/>
  <c r="H74" i="233"/>
  <c r="K74" i="233"/>
  <c r="J74" i="233"/>
  <c r="G74" i="233"/>
  <c r="O74" i="233" s="1"/>
  <c r="R74" i="233" s="1"/>
  <c r="G3" i="233"/>
  <c r="M3" i="233"/>
  <c r="D4" i="233"/>
  <c r="I5" i="233"/>
  <c r="O5" i="233"/>
  <c r="G6" i="233"/>
  <c r="M6" i="233"/>
  <c r="D7" i="233"/>
  <c r="I8" i="233"/>
  <c r="O8" i="233"/>
  <c r="G9" i="233"/>
  <c r="M9" i="233"/>
  <c r="D10" i="233"/>
  <c r="L15" i="233"/>
  <c r="R15" i="233" s="1"/>
  <c r="D32" i="233"/>
  <c r="M55" i="233"/>
  <c r="L61" i="233"/>
  <c r="L74" i="233"/>
  <c r="R44" i="233"/>
  <c r="R63" i="233"/>
  <c r="D106" i="233"/>
  <c r="D100" i="233"/>
  <c r="D91" i="233"/>
  <c r="D88" i="233"/>
  <c r="D43" i="233"/>
  <c r="D105" i="233"/>
  <c r="D99" i="233"/>
  <c r="D71" i="233"/>
  <c r="D69" i="233"/>
  <c r="D67" i="233"/>
  <c r="D66" i="233"/>
  <c r="D65" i="233"/>
  <c r="D64" i="233"/>
  <c r="D60" i="233"/>
  <c r="D57" i="233"/>
  <c r="D54" i="233"/>
  <c r="D53" i="233"/>
  <c r="D52" i="233"/>
  <c r="D51" i="233"/>
  <c r="D50" i="233"/>
  <c r="D49" i="233"/>
  <c r="D36" i="233"/>
  <c r="D101" i="233"/>
  <c r="D73" i="233"/>
  <c r="D68" i="233"/>
  <c r="D62" i="233"/>
  <c r="D31" i="233"/>
  <c r="D28" i="233"/>
  <c r="D16" i="233"/>
  <c r="D14" i="233"/>
  <c r="D98" i="233"/>
  <c r="D90" i="233"/>
  <c r="D80" i="233"/>
  <c r="D58" i="233"/>
  <c r="D56" i="233"/>
  <c r="D107" i="233"/>
  <c r="D95" i="233" s="1"/>
  <c r="D97" i="233"/>
  <c r="D79" i="233"/>
  <c r="D77" i="233"/>
  <c r="D75" i="233"/>
  <c r="D72" i="233"/>
  <c r="D46" i="233"/>
  <c r="D42" i="233"/>
  <c r="D30" i="233"/>
  <c r="D27" i="233"/>
  <c r="D26" i="233"/>
  <c r="H3" i="233"/>
  <c r="N3" i="233"/>
  <c r="J5" i="233"/>
  <c r="P5" i="233"/>
  <c r="H6" i="233"/>
  <c r="N6" i="233"/>
  <c r="J8" i="233"/>
  <c r="P8" i="233"/>
  <c r="H9" i="233"/>
  <c r="N9" i="233"/>
  <c r="D17" i="233"/>
  <c r="D24" i="233"/>
  <c r="N55" i="233"/>
  <c r="Q55" i="233" s="1"/>
  <c r="M74" i="233"/>
  <c r="D81" i="233"/>
  <c r="K6" i="233"/>
  <c r="Q6" i="233"/>
  <c r="O61" i="233"/>
  <c r="I61" i="233"/>
  <c r="R61" i="233" s="1"/>
  <c r="N61" i="233"/>
  <c r="H61" i="233"/>
  <c r="K61" i="233"/>
  <c r="J61" i="233"/>
  <c r="Q61" i="233"/>
  <c r="G61" i="233"/>
  <c r="F89" i="233"/>
  <c r="L89" i="233" s="1"/>
  <c r="R89" i="233" s="1"/>
  <c r="I3" i="233"/>
  <c r="K5" i="233"/>
  <c r="I6" i="233"/>
  <c r="K8" i="233"/>
  <c r="I9" i="233"/>
  <c r="P61" i="233"/>
  <c r="R82" i="233"/>
  <c r="F82" i="233"/>
  <c r="D93" i="233"/>
  <c r="P9" i="232"/>
  <c r="J9" i="232"/>
  <c r="I9" i="232"/>
  <c r="O9" i="232"/>
  <c r="H9" i="232"/>
  <c r="N9" i="232"/>
  <c r="G9" i="232"/>
  <c r="J65" i="232"/>
  <c r="I65" i="232"/>
  <c r="N65" i="232"/>
  <c r="F65" i="232"/>
  <c r="L65" i="232"/>
  <c r="M65" i="232"/>
  <c r="G65" i="232"/>
  <c r="K65" i="232"/>
  <c r="H65" i="232"/>
  <c r="N7" i="232"/>
  <c r="H7" i="232"/>
  <c r="P7" i="232"/>
  <c r="I7" i="232"/>
  <c r="O7" i="232"/>
  <c r="G7" i="232"/>
  <c r="M7" i="232"/>
  <c r="F7" i="232"/>
  <c r="F9" i="232"/>
  <c r="F10" i="232"/>
  <c r="Q10" i="232" s="1"/>
  <c r="P57" i="232"/>
  <c r="J57" i="232"/>
  <c r="O57" i="232"/>
  <c r="H57" i="232"/>
  <c r="N57" i="232"/>
  <c r="F57" i="232"/>
  <c r="Q57" i="232" s="1"/>
  <c r="L57" i="232"/>
  <c r="M57" i="232"/>
  <c r="K57" i="232"/>
  <c r="G57" i="232"/>
  <c r="R57" i="232" s="1"/>
  <c r="I57" i="232"/>
  <c r="I6" i="232"/>
  <c r="J7" i="232"/>
  <c r="J8" i="232"/>
  <c r="K9" i="232"/>
  <c r="Q9" i="232" s="1"/>
  <c r="R9" i="232" s="1"/>
  <c r="K10" i="232"/>
  <c r="J52" i="232"/>
  <c r="I52" i="232"/>
  <c r="L52" i="232"/>
  <c r="H52" i="232"/>
  <c r="N52" i="232"/>
  <c r="M52" i="232"/>
  <c r="G52" i="232"/>
  <c r="K52" i="232"/>
  <c r="R63" i="232"/>
  <c r="M72" i="232"/>
  <c r="G72" i="232"/>
  <c r="I72" i="232"/>
  <c r="F72" i="232"/>
  <c r="L72" i="232"/>
  <c r="N72" i="232"/>
  <c r="K72" i="232"/>
  <c r="J72" i="232"/>
  <c r="H72" i="232"/>
  <c r="K7" i="232"/>
  <c r="K8" i="232"/>
  <c r="L9" i="232"/>
  <c r="L10" i="232"/>
  <c r="N31" i="232"/>
  <c r="H31" i="232"/>
  <c r="P31" i="232"/>
  <c r="I31" i="232"/>
  <c r="M31" i="232"/>
  <c r="F31" i="232"/>
  <c r="O31" i="232"/>
  <c r="L31" i="232"/>
  <c r="K31" i="232"/>
  <c r="F52" i="232"/>
  <c r="R52" i="232" s="1"/>
  <c r="F63" i="232"/>
  <c r="M73" i="232"/>
  <c r="G73" i="232"/>
  <c r="O73" i="232" s="1"/>
  <c r="K73" i="232"/>
  <c r="L73" i="232"/>
  <c r="I73" i="232"/>
  <c r="H73" i="232"/>
  <c r="N73" i="232"/>
  <c r="J73" i="232"/>
  <c r="P6" i="232"/>
  <c r="J6" i="232"/>
  <c r="O6" i="232"/>
  <c r="H6" i="232"/>
  <c r="N6" i="232"/>
  <c r="Q6" i="232" s="1"/>
  <c r="G6" i="232"/>
  <c r="M6" i="232"/>
  <c r="F6" i="232"/>
  <c r="J51" i="232"/>
  <c r="N51" i="232"/>
  <c r="G51" i="232"/>
  <c r="F51" i="232"/>
  <c r="L51" i="232"/>
  <c r="M51" i="232"/>
  <c r="H51" i="232"/>
  <c r="K51" i="232"/>
  <c r="I51" i="232"/>
  <c r="L32" i="232"/>
  <c r="F32" i="232"/>
  <c r="P32" i="232"/>
  <c r="I32" i="232"/>
  <c r="N32" i="232"/>
  <c r="G32" i="232"/>
  <c r="K32" i="232"/>
  <c r="J32" i="232"/>
  <c r="H32" i="232"/>
  <c r="R40" i="232"/>
  <c r="L6" i="232"/>
  <c r="L7" i="232"/>
  <c r="M9" i="232"/>
  <c r="O32" i="232"/>
  <c r="O52" i="232"/>
  <c r="N10" i="232"/>
  <c r="H10" i="232"/>
  <c r="J10" i="232"/>
  <c r="P10" i="232"/>
  <c r="I10" i="232"/>
  <c r="O10" i="232"/>
  <c r="G10" i="232"/>
  <c r="L8" i="232"/>
  <c r="F8" i="232"/>
  <c r="P8" i="232"/>
  <c r="I8" i="232"/>
  <c r="Q8" i="232" s="1"/>
  <c r="O8" i="232"/>
  <c r="H8" i="232"/>
  <c r="N8" i="232"/>
  <c r="G8" i="232"/>
  <c r="R11" i="232"/>
  <c r="L56" i="232"/>
  <c r="F56" i="232"/>
  <c r="O56" i="232"/>
  <c r="H56" i="232"/>
  <c r="K56" i="232"/>
  <c r="I56" i="232"/>
  <c r="N56" i="232"/>
  <c r="G56" i="232"/>
  <c r="M56" i="232"/>
  <c r="J56" i="232"/>
  <c r="F82" i="232"/>
  <c r="R82" i="232" s="1"/>
  <c r="N58" i="232"/>
  <c r="H58" i="232"/>
  <c r="P58" i="232"/>
  <c r="I58" i="232"/>
  <c r="J58" i="232"/>
  <c r="O58" i="232"/>
  <c r="F58" i="232"/>
  <c r="Q58" i="232" s="1"/>
  <c r="D104" i="232"/>
  <c r="D94" i="232" s="1"/>
  <c r="D98" i="232"/>
  <c r="D89" i="232"/>
  <c r="D81" i="232"/>
  <c r="D79" i="232"/>
  <c r="D77" i="232"/>
  <c r="D62" i="232"/>
  <c r="D107" i="232"/>
  <c r="D95" i="232" s="1"/>
  <c r="D100" i="232"/>
  <c r="D88" i="232"/>
  <c r="D80" i="232"/>
  <c r="D71" i="232"/>
  <c r="D66" i="232"/>
  <c r="D53" i="232"/>
  <c r="D50" i="232"/>
  <c r="D99" i="232"/>
  <c r="D75" i="232"/>
  <c r="D68" i="232"/>
  <c r="D54" i="232"/>
  <c r="D49" i="232"/>
  <c r="D43" i="232"/>
  <c r="D36" i="232"/>
  <c r="D26" i="232"/>
  <c r="D24" i="232"/>
  <c r="D13" i="232"/>
  <c r="D105" i="232"/>
  <c r="D90" i="232"/>
  <c r="D74" i="232"/>
  <c r="D67" i="232"/>
  <c r="D60" i="232"/>
  <c r="D55" i="232"/>
  <c r="D42" i="232"/>
  <c r="D29" i="232"/>
  <c r="D28" i="232"/>
  <c r="D27" i="232"/>
  <c r="D17" i="232"/>
  <c r="D15" i="232"/>
  <c r="D3" i="232"/>
  <c r="D4" i="232"/>
  <c r="D5" i="232"/>
  <c r="D12" i="232"/>
  <c r="D14" i="232"/>
  <c r="D16" i="232"/>
  <c r="D33" i="232"/>
  <c r="G58" i="232"/>
  <c r="G59" i="232"/>
  <c r="D69" i="232"/>
  <c r="D97" i="232"/>
  <c r="D92" i="232" s="1"/>
  <c r="J64" i="232"/>
  <c r="N64" i="232"/>
  <c r="G64" i="232"/>
  <c r="I64" i="232"/>
  <c r="F64" i="232"/>
  <c r="R64" i="232" s="1"/>
  <c r="P30" i="232"/>
  <c r="J30" i="232"/>
  <c r="O30" i="232"/>
  <c r="H30" i="232"/>
  <c r="Q30" i="232" s="1"/>
  <c r="M30" i="232"/>
  <c r="F30" i="232"/>
  <c r="R30" i="232" s="1"/>
  <c r="K58" i="232"/>
  <c r="M61" i="232"/>
  <c r="G61" i="232"/>
  <c r="N61" i="232"/>
  <c r="F61" i="232"/>
  <c r="R61" i="232" s="1"/>
  <c r="L61" i="232"/>
  <c r="J61" i="232"/>
  <c r="Q61" i="232"/>
  <c r="K64" i="232"/>
  <c r="L59" i="232"/>
  <c r="F59" i="232"/>
  <c r="P59" i="232"/>
  <c r="I59" i="232"/>
  <c r="Q59" i="232" s="1"/>
  <c r="M59" i="232"/>
  <c r="J59" i="232"/>
  <c r="G30" i="232"/>
  <c r="K46" i="232"/>
  <c r="K47" i="232" s="1"/>
  <c r="N46" i="232"/>
  <c r="N47" i="232" s="1"/>
  <c r="F46" i="232"/>
  <c r="L58" i="232"/>
  <c r="K59" i="232"/>
  <c r="H61" i="232"/>
  <c r="L64" i="232"/>
  <c r="O64" i="232" s="1"/>
  <c r="D93" i="232"/>
  <c r="P5" i="231"/>
  <c r="J5" i="231"/>
  <c r="K5" i="231"/>
  <c r="I5" i="231"/>
  <c r="O5" i="231"/>
  <c r="H5" i="231"/>
  <c r="N6" i="231"/>
  <c r="H6" i="231"/>
  <c r="K6" i="231"/>
  <c r="J6" i="231"/>
  <c r="P6" i="231"/>
  <c r="I6" i="231"/>
  <c r="L7" i="231"/>
  <c r="F7" i="231"/>
  <c r="Q7" i="231" s="1"/>
  <c r="K7" i="231"/>
  <c r="J7" i="231"/>
  <c r="P7" i="231"/>
  <c r="I7" i="231"/>
  <c r="N74" i="231"/>
  <c r="H74" i="231"/>
  <c r="J74" i="231"/>
  <c r="K74" i="231"/>
  <c r="I74" i="231"/>
  <c r="M74" i="231"/>
  <c r="L74" i="231"/>
  <c r="G74" i="231"/>
  <c r="F74" i="231"/>
  <c r="L4" i="231"/>
  <c r="F4" i="231"/>
  <c r="J4" i="231"/>
  <c r="P4" i="231"/>
  <c r="I4" i="231"/>
  <c r="O4" i="231"/>
  <c r="H4" i="231"/>
  <c r="F5" i="231"/>
  <c r="R5" i="231" s="1"/>
  <c r="F6" i="231"/>
  <c r="G7" i="231"/>
  <c r="G4" i="231"/>
  <c r="G5" i="231"/>
  <c r="Q5" i="231" s="1"/>
  <c r="G6" i="231"/>
  <c r="Q6" i="231" s="1"/>
  <c r="H7" i="231"/>
  <c r="P17" i="231"/>
  <c r="J17" i="231"/>
  <c r="O17" i="231"/>
  <c r="I17" i="231"/>
  <c r="L17" i="231"/>
  <c r="K17" i="231"/>
  <c r="H17" i="231"/>
  <c r="O55" i="231"/>
  <c r="I55" i="231"/>
  <c r="K55" i="231"/>
  <c r="J55" i="231"/>
  <c r="H55" i="231"/>
  <c r="M55" i="231"/>
  <c r="L55" i="231"/>
  <c r="G55" i="231"/>
  <c r="I62" i="231"/>
  <c r="N62" i="231" s="1"/>
  <c r="R62" i="231"/>
  <c r="N3" i="231"/>
  <c r="H3" i="231"/>
  <c r="J3" i="231"/>
  <c r="P3" i="231"/>
  <c r="I3" i="231"/>
  <c r="Q3" i="231" s="1"/>
  <c r="O3" i="231"/>
  <c r="G3" i="231"/>
  <c r="K3" i="231"/>
  <c r="K4" i="231"/>
  <c r="L5" i="231"/>
  <c r="L6" i="231"/>
  <c r="M7" i="231"/>
  <c r="M12" i="231"/>
  <c r="G12" i="231"/>
  <c r="J12" i="231"/>
  <c r="I12" i="231"/>
  <c r="H12" i="231"/>
  <c r="L3" i="231"/>
  <c r="M4" i="231"/>
  <c r="M5" i="231"/>
  <c r="M6" i="231"/>
  <c r="N7" i="231"/>
  <c r="F12" i="231"/>
  <c r="L15" i="231"/>
  <c r="R15" i="231" s="1"/>
  <c r="G17" i="231"/>
  <c r="L28" i="231"/>
  <c r="F28" i="231"/>
  <c r="Q28" i="231" s="1"/>
  <c r="K28" i="231"/>
  <c r="J28" i="231"/>
  <c r="N28" i="231"/>
  <c r="M28" i="231"/>
  <c r="I28" i="231"/>
  <c r="N55" i="231"/>
  <c r="M33" i="231"/>
  <c r="G33" i="231"/>
  <c r="J33" i="231"/>
  <c r="P33" i="231"/>
  <c r="H33" i="231"/>
  <c r="O33" i="231"/>
  <c r="F33" i="231"/>
  <c r="R42" i="231"/>
  <c r="K8" i="231"/>
  <c r="K9" i="231"/>
  <c r="L24" i="231"/>
  <c r="R24" i="231" s="1"/>
  <c r="P26" i="231"/>
  <c r="I26" i="231"/>
  <c r="J26" i="231"/>
  <c r="Q26" i="231"/>
  <c r="H26" i="231"/>
  <c r="R26" i="231" s="1"/>
  <c r="N27" i="231"/>
  <c r="H27" i="231"/>
  <c r="K27" i="231"/>
  <c r="Q27" i="231"/>
  <c r="J27" i="231"/>
  <c r="R27" i="231" s="1"/>
  <c r="O27" i="231"/>
  <c r="I33" i="231"/>
  <c r="I42" i="231"/>
  <c r="I45" i="231" s="1"/>
  <c r="L90" i="231"/>
  <c r="R90" i="231" s="1"/>
  <c r="P8" i="231"/>
  <c r="Q8" i="231" s="1"/>
  <c r="J8" i="231"/>
  <c r="R8" i="231" s="1"/>
  <c r="L8" i="231"/>
  <c r="N9" i="231"/>
  <c r="H9" i="231"/>
  <c r="Q9" i="231" s="1"/>
  <c r="L9" i="231"/>
  <c r="R9" i="231" s="1"/>
  <c r="R10" i="231"/>
  <c r="L10" i="231"/>
  <c r="F10" i="231"/>
  <c r="Q10" i="231" s="1"/>
  <c r="M10" i="231"/>
  <c r="N13" i="231"/>
  <c r="M13" i="231"/>
  <c r="G13" i="231"/>
  <c r="Q13" i="231" s="1"/>
  <c r="L13" i="231"/>
  <c r="F24" i="231"/>
  <c r="K33" i="231"/>
  <c r="R88" i="231"/>
  <c r="D87" i="231"/>
  <c r="Q90" i="231"/>
  <c r="D105" i="231"/>
  <c r="D99" i="231"/>
  <c r="D71" i="231"/>
  <c r="D69" i="231"/>
  <c r="D67" i="231"/>
  <c r="D66" i="231"/>
  <c r="D65" i="231"/>
  <c r="D64" i="231"/>
  <c r="D60" i="231"/>
  <c r="D57" i="231"/>
  <c r="D54" i="231"/>
  <c r="D53" i="231"/>
  <c r="D52" i="231"/>
  <c r="D51" i="231"/>
  <c r="D50" i="231"/>
  <c r="D49" i="231"/>
  <c r="D36" i="231"/>
  <c r="D104" i="231"/>
  <c r="D94" i="231" s="1"/>
  <c r="D97" i="231"/>
  <c r="D91" i="231"/>
  <c r="D89" i="231"/>
  <c r="D81" i="231"/>
  <c r="D75" i="231"/>
  <c r="D72" i="231"/>
  <c r="D59" i="231"/>
  <c r="D58" i="231"/>
  <c r="D46" i="231"/>
  <c r="D14" i="231"/>
  <c r="D16" i="231"/>
  <c r="D25" i="231" s="1"/>
  <c r="D32" i="231"/>
  <c r="D44" i="231"/>
  <c r="D61" i="231"/>
  <c r="D68" i="231"/>
  <c r="D77" i="231"/>
  <c r="D79" i="231"/>
  <c r="D82" i="231"/>
  <c r="D101" i="231"/>
  <c r="D29" i="231"/>
  <c r="D30" i="231"/>
  <c r="D31" i="231"/>
  <c r="D56" i="231"/>
  <c r="D63" i="231"/>
  <c r="D73" i="231"/>
  <c r="D102" i="231"/>
  <c r="D93" i="231" s="1"/>
  <c r="P6" i="230"/>
  <c r="J6" i="230"/>
  <c r="O6" i="230"/>
  <c r="I6" i="230"/>
  <c r="N6" i="230"/>
  <c r="H6" i="230"/>
  <c r="F6" i="230"/>
  <c r="Q6" i="230" s="1"/>
  <c r="P7" i="230"/>
  <c r="O12" i="230"/>
  <c r="I12" i="230"/>
  <c r="N12" i="230"/>
  <c r="H12" i="230"/>
  <c r="M12" i="230"/>
  <c r="G12" i="230"/>
  <c r="O13" i="230"/>
  <c r="Q13" i="230" s="1"/>
  <c r="I13" i="230"/>
  <c r="N13" i="230"/>
  <c r="H13" i="230"/>
  <c r="M13" i="230"/>
  <c r="G13" i="230"/>
  <c r="L24" i="230"/>
  <c r="R24" i="230" s="1"/>
  <c r="M26" i="230"/>
  <c r="K27" i="230"/>
  <c r="P33" i="230"/>
  <c r="R33" i="230"/>
  <c r="O33" i="230"/>
  <c r="I33" i="230"/>
  <c r="N33" i="230"/>
  <c r="H33" i="230"/>
  <c r="L33" i="230"/>
  <c r="F33" i="230"/>
  <c r="Q33" i="230" s="1"/>
  <c r="M33" i="230"/>
  <c r="G33" i="230"/>
  <c r="P56" i="230"/>
  <c r="J56" i="230"/>
  <c r="O56" i="230"/>
  <c r="I56" i="230"/>
  <c r="Q56" i="230" s="1"/>
  <c r="N56" i="230"/>
  <c r="H56" i="230"/>
  <c r="M56" i="230"/>
  <c r="G56" i="230"/>
  <c r="L56" i="230"/>
  <c r="F56" i="230"/>
  <c r="K56" i="230"/>
  <c r="P3" i="230"/>
  <c r="J3" i="230"/>
  <c r="O3" i="230"/>
  <c r="I3" i="230"/>
  <c r="N3" i="230"/>
  <c r="H3" i="230"/>
  <c r="K6" i="230"/>
  <c r="I7" i="230"/>
  <c r="P9" i="230"/>
  <c r="J9" i="230"/>
  <c r="O9" i="230"/>
  <c r="I9" i="230"/>
  <c r="N9" i="230"/>
  <c r="H9" i="230"/>
  <c r="J12" i="230"/>
  <c r="J13" i="230"/>
  <c r="D45" i="230"/>
  <c r="I42" i="230"/>
  <c r="I45" i="230" s="1"/>
  <c r="G6" i="230"/>
  <c r="L6" i="230"/>
  <c r="K12" i="230"/>
  <c r="K13" i="230"/>
  <c r="J26" i="230"/>
  <c r="P26" i="230"/>
  <c r="I26" i="230"/>
  <c r="O26" i="230"/>
  <c r="H26" i="230"/>
  <c r="O27" i="230"/>
  <c r="I27" i="230"/>
  <c r="N27" i="230"/>
  <c r="H27" i="230"/>
  <c r="M27" i="230"/>
  <c r="G27" i="230"/>
  <c r="N7" i="230"/>
  <c r="H7" i="230"/>
  <c r="M7" i="230"/>
  <c r="G7" i="230"/>
  <c r="L7" i="230"/>
  <c r="F7" i="230"/>
  <c r="G3" i="230"/>
  <c r="N4" i="230"/>
  <c r="H4" i="230"/>
  <c r="M4" i="230"/>
  <c r="G4" i="230"/>
  <c r="Q4" i="230" s="1"/>
  <c r="R4" i="230" s="1"/>
  <c r="L4" i="230"/>
  <c r="F4" i="230"/>
  <c r="M6" i="230"/>
  <c r="K7" i="230"/>
  <c r="G9" i="230"/>
  <c r="N10" i="230"/>
  <c r="H10" i="230"/>
  <c r="M10" i="230"/>
  <c r="G10" i="230"/>
  <c r="L10" i="230"/>
  <c r="Q10" i="230" s="1"/>
  <c r="F10" i="230"/>
  <c r="L12" i="230"/>
  <c r="L13" i="230"/>
  <c r="F26" i="230"/>
  <c r="F27" i="230"/>
  <c r="O30" i="230"/>
  <c r="I30" i="230"/>
  <c r="N30" i="230"/>
  <c r="H30" i="230"/>
  <c r="L30" i="230"/>
  <c r="F30" i="230"/>
  <c r="M30" i="230"/>
  <c r="G30" i="230"/>
  <c r="P59" i="230"/>
  <c r="J59" i="230"/>
  <c r="O59" i="230"/>
  <c r="I59" i="230"/>
  <c r="N59" i="230"/>
  <c r="H59" i="230"/>
  <c r="R59" i="230" s="1"/>
  <c r="M59" i="230"/>
  <c r="G59" i="230"/>
  <c r="L59" i="230"/>
  <c r="F59" i="230"/>
  <c r="D102" i="230"/>
  <c r="D93" i="230" s="1"/>
  <c r="D90" i="230"/>
  <c r="D75" i="230"/>
  <c r="D74" i="230"/>
  <c r="D73" i="230"/>
  <c r="D72" i="230"/>
  <c r="D68" i="230"/>
  <c r="D63" i="230"/>
  <c r="D61" i="230"/>
  <c r="D46" i="230"/>
  <c r="D107" i="230"/>
  <c r="D95" i="230" s="1"/>
  <c r="D101" i="230"/>
  <c r="D82" i="230"/>
  <c r="D80" i="230"/>
  <c r="D58" i="230"/>
  <c r="D55" i="230"/>
  <c r="D106" i="230"/>
  <c r="D100" i="230"/>
  <c r="D91" i="230"/>
  <c r="D88" i="230"/>
  <c r="D43" i="230"/>
  <c r="D105" i="230"/>
  <c r="D99" i="230"/>
  <c r="D71" i="230"/>
  <c r="D69" i="230"/>
  <c r="D67" i="230"/>
  <c r="D66" i="230"/>
  <c r="D65" i="230"/>
  <c r="D64" i="230"/>
  <c r="D60" i="230"/>
  <c r="D57" i="230"/>
  <c r="D54" i="230"/>
  <c r="D53" i="230"/>
  <c r="D52" i="230"/>
  <c r="D51" i="230"/>
  <c r="D50" i="230"/>
  <c r="D49" i="230"/>
  <c r="D36" i="230"/>
  <c r="D104" i="230"/>
  <c r="D94" i="230" s="1"/>
  <c r="D98" i="230"/>
  <c r="D89" i="230"/>
  <c r="D81" i="230"/>
  <c r="D79" i="230"/>
  <c r="D77" i="230"/>
  <c r="D62" i="230"/>
  <c r="D14" i="230"/>
  <c r="D16" i="230"/>
  <c r="D28" i="230"/>
  <c r="D31" i="230"/>
  <c r="K59" i="230"/>
  <c r="D97" i="230"/>
  <c r="D2" i="230"/>
  <c r="D5" i="230"/>
  <c r="D25" i="230" s="1"/>
  <c r="D8" i="230"/>
  <c r="D11" i="230"/>
  <c r="Q59" i="230"/>
  <c r="D103" i="230"/>
  <c r="L44" i="230"/>
  <c r="L45" i="230" s="1"/>
  <c r="D15" i="230"/>
  <c r="D17" i="230"/>
  <c r="D29" i="230"/>
  <c r="D37" i="230" s="1"/>
  <c r="D32" i="230"/>
  <c r="P6" i="229"/>
  <c r="J6" i="229"/>
  <c r="I6" i="229"/>
  <c r="O6" i="229"/>
  <c r="H6" i="229"/>
  <c r="N6" i="229"/>
  <c r="G6" i="229"/>
  <c r="M6" i="229"/>
  <c r="F6" i="229"/>
  <c r="K6" i="229"/>
  <c r="L6" i="229"/>
  <c r="R11" i="229"/>
  <c r="N31" i="229"/>
  <c r="H31" i="229"/>
  <c r="Q31" i="229" s="1"/>
  <c r="J31" i="229"/>
  <c r="M31" i="229"/>
  <c r="F31" i="229"/>
  <c r="O31" i="229"/>
  <c r="L31" i="229"/>
  <c r="K31" i="229"/>
  <c r="I31" i="229"/>
  <c r="R44" i="229"/>
  <c r="P54" i="229"/>
  <c r="J54" i="229"/>
  <c r="N54" i="229"/>
  <c r="G54" i="229"/>
  <c r="O54" i="229"/>
  <c r="F54" i="229"/>
  <c r="Q54" i="229" s="1"/>
  <c r="K54" i="229"/>
  <c r="M54" i="229"/>
  <c r="L54" i="229"/>
  <c r="I54" i="229"/>
  <c r="K8" i="229"/>
  <c r="N10" i="229"/>
  <c r="H10" i="229"/>
  <c r="K10" i="229"/>
  <c r="J10" i="229"/>
  <c r="P10" i="229"/>
  <c r="I10" i="229"/>
  <c r="O10" i="229"/>
  <c r="G10" i="229"/>
  <c r="Q10" i="229" s="1"/>
  <c r="G31" i="229"/>
  <c r="J51" i="229"/>
  <c r="N51" i="229"/>
  <c r="G51" i="229"/>
  <c r="H51" i="229"/>
  <c r="L51" i="229"/>
  <c r="M51" i="229"/>
  <c r="K51" i="229"/>
  <c r="I51" i="229"/>
  <c r="F51" i="229"/>
  <c r="H54" i="229"/>
  <c r="M75" i="229"/>
  <c r="G75" i="229"/>
  <c r="I75" i="229"/>
  <c r="F75" i="229"/>
  <c r="K75" i="229"/>
  <c r="N75" i="229"/>
  <c r="L75" i="229"/>
  <c r="J75" i="229"/>
  <c r="H75" i="229"/>
  <c r="N7" i="229"/>
  <c r="H7" i="229"/>
  <c r="J7" i="229"/>
  <c r="P7" i="229"/>
  <c r="I7" i="229"/>
  <c r="O7" i="229"/>
  <c r="G7" i="229"/>
  <c r="M7" i="229"/>
  <c r="Q7" i="229" s="1"/>
  <c r="F7" i="229"/>
  <c r="P31" i="229"/>
  <c r="L8" i="229"/>
  <c r="F8" i="229"/>
  <c r="J8" i="229"/>
  <c r="P8" i="229"/>
  <c r="I8" i="229"/>
  <c r="O8" i="229"/>
  <c r="H8" i="229"/>
  <c r="N8" i="229"/>
  <c r="Q8" i="229" s="1"/>
  <c r="G8" i="229"/>
  <c r="K7" i="229"/>
  <c r="P9" i="229"/>
  <c r="J9" i="229"/>
  <c r="K9" i="229"/>
  <c r="I9" i="229"/>
  <c r="O9" i="229"/>
  <c r="H9" i="229"/>
  <c r="N9" i="229"/>
  <c r="G9" i="229"/>
  <c r="Q9" i="229" s="1"/>
  <c r="L13" i="229"/>
  <c r="F13" i="229"/>
  <c r="O13" i="229"/>
  <c r="I13" i="229"/>
  <c r="M13" i="229"/>
  <c r="K13" i="229"/>
  <c r="J13" i="229"/>
  <c r="H13" i="229"/>
  <c r="K46" i="229"/>
  <c r="K47" i="229" s="1"/>
  <c r="N46" i="229"/>
  <c r="N47" i="229" s="1"/>
  <c r="D47" i="229"/>
  <c r="N93" i="229"/>
  <c r="H93" i="229"/>
  <c r="K93" i="229"/>
  <c r="O93" i="229"/>
  <c r="F93" i="229"/>
  <c r="J93" i="229"/>
  <c r="Q93" i="229" s="1"/>
  <c r="P93" i="229"/>
  <c r="I93" i="229"/>
  <c r="M93" i="229"/>
  <c r="L93" i="229"/>
  <c r="M72" i="229"/>
  <c r="G72" i="229"/>
  <c r="I72" i="229"/>
  <c r="H72" i="229"/>
  <c r="L72" i="229"/>
  <c r="D104" i="229"/>
  <c r="D94" i="229" s="1"/>
  <c r="D98" i="229"/>
  <c r="D89" i="229"/>
  <c r="D81" i="229"/>
  <c r="D79" i="229"/>
  <c r="D77" i="229"/>
  <c r="D62" i="229"/>
  <c r="D107" i="229"/>
  <c r="D95" i="229" s="1"/>
  <c r="D100" i="229"/>
  <c r="D88" i="229"/>
  <c r="D80" i="229"/>
  <c r="D71" i="229"/>
  <c r="D66" i="229"/>
  <c r="D53" i="229"/>
  <c r="D50" i="229"/>
  <c r="D101" i="229"/>
  <c r="D91" i="229"/>
  <c r="D82" i="229"/>
  <c r="D73" i="229"/>
  <c r="D63" i="229"/>
  <c r="D61" i="229"/>
  <c r="D59" i="229"/>
  <c r="D52" i="229"/>
  <c r="D105" i="229"/>
  <c r="D90" i="229"/>
  <c r="D74" i="229"/>
  <c r="D67" i="229"/>
  <c r="D60" i="229"/>
  <c r="D55" i="229"/>
  <c r="D42" i="229"/>
  <c r="D29" i="229"/>
  <c r="D28" i="229"/>
  <c r="D27" i="229"/>
  <c r="D17" i="229"/>
  <c r="D15" i="229"/>
  <c r="D3" i="229"/>
  <c r="D4" i="229"/>
  <c r="D5" i="229"/>
  <c r="D12" i="229"/>
  <c r="N26" i="229"/>
  <c r="L30" i="229"/>
  <c r="D32" i="229"/>
  <c r="D49" i="229"/>
  <c r="G56" i="229"/>
  <c r="F57" i="229"/>
  <c r="D58" i="229"/>
  <c r="D64" i="229"/>
  <c r="D68" i="229"/>
  <c r="F72" i="229"/>
  <c r="D97" i="229"/>
  <c r="J65" i="229"/>
  <c r="I65" i="229"/>
  <c r="G65" i="229"/>
  <c r="O65" i="229" s="1"/>
  <c r="R65" i="229" s="1"/>
  <c r="L65" i="229"/>
  <c r="P14" i="229"/>
  <c r="J14" i="229"/>
  <c r="M14" i="229"/>
  <c r="G14" i="229"/>
  <c r="N14" i="229"/>
  <c r="P16" i="229"/>
  <c r="J16" i="229"/>
  <c r="Q16" i="229" s="1"/>
  <c r="M16" i="229"/>
  <c r="G16" i="229"/>
  <c r="N16" i="229"/>
  <c r="L33" i="229"/>
  <c r="J33" i="229"/>
  <c r="K33" i="229"/>
  <c r="O33" i="229"/>
  <c r="G33" i="229"/>
  <c r="P33" i="229"/>
  <c r="R40" i="229"/>
  <c r="I57" i="229"/>
  <c r="H65" i="229"/>
  <c r="R69" i="229"/>
  <c r="L69" i="229"/>
  <c r="J72" i="229"/>
  <c r="L56" i="229"/>
  <c r="F56" i="229"/>
  <c r="O56" i="229"/>
  <c r="H56" i="229"/>
  <c r="M56" i="229"/>
  <c r="I56" i="229"/>
  <c r="K26" i="229"/>
  <c r="O26" i="229"/>
  <c r="F26" i="229"/>
  <c r="J26" i="229"/>
  <c r="P30" i="229"/>
  <c r="J30" i="229"/>
  <c r="I30" i="229"/>
  <c r="M30" i="229"/>
  <c r="F30" i="229"/>
  <c r="Q30" i="229" s="1"/>
  <c r="O30" i="229"/>
  <c r="F33" i="229"/>
  <c r="Q33" i="229" s="1"/>
  <c r="K56" i="229"/>
  <c r="K65" i="229"/>
  <c r="F69" i="229"/>
  <c r="K72" i="229"/>
  <c r="P57" i="229"/>
  <c r="J57" i="229"/>
  <c r="O57" i="229"/>
  <c r="H57" i="229"/>
  <c r="G57" i="229"/>
  <c r="L57" i="229"/>
  <c r="H14" i="229"/>
  <c r="H16" i="229"/>
  <c r="L24" i="229"/>
  <c r="R24" i="229" s="1"/>
  <c r="H26" i="229"/>
  <c r="G30" i="229"/>
  <c r="H33" i="229"/>
  <c r="L36" i="229"/>
  <c r="R36" i="229" s="1"/>
  <c r="R43" i="229"/>
  <c r="F43" i="229"/>
  <c r="F45" i="229" s="1"/>
  <c r="N56" i="229"/>
  <c r="M57" i="229"/>
  <c r="M65" i="229"/>
  <c r="N72" i="229"/>
  <c r="J52" i="228"/>
  <c r="M52" i="228"/>
  <c r="F52" i="228"/>
  <c r="G52" i="228"/>
  <c r="L52" i="228"/>
  <c r="N52" i="228"/>
  <c r="I52" i="228"/>
  <c r="K52" i="228"/>
  <c r="J66" i="228"/>
  <c r="H66" i="228"/>
  <c r="N66" i="228"/>
  <c r="F66" i="228"/>
  <c r="O66" i="228" s="1"/>
  <c r="L66" i="228"/>
  <c r="I66" i="228"/>
  <c r="M66" i="228"/>
  <c r="K66" i="228"/>
  <c r="L56" i="228"/>
  <c r="F56" i="228"/>
  <c r="Q56" i="228" s="1"/>
  <c r="K56" i="228"/>
  <c r="O56" i="228"/>
  <c r="G56" i="228"/>
  <c r="M56" i="228"/>
  <c r="P56" i="228"/>
  <c r="N56" i="228"/>
  <c r="I56" i="228"/>
  <c r="J56" i="228"/>
  <c r="O32" i="228"/>
  <c r="I32" i="228"/>
  <c r="P32" i="228"/>
  <c r="H32" i="228"/>
  <c r="M32" i="228"/>
  <c r="F32" i="228"/>
  <c r="R32" i="228" s="1"/>
  <c r="J32" i="228"/>
  <c r="G32" i="228"/>
  <c r="Q32" i="228"/>
  <c r="F11" i="228"/>
  <c r="R11" i="228" s="1"/>
  <c r="L14" i="228"/>
  <c r="F14" i="228"/>
  <c r="P14" i="228"/>
  <c r="J14" i="228"/>
  <c r="I14" i="228"/>
  <c r="H14" i="228"/>
  <c r="O14" i="228"/>
  <c r="G14" i="228"/>
  <c r="L16" i="228"/>
  <c r="F16" i="228"/>
  <c r="P16" i="228"/>
  <c r="J16" i="228"/>
  <c r="I16" i="228"/>
  <c r="H16" i="228"/>
  <c r="O16" i="228"/>
  <c r="G16" i="228"/>
  <c r="N32" i="228"/>
  <c r="J51" i="228"/>
  <c r="K51" i="228"/>
  <c r="I51" i="228"/>
  <c r="G51" i="228"/>
  <c r="O51" i="228" s="1"/>
  <c r="N51" i="228"/>
  <c r="R51" i="228" s="1"/>
  <c r="M51" i="228"/>
  <c r="L51" i="228"/>
  <c r="H56" i="228"/>
  <c r="F63" i="228"/>
  <c r="R63" i="228" s="1"/>
  <c r="M73" i="228"/>
  <c r="G73" i="228"/>
  <c r="H73" i="228"/>
  <c r="F73" i="228"/>
  <c r="O73" i="228" s="1"/>
  <c r="L73" i="228"/>
  <c r="J73" i="228"/>
  <c r="N73" i="228"/>
  <c r="K73" i="228"/>
  <c r="K14" i="228"/>
  <c r="L44" i="228"/>
  <c r="L45" i="228" s="1"/>
  <c r="R44" i="228"/>
  <c r="J65" i="228"/>
  <c r="M65" i="228"/>
  <c r="F65" i="228"/>
  <c r="O65" i="228" s="1"/>
  <c r="I65" i="228"/>
  <c r="G65" i="228"/>
  <c r="N65" i="228"/>
  <c r="H65" i="228"/>
  <c r="L65" i="228"/>
  <c r="K65" i="228"/>
  <c r="R40" i="228"/>
  <c r="H52" i="228"/>
  <c r="K46" i="228"/>
  <c r="K47" i="228" s="1"/>
  <c r="F46" i="228"/>
  <c r="F47" i="228" s="1"/>
  <c r="D47" i="228"/>
  <c r="G66" i="228"/>
  <c r="M14" i="228"/>
  <c r="M16" i="228"/>
  <c r="H51" i="228"/>
  <c r="D8" i="228"/>
  <c r="D9" i="228"/>
  <c r="D13" i="228"/>
  <c r="D24" i="228"/>
  <c r="D26" i="228"/>
  <c r="R60" i="228"/>
  <c r="Q90" i="228"/>
  <c r="L90" i="228" s="1"/>
  <c r="R90" i="228" s="1"/>
  <c r="D104" i="228"/>
  <c r="D94" i="228" s="1"/>
  <c r="D98" i="228"/>
  <c r="D89" i="228"/>
  <c r="D81" i="228"/>
  <c r="D79" i="228"/>
  <c r="D77" i="228"/>
  <c r="D62" i="228"/>
  <c r="D103" i="228"/>
  <c r="D75" i="228"/>
  <c r="D72" i="228"/>
  <c r="D69" i="228"/>
  <c r="D59" i="228"/>
  <c r="D58" i="228"/>
  <c r="D57" i="228"/>
  <c r="D31" i="228"/>
  <c r="D28" i="228"/>
  <c r="D102" i="228"/>
  <c r="D93" i="228" s="1"/>
  <c r="D80" i="228"/>
  <c r="D71" i="228"/>
  <c r="D64" i="228"/>
  <c r="D50" i="228"/>
  <c r="D43" i="228"/>
  <c r="D101" i="228"/>
  <c r="D100" i="228"/>
  <c r="D91" i="228"/>
  <c r="D82" i="228"/>
  <c r="D68" i="228"/>
  <c r="D61" i="228"/>
  <c r="D49" i="228"/>
  <c r="D30" i="228"/>
  <c r="D29" i="228"/>
  <c r="D10" i="228"/>
  <c r="D7" i="228"/>
  <c r="D4" i="228"/>
  <c r="D5" i="228"/>
  <c r="D6" i="228"/>
  <c r="D88" i="228"/>
  <c r="D97" i="228"/>
  <c r="D2" i="228"/>
  <c r="D3" i="228"/>
  <c r="D12" i="228"/>
  <c r="D15" i="228"/>
  <c r="D17" i="228"/>
  <c r="D27" i="228"/>
  <c r="D33" i="228"/>
  <c r="D36" i="228"/>
  <c r="D42" i="228"/>
  <c r="D53" i="228"/>
  <c r="D54" i="228"/>
  <c r="D55" i="228"/>
  <c r="D67" i="228"/>
  <c r="D74" i="228"/>
  <c r="D99" i="228"/>
  <c r="D3" i="227"/>
  <c r="D4" i="227"/>
  <c r="D9" i="227"/>
  <c r="D10" i="227"/>
  <c r="D11" i="227"/>
  <c r="D91" i="227"/>
  <c r="D6" i="227"/>
  <c r="D7" i="227"/>
  <c r="D8" i="227"/>
  <c r="D12" i="227"/>
  <c r="D14" i="227"/>
  <c r="D16" i="227"/>
  <c r="D24" i="227"/>
  <c r="D56" i="227"/>
  <c r="D66" i="227"/>
  <c r="D69" i="227"/>
  <c r="D73" i="227"/>
  <c r="D102" i="227"/>
  <c r="D104" i="227"/>
  <c r="D94" i="227" s="1"/>
  <c r="D98" i="227"/>
  <c r="D89" i="227"/>
  <c r="D81" i="227"/>
  <c r="D79" i="227"/>
  <c r="D77" i="227"/>
  <c r="D62" i="227"/>
  <c r="D100" i="227"/>
  <c r="D65" i="227"/>
  <c r="D63" i="227"/>
  <c r="D60" i="227"/>
  <c r="D52" i="227"/>
  <c r="D49" i="227"/>
  <c r="D42" i="227"/>
  <c r="D105" i="227"/>
  <c r="D72" i="227"/>
  <c r="D57" i="227"/>
  <c r="D51" i="227"/>
  <c r="D103" i="227"/>
  <c r="D90" i="227"/>
  <c r="D88" i="227"/>
  <c r="D74" i="227"/>
  <c r="D67" i="227"/>
  <c r="D55" i="227"/>
  <c r="D53" i="227"/>
  <c r="D36" i="227"/>
  <c r="D17" i="227"/>
  <c r="D15" i="227"/>
  <c r="D107" i="227"/>
  <c r="D95" i="227" s="1"/>
  <c r="D97" i="227"/>
  <c r="D92" i="227" s="1"/>
  <c r="D82" i="227"/>
  <c r="D68" i="227"/>
  <c r="D61" i="227"/>
  <c r="D59" i="227"/>
  <c r="D46" i="227"/>
  <c r="D30" i="227"/>
  <c r="D29" i="227"/>
  <c r="D28" i="227"/>
  <c r="D5" i="227"/>
  <c r="D71" i="227"/>
  <c r="D13" i="227"/>
  <c r="D54" i="227"/>
  <c r="D26" i="227"/>
  <c r="D27" i="227"/>
  <c r="D31" i="227"/>
  <c r="D32" i="227"/>
  <c r="D33" i="227"/>
  <c r="D44" i="227"/>
  <c r="D80" i="227"/>
  <c r="D101" i="227"/>
  <c r="D2" i="227"/>
  <c r="D43" i="227"/>
  <c r="D75" i="227"/>
  <c r="D106" i="227"/>
  <c r="D50" i="227"/>
  <c r="D58" i="227"/>
  <c r="D64" i="227"/>
  <c r="L16" i="226"/>
  <c r="F16" i="226"/>
  <c r="O16" i="226"/>
  <c r="I16" i="226"/>
  <c r="K16" i="226"/>
  <c r="J16" i="226"/>
  <c r="H16" i="226"/>
  <c r="P16" i="226"/>
  <c r="G16" i="226"/>
  <c r="F31" i="226"/>
  <c r="K46" i="226"/>
  <c r="K47" i="226" s="1"/>
  <c r="D47" i="226"/>
  <c r="F46" i="226"/>
  <c r="F47" i="226" s="1"/>
  <c r="R46" i="226"/>
  <c r="N46" i="226"/>
  <c r="N47" i="226" s="1"/>
  <c r="F58" i="226"/>
  <c r="Q58" i="226" s="1"/>
  <c r="P10" i="226"/>
  <c r="J10" i="226"/>
  <c r="I10" i="226"/>
  <c r="O10" i="226"/>
  <c r="H10" i="226"/>
  <c r="N10" i="226"/>
  <c r="G10" i="226"/>
  <c r="M10" i="226"/>
  <c r="F10" i="226"/>
  <c r="Q10" i="226" s="1"/>
  <c r="L14" i="226"/>
  <c r="F14" i="226"/>
  <c r="O14" i="226"/>
  <c r="I14" i="226"/>
  <c r="K14" i="226"/>
  <c r="J14" i="226"/>
  <c r="Q14" i="226" s="1"/>
  <c r="H14" i="226"/>
  <c r="P14" i="226"/>
  <c r="G14" i="226"/>
  <c r="N16" i="226"/>
  <c r="Q31" i="226"/>
  <c r="L44" i="226"/>
  <c r="L45" i="226" s="1"/>
  <c r="J50" i="226"/>
  <c r="N50" i="226"/>
  <c r="G50" i="226"/>
  <c r="L50" i="226"/>
  <c r="H50" i="226"/>
  <c r="M50" i="226"/>
  <c r="K50" i="226"/>
  <c r="I50" i="226"/>
  <c r="J64" i="226"/>
  <c r="I64" i="226"/>
  <c r="L64" i="226"/>
  <c r="G64" i="226"/>
  <c r="N64" i="226"/>
  <c r="M64" i="226"/>
  <c r="K64" i="226"/>
  <c r="H64" i="226"/>
  <c r="F82" i="226"/>
  <c r="R82" i="226"/>
  <c r="K10" i="226"/>
  <c r="L59" i="226"/>
  <c r="F59" i="226"/>
  <c r="K59" i="226"/>
  <c r="O59" i="226"/>
  <c r="G59" i="226"/>
  <c r="J59" i="226"/>
  <c r="N59" i="226"/>
  <c r="M59" i="226"/>
  <c r="I59" i="226"/>
  <c r="H59" i="226"/>
  <c r="P31" i="226"/>
  <c r="J31" i="226"/>
  <c r="N31" i="226"/>
  <c r="G31" i="226"/>
  <c r="R31" i="226"/>
  <c r="K31" i="226"/>
  <c r="M31" i="226"/>
  <c r="L31" i="226"/>
  <c r="I31" i="226"/>
  <c r="H31" i="226"/>
  <c r="R11" i="226"/>
  <c r="F11" i="226"/>
  <c r="N58" i="226"/>
  <c r="H58" i="226"/>
  <c r="K58" i="226"/>
  <c r="L58" i="226"/>
  <c r="P58" i="226"/>
  <c r="G58" i="226"/>
  <c r="O58" i="226"/>
  <c r="M58" i="226"/>
  <c r="J58" i="226"/>
  <c r="I58" i="226"/>
  <c r="M16" i="226"/>
  <c r="L10" i="226"/>
  <c r="N14" i="226"/>
  <c r="P28" i="226"/>
  <c r="J28" i="226"/>
  <c r="M28" i="226"/>
  <c r="F28" i="226"/>
  <c r="Q28" i="226" s="1"/>
  <c r="I28" i="226"/>
  <c r="L28" i="226"/>
  <c r="K28" i="226"/>
  <c r="H28" i="226"/>
  <c r="G28" i="226"/>
  <c r="P59" i="226"/>
  <c r="F68" i="226"/>
  <c r="R68" i="226" s="1"/>
  <c r="D7" i="226"/>
  <c r="D8" i="226"/>
  <c r="D9" i="226"/>
  <c r="D32" i="226"/>
  <c r="D104" i="226"/>
  <c r="D94" i="226" s="1"/>
  <c r="D98" i="226"/>
  <c r="D92" i="226" s="1"/>
  <c r="D89" i="226"/>
  <c r="D81" i="226"/>
  <c r="D79" i="226"/>
  <c r="D77" i="226"/>
  <c r="D62" i="226"/>
  <c r="D102" i="226"/>
  <c r="D65" i="226"/>
  <c r="D63" i="226"/>
  <c r="D60" i="226"/>
  <c r="D52" i="226"/>
  <c r="D49" i="226"/>
  <c r="D42" i="226"/>
  <c r="D103" i="226"/>
  <c r="D73" i="226"/>
  <c r="D69" i="226"/>
  <c r="D66" i="226"/>
  <c r="D56" i="226"/>
  <c r="D107" i="226"/>
  <c r="D95" i="226" s="1"/>
  <c r="D99" i="226"/>
  <c r="D72" i="226"/>
  <c r="D57" i="226"/>
  <c r="D51" i="226"/>
  <c r="D27" i="226"/>
  <c r="D26" i="226"/>
  <c r="D24" i="226"/>
  <c r="D13" i="226"/>
  <c r="D12" i="226"/>
  <c r="D4" i="226"/>
  <c r="D5" i="226"/>
  <c r="D6" i="226"/>
  <c r="D29" i="226"/>
  <c r="D61" i="226"/>
  <c r="D80" i="226"/>
  <c r="D90" i="226"/>
  <c r="D101" i="226"/>
  <c r="D2" i="226"/>
  <c r="D3" i="226"/>
  <c r="D15" i="226"/>
  <c r="D17" i="226"/>
  <c r="D33" i="226"/>
  <c r="D54" i="226"/>
  <c r="D71" i="226"/>
  <c r="D75" i="226"/>
  <c r="D91" i="226"/>
  <c r="D105" i="226"/>
  <c r="D30" i="226"/>
  <c r="D36" i="226"/>
  <c r="D43" i="226"/>
  <c r="D53" i="226"/>
  <c r="D55" i="226"/>
  <c r="D67" i="226"/>
  <c r="D74" i="226"/>
  <c r="D88" i="226"/>
  <c r="D106" i="226"/>
  <c r="M75" i="225"/>
  <c r="G75" i="225"/>
  <c r="J75" i="225"/>
  <c r="H75" i="225"/>
  <c r="F75" i="225"/>
  <c r="L75" i="225"/>
  <c r="D104" i="225"/>
  <c r="D94" i="225" s="1"/>
  <c r="D98" i="225"/>
  <c r="D89" i="225"/>
  <c r="D81" i="225"/>
  <c r="D79" i="225"/>
  <c r="D77" i="225"/>
  <c r="D62" i="225"/>
  <c r="D101" i="225"/>
  <c r="D90" i="225"/>
  <c r="D73" i="225"/>
  <c r="D68" i="225"/>
  <c r="D44" i="225"/>
  <c r="D36" i="225"/>
  <c r="D33" i="225"/>
  <c r="D30" i="225"/>
  <c r="D27" i="225"/>
  <c r="D102" i="225"/>
  <c r="D93" i="225" s="1"/>
  <c r="D69" i="225"/>
  <c r="D66" i="225"/>
  <c r="D56" i="225"/>
  <c r="D16" i="225"/>
  <c r="D14" i="225"/>
  <c r="D100" i="225"/>
  <c r="D91" i="225"/>
  <c r="D82" i="225"/>
  <c r="D63" i="225"/>
  <c r="D61" i="225"/>
  <c r="D59" i="225"/>
  <c r="D52" i="225"/>
  <c r="D43" i="225"/>
  <c r="D107" i="225"/>
  <c r="D95" i="225" s="1"/>
  <c r="D99" i="225"/>
  <c r="D106" i="225"/>
  <c r="D97" i="225"/>
  <c r="D88" i="225"/>
  <c r="D72" i="225"/>
  <c r="D65" i="225"/>
  <c r="D57" i="225"/>
  <c r="D51" i="225"/>
  <c r="D42" i="225"/>
  <c r="D9" i="225"/>
  <c r="D6" i="225"/>
  <c r="D3" i="225"/>
  <c r="D4" i="225"/>
  <c r="D5" i="225"/>
  <c r="F7" i="225"/>
  <c r="M7" i="225"/>
  <c r="F8" i="225"/>
  <c r="N8" i="225"/>
  <c r="G10" i="225"/>
  <c r="N10" i="225"/>
  <c r="D12" i="225"/>
  <c r="K13" i="225"/>
  <c r="D26" i="225"/>
  <c r="G28" i="225"/>
  <c r="I32" i="225"/>
  <c r="D50" i="225"/>
  <c r="I54" i="225"/>
  <c r="L55" i="225"/>
  <c r="D58" i="225"/>
  <c r="D64" i="225"/>
  <c r="I75" i="225"/>
  <c r="D103" i="225"/>
  <c r="O31" i="225"/>
  <c r="I31" i="225"/>
  <c r="K31" i="225"/>
  <c r="J31" i="225"/>
  <c r="N31" i="225"/>
  <c r="G31" i="225"/>
  <c r="Q31" i="225" s="1"/>
  <c r="F15" i="225"/>
  <c r="L15" i="225" s="1"/>
  <c r="M29" i="225"/>
  <c r="G29" i="225"/>
  <c r="J29" i="225"/>
  <c r="P29" i="225"/>
  <c r="I29" i="225"/>
  <c r="N29" i="225"/>
  <c r="F29" i="225"/>
  <c r="Q29" i="225" s="1"/>
  <c r="F31" i="225"/>
  <c r="F32" i="225"/>
  <c r="G55" i="225"/>
  <c r="R60" i="225"/>
  <c r="G7" i="225"/>
  <c r="N7" i="225"/>
  <c r="H8" i="225"/>
  <c r="H10" i="225"/>
  <c r="P10" i="225"/>
  <c r="N13" i="225"/>
  <c r="K28" i="225"/>
  <c r="K29" i="225"/>
  <c r="L31" i="225"/>
  <c r="L32" i="225"/>
  <c r="J53" i="225"/>
  <c r="M53" i="225"/>
  <c r="F53" i="225"/>
  <c r="K53" i="225"/>
  <c r="I53" i="225"/>
  <c r="G53" i="225"/>
  <c r="M74" i="225"/>
  <c r="G74" i="225"/>
  <c r="H74" i="225"/>
  <c r="K74" i="225"/>
  <c r="J74" i="225"/>
  <c r="F74" i="225"/>
  <c r="O74" i="225" s="1"/>
  <c r="K75" i="225"/>
  <c r="N55" i="225"/>
  <c r="H55" i="225"/>
  <c r="P55" i="225"/>
  <c r="I55" i="225"/>
  <c r="K55" i="225"/>
  <c r="J55" i="225"/>
  <c r="O55" i="225"/>
  <c r="F55" i="225"/>
  <c r="M8" i="225"/>
  <c r="G8" i="225"/>
  <c r="M10" i="225"/>
  <c r="F11" i="225"/>
  <c r="R11" i="225" s="1"/>
  <c r="P54" i="225"/>
  <c r="J54" i="225"/>
  <c r="O54" i="225"/>
  <c r="H54" i="225"/>
  <c r="G54" i="225"/>
  <c r="N54" i="225"/>
  <c r="F54" i="225"/>
  <c r="Q54" i="225" s="1"/>
  <c r="L54" i="225"/>
  <c r="H7" i="225"/>
  <c r="I8" i="225"/>
  <c r="P8" i="225"/>
  <c r="J10" i="225"/>
  <c r="O17" i="225"/>
  <c r="I17" i="225"/>
  <c r="N17" i="225"/>
  <c r="H17" i="225"/>
  <c r="L17" i="225"/>
  <c r="F17" i="225"/>
  <c r="Q17" i="225" s="1"/>
  <c r="R17" i="225" s="1"/>
  <c r="L29" i="225"/>
  <c r="M31" i="225"/>
  <c r="J49" i="225"/>
  <c r="K49" i="225"/>
  <c r="G49" i="225"/>
  <c r="N49" i="225"/>
  <c r="F49" i="225"/>
  <c r="L49" i="225"/>
  <c r="H53" i="225"/>
  <c r="M54" i="225"/>
  <c r="R67" i="225"/>
  <c r="I74" i="225"/>
  <c r="N75" i="225"/>
  <c r="O10" i="225"/>
  <c r="I10" i="225"/>
  <c r="L10" i="225"/>
  <c r="M32" i="225"/>
  <c r="G32" i="225"/>
  <c r="K32" i="225"/>
  <c r="J32" i="225"/>
  <c r="O32" i="225"/>
  <c r="H32" i="225"/>
  <c r="O7" i="225"/>
  <c r="Q7" i="225" s="1"/>
  <c r="I7" i="225"/>
  <c r="L7" i="225"/>
  <c r="L8" i="225"/>
  <c r="F10" i="225"/>
  <c r="O28" i="225"/>
  <c r="I28" i="225"/>
  <c r="J28" i="225"/>
  <c r="P28" i="225"/>
  <c r="H28" i="225"/>
  <c r="M28" i="225"/>
  <c r="F28" i="225"/>
  <c r="R80" i="225"/>
  <c r="J7" i="225"/>
  <c r="J8" i="225"/>
  <c r="Q8" i="225"/>
  <c r="K10" i="225"/>
  <c r="M13" i="225"/>
  <c r="G13" i="225"/>
  <c r="L13" i="225"/>
  <c r="Q13" i="225" s="1"/>
  <c r="F13" i="225"/>
  <c r="P13" i="225"/>
  <c r="J13" i="225"/>
  <c r="F24" i="225"/>
  <c r="N28" i="225"/>
  <c r="O29" i="225"/>
  <c r="P31" i="225"/>
  <c r="P32" i="225"/>
  <c r="K46" i="225"/>
  <c r="K47" i="225" s="1"/>
  <c r="R46" i="225"/>
  <c r="N46" i="225"/>
  <c r="N47" i="225" s="1"/>
  <c r="F46" i="225"/>
  <c r="F47" i="225" s="1"/>
  <c r="Q47" i="225" s="1"/>
  <c r="R47" i="225" s="1"/>
  <c r="L53" i="225"/>
  <c r="D76" i="225"/>
  <c r="F71" i="225"/>
  <c r="L74" i="225"/>
  <c r="J51" i="224"/>
  <c r="K51" i="224"/>
  <c r="L51" i="224"/>
  <c r="I51" i="224"/>
  <c r="N51" i="224"/>
  <c r="M51" i="224"/>
  <c r="H51" i="224"/>
  <c r="G51" i="224"/>
  <c r="P27" i="224"/>
  <c r="M30" i="224"/>
  <c r="G30" i="224"/>
  <c r="P30" i="224"/>
  <c r="I30" i="224"/>
  <c r="O30" i="224"/>
  <c r="H30" i="224"/>
  <c r="N30" i="224"/>
  <c r="L30" i="224"/>
  <c r="K30" i="224"/>
  <c r="R30" i="224" s="1"/>
  <c r="J30" i="224"/>
  <c r="F51" i="224"/>
  <c r="O51" i="224" s="1"/>
  <c r="O17" i="224"/>
  <c r="I17" i="224"/>
  <c r="N17" i="224"/>
  <c r="H17" i="224"/>
  <c r="K17" i="224"/>
  <c r="J17" i="224"/>
  <c r="G17" i="224"/>
  <c r="R17" i="224" s="1"/>
  <c r="P17" i="224"/>
  <c r="F17" i="224"/>
  <c r="Q17" i="224" s="1"/>
  <c r="F30" i="224"/>
  <c r="Q30" i="224" s="1"/>
  <c r="M27" i="224"/>
  <c r="G27" i="224"/>
  <c r="O27" i="224"/>
  <c r="H27" i="224"/>
  <c r="N27" i="224"/>
  <c r="F27" i="224"/>
  <c r="L27" i="224"/>
  <c r="K27" i="224"/>
  <c r="J27" i="224"/>
  <c r="I27" i="224"/>
  <c r="J52" i="224"/>
  <c r="M52" i="224"/>
  <c r="F52" i="224"/>
  <c r="H52" i="224"/>
  <c r="O52" i="224" s="1"/>
  <c r="G52" i="224"/>
  <c r="N52" i="224"/>
  <c r="L52" i="224"/>
  <c r="K52" i="224"/>
  <c r="I52" i="224"/>
  <c r="I42" i="224"/>
  <c r="I45" i="224" s="1"/>
  <c r="R42" i="224"/>
  <c r="O3" i="224"/>
  <c r="I3" i="224"/>
  <c r="N3" i="224"/>
  <c r="H3" i="224"/>
  <c r="M3" i="224"/>
  <c r="G3" i="224"/>
  <c r="L3" i="224"/>
  <c r="F3" i="224"/>
  <c r="M13" i="224"/>
  <c r="G13" i="224"/>
  <c r="L13" i="224"/>
  <c r="F13" i="224"/>
  <c r="Q13" i="224" s="1"/>
  <c r="K13" i="224"/>
  <c r="J13" i="224"/>
  <c r="I13" i="224"/>
  <c r="R13" i="224" s="1"/>
  <c r="P13" i="224"/>
  <c r="H13" i="224"/>
  <c r="R15" i="224"/>
  <c r="L15" i="224"/>
  <c r="F15" i="224"/>
  <c r="R82" i="224"/>
  <c r="J3" i="224"/>
  <c r="N13" i="224"/>
  <c r="R40" i="224"/>
  <c r="L56" i="224"/>
  <c r="F56" i="224"/>
  <c r="K56" i="224"/>
  <c r="P56" i="224"/>
  <c r="H56" i="224"/>
  <c r="O56" i="224"/>
  <c r="G56" i="224"/>
  <c r="J65" i="224"/>
  <c r="M65" i="224"/>
  <c r="F65" i="224"/>
  <c r="K65" i="224"/>
  <c r="I65" i="224"/>
  <c r="D11" i="224"/>
  <c r="D44" i="224"/>
  <c r="D46" i="224"/>
  <c r="D49" i="224"/>
  <c r="I56" i="224"/>
  <c r="D60" i="224"/>
  <c r="G65" i="224"/>
  <c r="I66" i="224"/>
  <c r="D68" i="224"/>
  <c r="F82" i="224"/>
  <c r="D90" i="224"/>
  <c r="R63" i="224"/>
  <c r="F63" i="224"/>
  <c r="M73" i="224"/>
  <c r="G73" i="224"/>
  <c r="H73" i="224"/>
  <c r="I73" i="224"/>
  <c r="F73" i="224"/>
  <c r="D4" i="224"/>
  <c r="D8" i="224"/>
  <c r="D9" i="224"/>
  <c r="D32" i="224"/>
  <c r="J56" i="224"/>
  <c r="H65" i="224"/>
  <c r="K66" i="224"/>
  <c r="K73" i="224"/>
  <c r="D102" i="224"/>
  <c r="D93" i="224" s="1"/>
  <c r="D104" i="224"/>
  <c r="D94" i="224" s="1"/>
  <c r="D98" i="224"/>
  <c r="D89" i="224"/>
  <c r="D81" i="224"/>
  <c r="D79" i="224"/>
  <c r="D77" i="224"/>
  <c r="D62" i="224"/>
  <c r="D106" i="224"/>
  <c r="D97" i="224"/>
  <c r="D75" i="224"/>
  <c r="D72" i="224"/>
  <c r="D69" i="224"/>
  <c r="D59" i="224"/>
  <c r="D58" i="224"/>
  <c r="D57" i="224"/>
  <c r="D31" i="224"/>
  <c r="D28" i="224"/>
  <c r="D105" i="224"/>
  <c r="D74" i="224"/>
  <c r="D67" i="224"/>
  <c r="D55" i="224"/>
  <c r="D53" i="224"/>
  <c r="D36" i="224"/>
  <c r="D16" i="224"/>
  <c r="D14" i="224"/>
  <c r="D103" i="224"/>
  <c r="D80" i="224"/>
  <c r="D71" i="224"/>
  <c r="D64" i="224"/>
  <c r="D50" i="224"/>
  <c r="D43" i="224"/>
  <c r="D10" i="224"/>
  <c r="D7" i="224"/>
  <c r="D5" i="224"/>
  <c r="D6" i="224"/>
  <c r="D29" i="224"/>
  <c r="M56" i="224"/>
  <c r="D61" i="224"/>
  <c r="L65" i="224"/>
  <c r="L73" i="224"/>
  <c r="D88" i="224"/>
  <c r="D91" i="224"/>
  <c r="D100" i="224"/>
  <c r="J66" i="224"/>
  <c r="H66" i="224"/>
  <c r="G66" i="224"/>
  <c r="O66" i="224" s="1"/>
  <c r="N66" i="224"/>
  <c r="F66" i="224"/>
  <c r="R66" i="224" s="1"/>
  <c r="D2" i="224"/>
  <c r="D12" i="224"/>
  <c r="D24" i="224"/>
  <c r="D26" i="224"/>
  <c r="D33" i="224"/>
  <c r="D54" i="224"/>
  <c r="N56" i="224"/>
  <c r="N65" i="224"/>
  <c r="M66" i="224"/>
  <c r="N73" i="224"/>
  <c r="D101" i="224"/>
  <c r="D16" i="223"/>
  <c r="D29" i="223"/>
  <c r="D53" i="223"/>
  <c r="D63" i="223"/>
  <c r="D74" i="223"/>
  <c r="D2" i="223"/>
  <c r="D57" i="223"/>
  <c r="D44" i="223"/>
  <c r="D3" i="223"/>
  <c r="D6" i="223"/>
  <c r="D8" i="223"/>
  <c r="D9" i="223"/>
  <c r="D13" i="223"/>
  <c r="D26" i="223"/>
  <c r="D69" i="223"/>
  <c r="D90" i="223"/>
  <c r="D100" i="223"/>
  <c r="D54" i="223"/>
  <c r="D43" i="223"/>
  <c r="D51" i="223"/>
  <c r="D67" i="223"/>
  <c r="D72" i="223"/>
  <c r="D28" i="223"/>
  <c r="D64" i="223"/>
  <c r="D99" i="223"/>
  <c r="D15" i="223"/>
  <c r="D17" i="223"/>
  <c r="D30" i="223"/>
  <c r="D61" i="223"/>
  <c r="D107" i="223"/>
  <c r="D95" i="223" s="1"/>
  <c r="D101" i="223"/>
  <c r="D82" i="223"/>
  <c r="D80" i="223"/>
  <c r="D58" i="223"/>
  <c r="D55" i="223"/>
  <c r="D104" i="223"/>
  <c r="D94" i="223" s="1"/>
  <c r="D98" i="223"/>
  <c r="D89" i="223"/>
  <c r="D81" i="223"/>
  <c r="D79" i="223"/>
  <c r="D77" i="223"/>
  <c r="D62" i="223"/>
  <c r="D106" i="223"/>
  <c r="D93" i="223" s="1"/>
  <c r="D97" i="223"/>
  <c r="D73" i="223"/>
  <c r="D68" i="223"/>
  <c r="D65" i="223"/>
  <c r="D60" i="223"/>
  <c r="D52" i="223"/>
  <c r="D49" i="223"/>
  <c r="D36" i="223"/>
  <c r="D105" i="223"/>
  <c r="D91" i="223"/>
  <c r="D71" i="223"/>
  <c r="D59" i="223"/>
  <c r="D50" i="223"/>
  <c r="D42" i="223"/>
  <c r="D33" i="223"/>
  <c r="D32" i="223"/>
  <c r="D31" i="223"/>
  <c r="D10" i="223"/>
  <c r="D7" i="223"/>
  <c r="D14" i="223"/>
  <c r="D75" i="223"/>
  <c r="D88" i="223"/>
  <c r="D5" i="223"/>
  <c r="D46" i="223"/>
  <c r="D56" i="223"/>
  <c r="D66" i="223"/>
  <c r="D11" i="223"/>
  <c r="D24" i="223"/>
  <c r="D4" i="223"/>
  <c r="D12" i="223"/>
  <c r="D27" i="223"/>
  <c r="R40" i="223"/>
  <c r="D103" i="223"/>
  <c r="L33" i="222"/>
  <c r="N33" i="222"/>
  <c r="G33" i="222"/>
  <c r="I33" i="222"/>
  <c r="O33" i="222"/>
  <c r="F33" i="222"/>
  <c r="Q33" i="222" s="1"/>
  <c r="R33" i="222" s="1"/>
  <c r="P33" i="222"/>
  <c r="M33" i="222"/>
  <c r="K33" i="222"/>
  <c r="J33" i="222"/>
  <c r="N55" i="222"/>
  <c r="H55" i="222"/>
  <c r="K55" i="222"/>
  <c r="L55" i="222"/>
  <c r="I55" i="222"/>
  <c r="Q55" i="222" s="1"/>
  <c r="O55" i="222"/>
  <c r="M55" i="222"/>
  <c r="J55" i="222"/>
  <c r="G55" i="222"/>
  <c r="H3" i="222"/>
  <c r="F15" i="222"/>
  <c r="H33" i="222"/>
  <c r="J52" i="222"/>
  <c r="M52" i="222"/>
  <c r="F52" i="222"/>
  <c r="G52" i="222"/>
  <c r="L52" i="222"/>
  <c r="N52" i="222"/>
  <c r="K52" i="222"/>
  <c r="I52" i="222"/>
  <c r="H52" i="222"/>
  <c r="O52" i="222" s="1"/>
  <c r="F55" i="222"/>
  <c r="L12" i="222"/>
  <c r="F12" i="222"/>
  <c r="K12" i="222"/>
  <c r="J12" i="222"/>
  <c r="H12" i="222"/>
  <c r="R12" i="222" s="1"/>
  <c r="I12" i="222"/>
  <c r="N27" i="222"/>
  <c r="H27" i="222"/>
  <c r="L27" i="222"/>
  <c r="F27" i="222"/>
  <c r="M27" i="222"/>
  <c r="I27" i="222"/>
  <c r="K27" i="222"/>
  <c r="Q27" i="222"/>
  <c r="R27" i="222" s="1"/>
  <c r="J27" i="222"/>
  <c r="J53" i="222"/>
  <c r="H53" i="222"/>
  <c r="L53" i="222"/>
  <c r="I53" i="222"/>
  <c r="N53" i="222"/>
  <c r="M53" i="222"/>
  <c r="K53" i="222"/>
  <c r="G53" i="222"/>
  <c r="P55" i="222"/>
  <c r="G12" i="222"/>
  <c r="O12" i="222" s="1"/>
  <c r="G27" i="222"/>
  <c r="I42" i="222"/>
  <c r="I45" i="222" s="1"/>
  <c r="D45" i="222"/>
  <c r="R42" i="222"/>
  <c r="F53" i="222"/>
  <c r="L56" i="222"/>
  <c r="F56" i="222"/>
  <c r="R56" i="222" s="1"/>
  <c r="K56" i="222"/>
  <c r="O56" i="222"/>
  <c r="G56" i="222"/>
  <c r="M56" i="222"/>
  <c r="N56" i="222"/>
  <c r="J56" i="222"/>
  <c r="I56" i="222"/>
  <c r="H56" i="222"/>
  <c r="R63" i="222"/>
  <c r="F63" i="222"/>
  <c r="M12" i="222"/>
  <c r="P17" i="222"/>
  <c r="J17" i="222"/>
  <c r="N17" i="222"/>
  <c r="H17" i="222"/>
  <c r="L17" i="222"/>
  <c r="G17" i="222"/>
  <c r="Q17" i="222" s="1"/>
  <c r="K17" i="222"/>
  <c r="I17" i="222"/>
  <c r="O27" i="222"/>
  <c r="P54" i="222"/>
  <c r="J54" i="222"/>
  <c r="K54" i="222"/>
  <c r="H54" i="222"/>
  <c r="N54" i="222"/>
  <c r="F54" i="222"/>
  <c r="Q54" i="222" s="1"/>
  <c r="O54" i="222"/>
  <c r="M54" i="222"/>
  <c r="L54" i="222"/>
  <c r="I54" i="222"/>
  <c r="P56" i="222"/>
  <c r="H67" i="222"/>
  <c r="R67" i="222" s="1"/>
  <c r="M73" i="222"/>
  <c r="G73" i="222"/>
  <c r="H73" i="222"/>
  <c r="F73" i="222"/>
  <c r="O73" i="222" s="1"/>
  <c r="L73" i="222"/>
  <c r="N73" i="222"/>
  <c r="K73" i="222"/>
  <c r="J73" i="222"/>
  <c r="I73" i="222"/>
  <c r="L36" i="222"/>
  <c r="R36" i="222" s="1"/>
  <c r="J66" i="222"/>
  <c r="H66" i="222"/>
  <c r="O66" i="222" s="1"/>
  <c r="N66" i="222"/>
  <c r="F66" i="222"/>
  <c r="L66" i="222"/>
  <c r="M66" i="222"/>
  <c r="K66" i="222"/>
  <c r="I66" i="222"/>
  <c r="G66" i="222"/>
  <c r="M3" i="222"/>
  <c r="G3" i="222"/>
  <c r="K3" i="222"/>
  <c r="J3" i="222"/>
  <c r="P3" i="222"/>
  <c r="I3" i="222"/>
  <c r="N12" i="222"/>
  <c r="P27" i="222"/>
  <c r="J51" i="222"/>
  <c r="K51" i="222"/>
  <c r="I51" i="222"/>
  <c r="O51" i="222"/>
  <c r="G51" i="222"/>
  <c r="M51" i="222"/>
  <c r="L51" i="222"/>
  <c r="H51" i="222"/>
  <c r="F51" i="222"/>
  <c r="R51" i="222" s="1"/>
  <c r="Q56" i="222"/>
  <c r="M74" i="222"/>
  <c r="G74" i="222"/>
  <c r="R74" i="222" s="1"/>
  <c r="J74" i="222"/>
  <c r="L74" i="222"/>
  <c r="I74" i="222"/>
  <c r="O74" i="222"/>
  <c r="N74" i="222"/>
  <c r="K74" i="222"/>
  <c r="H74" i="222"/>
  <c r="K46" i="222"/>
  <c r="K47" i="222" s="1"/>
  <c r="F46" i="222"/>
  <c r="F47" i="222" s="1"/>
  <c r="D11" i="222"/>
  <c r="D14" i="222"/>
  <c r="D16" i="222"/>
  <c r="D44" i="222"/>
  <c r="N46" i="222"/>
  <c r="N47" i="222" s="1"/>
  <c r="D60" i="222"/>
  <c r="H65" i="222"/>
  <c r="D90" i="222"/>
  <c r="D101" i="222"/>
  <c r="D8" i="222"/>
  <c r="D9" i="222"/>
  <c r="D13" i="222"/>
  <c r="D24" i="222"/>
  <c r="D26" i="222"/>
  <c r="D32" i="222"/>
  <c r="D47" i="222"/>
  <c r="J65" i="222"/>
  <c r="M65" i="222"/>
  <c r="F65" i="222"/>
  <c r="O65" i="222" s="1"/>
  <c r="I65" i="222"/>
  <c r="G65" i="222"/>
  <c r="D104" i="222"/>
  <c r="D94" i="222" s="1"/>
  <c r="D98" i="222"/>
  <c r="D92" i="222" s="1"/>
  <c r="D89" i="222"/>
  <c r="D81" i="222"/>
  <c r="D79" i="222"/>
  <c r="D77" i="222"/>
  <c r="D62" i="222"/>
  <c r="D103" i="222"/>
  <c r="D75" i="222"/>
  <c r="D72" i="222"/>
  <c r="D69" i="222"/>
  <c r="D59" i="222"/>
  <c r="D58" i="222"/>
  <c r="D57" i="222"/>
  <c r="D31" i="222"/>
  <c r="D28" i="222"/>
  <c r="D102" i="222"/>
  <c r="D80" i="222"/>
  <c r="D71" i="222"/>
  <c r="D64" i="222"/>
  <c r="D50" i="222"/>
  <c r="D43" i="222"/>
  <c r="D100" i="222"/>
  <c r="D91" i="222"/>
  <c r="D82" i="222"/>
  <c r="D68" i="222"/>
  <c r="D61" i="222"/>
  <c r="D49" i="222"/>
  <c r="D30" i="222"/>
  <c r="D29" i="222"/>
  <c r="D10" i="222"/>
  <c r="D7" i="222"/>
  <c r="D4" i="222"/>
  <c r="D5" i="222"/>
  <c r="D6" i="222"/>
  <c r="L65" i="222"/>
  <c r="D88" i="222"/>
  <c r="D106" i="222"/>
  <c r="N74" i="221"/>
  <c r="H74" i="221"/>
  <c r="K74" i="221"/>
  <c r="J74" i="221"/>
  <c r="I74" i="221"/>
  <c r="L74" i="221"/>
  <c r="G74" i="221"/>
  <c r="F74" i="221"/>
  <c r="O74" i="221" s="1"/>
  <c r="F3" i="221"/>
  <c r="J7" i="221"/>
  <c r="F9" i="221"/>
  <c r="Q9" i="221" s="1"/>
  <c r="F24" i="221"/>
  <c r="M28" i="221"/>
  <c r="G28" i="221"/>
  <c r="L28" i="221"/>
  <c r="F28" i="221"/>
  <c r="Q28" i="221" s="1"/>
  <c r="J28" i="221"/>
  <c r="I28" i="221"/>
  <c r="P28" i="221"/>
  <c r="H28" i="221"/>
  <c r="M74" i="221"/>
  <c r="G3" i="221"/>
  <c r="Q3" i="221" s="1"/>
  <c r="N4" i="221"/>
  <c r="H4" i="221"/>
  <c r="M4" i="221"/>
  <c r="G4" i="221"/>
  <c r="Q4" i="221" s="1"/>
  <c r="R4" i="221" s="1"/>
  <c r="L4" i="221"/>
  <c r="F4" i="221"/>
  <c r="K7" i="221"/>
  <c r="G9" i="221"/>
  <c r="N10" i="221"/>
  <c r="H10" i="221"/>
  <c r="M10" i="221"/>
  <c r="G10" i="221"/>
  <c r="L10" i="221"/>
  <c r="F10" i="221"/>
  <c r="Q10" i="221" s="1"/>
  <c r="L15" i="221"/>
  <c r="R15" i="221" s="1"/>
  <c r="K28" i="221"/>
  <c r="M31" i="221"/>
  <c r="G31" i="221"/>
  <c r="L31" i="221"/>
  <c r="F31" i="221"/>
  <c r="N31" i="221"/>
  <c r="K31" i="221"/>
  <c r="J31" i="221"/>
  <c r="R68" i="221"/>
  <c r="F68" i="221"/>
  <c r="P6" i="221"/>
  <c r="J6" i="221"/>
  <c r="O6" i="221"/>
  <c r="I6" i="221"/>
  <c r="N6" i="221"/>
  <c r="H6" i="221"/>
  <c r="J26" i="221"/>
  <c r="P26" i="221"/>
  <c r="K26" i="221"/>
  <c r="I26" i="221"/>
  <c r="H26" i="221"/>
  <c r="Q26" i="221" s="1"/>
  <c r="N28" i="221"/>
  <c r="Q90" i="221"/>
  <c r="N7" i="221"/>
  <c r="H7" i="221"/>
  <c r="M7" i="221"/>
  <c r="G7" i="221"/>
  <c r="L7" i="221"/>
  <c r="F7" i="221"/>
  <c r="Q7" i="221" s="1"/>
  <c r="P3" i="221"/>
  <c r="J3" i="221"/>
  <c r="O3" i="221"/>
  <c r="I3" i="221"/>
  <c r="N3" i="221"/>
  <c r="H3" i="221"/>
  <c r="I7" i="221"/>
  <c r="P9" i="221"/>
  <c r="J9" i="221"/>
  <c r="O9" i="221"/>
  <c r="R9" i="221" s="1"/>
  <c r="I9" i="221"/>
  <c r="N9" i="221"/>
  <c r="H9" i="221"/>
  <c r="R42" i="221"/>
  <c r="D45" i="221"/>
  <c r="L3" i="221"/>
  <c r="J4" i="221"/>
  <c r="F6" i="221"/>
  <c r="Q6" i="221" s="1"/>
  <c r="P7" i="221"/>
  <c r="L9" i="221"/>
  <c r="I12" i="221"/>
  <c r="N12" i="221"/>
  <c r="H12" i="221"/>
  <c r="M12" i="221"/>
  <c r="G12" i="221"/>
  <c r="O12" i="221" s="1"/>
  <c r="O13" i="221"/>
  <c r="I13" i="221"/>
  <c r="N13" i="221"/>
  <c r="H13" i="221"/>
  <c r="M13" i="221"/>
  <c r="G13" i="221"/>
  <c r="Q13" i="221" s="1"/>
  <c r="F26" i="221"/>
  <c r="O28" i="221"/>
  <c r="O30" i="221"/>
  <c r="I30" i="221"/>
  <c r="N30" i="221"/>
  <c r="H30" i="221"/>
  <c r="J30" i="221"/>
  <c r="Q30" i="221"/>
  <c r="G30" i="221"/>
  <c r="P30" i="221"/>
  <c r="F30" i="221"/>
  <c r="R30" i="221" s="1"/>
  <c r="I31" i="221"/>
  <c r="H77" i="221"/>
  <c r="N77" i="221" s="1"/>
  <c r="R77" i="221" s="1"/>
  <c r="L90" i="221"/>
  <c r="R90" i="221" s="1"/>
  <c r="D105" i="221"/>
  <c r="D99" i="221"/>
  <c r="D71" i="221"/>
  <c r="D69" i="221"/>
  <c r="D67" i="221"/>
  <c r="D66" i="221"/>
  <c r="D65" i="221"/>
  <c r="D64" i="221"/>
  <c r="D60" i="221"/>
  <c r="D57" i="221"/>
  <c r="D54" i="221"/>
  <c r="D53" i="221"/>
  <c r="D52" i="221"/>
  <c r="D51" i="221"/>
  <c r="D50" i="221"/>
  <c r="D49" i="221"/>
  <c r="D36" i="221"/>
  <c r="D106" i="221"/>
  <c r="D98" i="221"/>
  <c r="D79" i="221"/>
  <c r="D56" i="221"/>
  <c r="D55" i="221"/>
  <c r="D32" i="221"/>
  <c r="D29" i="221"/>
  <c r="D104" i="221"/>
  <c r="D94" i="221" s="1"/>
  <c r="D97" i="221"/>
  <c r="D91" i="221"/>
  <c r="D89" i="221"/>
  <c r="D81" i="221"/>
  <c r="D75" i="221"/>
  <c r="D72" i="221"/>
  <c r="D59" i="221"/>
  <c r="D58" i="221"/>
  <c r="D46" i="221"/>
  <c r="D103" i="221"/>
  <c r="D63" i="221"/>
  <c r="D43" i="221"/>
  <c r="D14" i="221"/>
  <c r="D16" i="221"/>
  <c r="I17" i="221"/>
  <c r="Q17" i="221" s="1"/>
  <c r="O17" i="221"/>
  <c r="L33" i="221"/>
  <c r="D44" i="221"/>
  <c r="M61" i="221"/>
  <c r="D88" i="221"/>
  <c r="D100" i="221"/>
  <c r="D2" i="221"/>
  <c r="D5" i="221"/>
  <c r="D8" i="221"/>
  <c r="D11" i="221"/>
  <c r="J17" i="221"/>
  <c r="P17" i="221"/>
  <c r="D27" i="221"/>
  <c r="D37" i="221" s="1"/>
  <c r="D73" i="221"/>
  <c r="D80" i="221"/>
  <c r="D101" i="221"/>
  <c r="K17" i="221"/>
  <c r="M33" i="221"/>
  <c r="G33" i="221"/>
  <c r="K33" i="221"/>
  <c r="J33" i="221"/>
  <c r="O33" i="221"/>
  <c r="N61" i="221"/>
  <c r="H61" i="221"/>
  <c r="K61" i="221"/>
  <c r="J61" i="221"/>
  <c r="P61" i="221"/>
  <c r="I61" i="221"/>
  <c r="D102" i="221"/>
  <c r="D93" i="221" s="1"/>
  <c r="M73" i="220"/>
  <c r="G73" i="220"/>
  <c r="K73" i="220"/>
  <c r="J73" i="220"/>
  <c r="H73" i="220"/>
  <c r="O73" i="220" s="1"/>
  <c r="N73" i="220"/>
  <c r="F73" i="220"/>
  <c r="L73" i="220"/>
  <c r="I73" i="220"/>
  <c r="L5" i="220"/>
  <c r="J52" i="220"/>
  <c r="I52" i="220"/>
  <c r="H52" i="220"/>
  <c r="K52" i="220"/>
  <c r="N52" i="220"/>
  <c r="M52" i="220"/>
  <c r="L52" i="220"/>
  <c r="F52" i="220"/>
  <c r="O52" i="220" s="1"/>
  <c r="G52" i="220"/>
  <c r="R63" i="220"/>
  <c r="F63" i="220"/>
  <c r="F36" i="220"/>
  <c r="L29" i="220"/>
  <c r="F29" i="220"/>
  <c r="O29" i="220"/>
  <c r="H29" i="220"/>
  <c r="M29" i="220"/>
  <c r="K29" i="220"/>
  <c r="J29" i="220"/>
  <c r="Q29" i="220" s="1"/>
  <c r="I29" i="220"/>
  <c r="P54" i="220"/>
  <c r="J54" i="220"/>
  <c r="N54" i="220"/>
  <c r="G54" i="220"/>
  <c r="M54" i="220"/>
  <c r="F54" i="220"/>
  <c r="R54" i="220" s="1"/>
  <c r="H54" i="220"/>
  <c r="Q54" i="220"/>
  <c r="O54" i="220"/>
  <c r="L54" i="220"/>
  <c r="I54" i="220"/>
  <c r="K54" i="220"/>
  <c r="P5" i="220"/>
  <c r="J5" i="220"/>
  <c r="O5" i="220"/>
  <c r="I5" i="220"/>
  <c r="N5" i="220"/>
  <c r="H5" i="220"/>
  <c r="Q5" i="220" s="1"/>
  <c r="M5" i="220"/>
  <c r="G5" i="220"/>
  <c r="L33" i="220"/>
  <c r="J33" i="220"/>
  <c r="P33" i="220"/>
  <c r="I33" i="220"/>
  <c r="O33" i="220"/>
  <c r="F33" i="220"/>
  <c r="Q33" i="220" s="1"/>
  <c r="N33" i="220"/>
  <c r="M33" i="220"/>
  <c r="K33" i="220"/>
  <c r="H33" i="220"/>
  <c r="R33" i="220" s="1"/>
  <c r="K46" i="220"/>
  <c r="K47" i="220" s="1"/>
  <c r="N46" i="220"/>
  <c r="N47" i="220" s="1"/>
  <c r="F46" i="220"/>
  <c r="F47" i="220" s="1"/>
  <c r="D47" i="220"/>
  <c r="R46" i="220"/>
  <c r="N55" i="220"/>
  <c r="H55" i="220"/>
  <c r="O55" i="220"/>
  <c r="G55" i="220"/>
  <c r="M55" i="220"/>
  <c r="F55" i="220"/>
  <c r="Q55" i="220" s="1"/>
  <c r="P55" i="220"/>
  <c r="L55" i="220"/>
  <c r="K55" i="220"/>
  <c r="I55" i="220"/>
  <c r="J55" i="220"/>
  <c r="N31" i="220"/>
  <c r="H31" i="220"/>
  <c r="P31" i="220"/>
  <c r="I31" i="220"/>
  <c r="K31" i="220"/>
  <c r="J31" i="220"/>
  <c r="G31" i="220"/>
  <c r="O31" i="220"/>
  <c r="F31" i="220"/>
  <c r="R67" i="220"/>
  <c r="H67" i="220"/>
  <c r="J65" i="220"/>
  <c r="I65" i="220"/>
  <c r="H65" i="220"/>
  <c r="F65" i="220"/>
  <c r="O65" i="220" s="1"/>
  <c r="D3" i="220"/>
  <c r="I4" i="220"/>
  <c r="O4" i="220"/>
  <c r="D6" i="220"/>
  <c r="K7" i="220"/>
  <c r="K8" i="220"/>
  <c r="D10" i="220"/>
  <c r="D11" i="220"/>
  <c r="D14" i="220"/>
  <c r="D15" i="220"/>
  <c r="D28" i="220"/>
  <c r="R42" i="220"/>
  <c r="F49" i="220"/>
  <c r="I56" i="220"/>
  <c r="D59" i="220"/>
  <c r="D60" i="220"/>
  <c r="D64" i="220"/>
  <c r="G65" i="220"/>
  <c r="F72" i="220"/>
  <c r="O72" i="220" s="1"/>
  <c r="R72" i="220" s="1"/>
  <c r="J51" i="220"/>
  <c r="N51" i="220"/>
  <c r="G51" i="220"/>
  <c r="M51" i="220"/>
  <c r="F51" i="220"/>
  <c r="K51" i="220"/>
  <c r="P57" i="220"/>
  <c r="J57" i="220"/>
  <c r="O57" i="220"/>
  <c r="H57" i="220"/>
  <c r="N57" i="220"/>
  <c r="G57" i="220"/>
  <c r="I57" i="220"/>
  <c r="P7" i="220"/>
  <c r="J7" i="220"/>
  <c r="L7" i="220"/>
  <c r="N8" i="220"/>
  <c r="H8" i="220"/>
  <c r="L8" i="220"/>
  <c r="L9" i="220"/>
  <c r="F9" i="220"/>
  <c r="M9" i="220"/>
  <c r="P30" i="220"/>
  <c r="J30" i="220"/>
  <c r="O30" i="220"/>
  <c r="H30" i="220"/>
  <c r="M30" i="220"/>
  <c r="R43" i="220"/>
  <c r="F43" i="220"/>
  <c r="F45" i="220" s="1"/>
  <c r="G49" i="220"/>
  <c r="I51" i="220"/>
  <c r="K57" i="220"/>
  <c r="K65" i="220"/>
  <c r="R69" i="220"/>
  <c r="L69" i="220"/>
  <c r="K72" i="220"/>
  <c r="L56" i="220"/>
  <c r="F56" i="220"/>
  <c r="O56" i="220"/>
  <c r="H56" i="220"/>
  <c r="N56" i="220"/>
  <c r="G56" i="220"/>
  <c r="K56" i="220"/>
  <c r="R68" i="220"/>
  <c r="K4" i="220"/>
  <c r="F7" i="220"/>
  <c r="M7" i="220"/>
  <c r="F8" i="220"/>
  <c r="Q8" i="220" s="1"/>
  <c r="M8" i="220"/>
  <c r="G9" i="220"/>
  <c r="N9" i="220"/>
  <c r="P27" i="220"/>
  <c r="J27" i="220"/>
  <c r="N27" i="220"/>
  <c r="G27" i="220"/>
  <c r="M27" i="220"/>
  <c r="F30" i="220"/>
  <c r="N30" i="220"/>
  <c r="L51" i="220"/>
  <c r="M56" i="220"/>
  <c r="L57" i="220"/>
  <c r="L65" i="220"/>
  <c r="J49" i="220"/>
  <c r="I49" i="220"/>
  <c r="O49" i="220"/>
  <c r="H49" i="220"/>
  <c r="M49" i="220"/>
  <c r="M72" i="220"/>
  <c r="G72" i="220"/>
  <c r="I72" i="220"/>
  <c r="H72" i="220"/>
  <c r="J72" i="220"/>
  <c r="D104" i="220"/>
  <c r="D94" i="220" s="1"/>
  <c r="D98" i="220"/>
  <c r="D92" i="220" s="1"/>
  <c r="D89" i="220"/>
  <c r="D81" i="220"/>
  <c r="D79" i="220"/>
  <c r="D77" i="220"/>
  <c r="D62" i="220"/>
  <c r="D107" i="220"/>
  <c r="D95" i="220" s="1"/>
  <c r="D100" i="220"/>
  <c r="D88" i="220"/>
  <c r="D80" i="220"/>
  <c r="D71" i="220"/>
  <c r="D66" i="220"/>
  <c r="D53" i="220"/>
  <c r="D50" i="220"/>
  <c r="D70" i="220" s="1"/>
  <c r="D106" i="220"/>
  <c r="D93" i="220" s="1"/>
  <c r="D99" i="220"/>
  <c r="D82" i="220"/>
  <c r="D74" i="220"/>
  <c r="D61" i="220"/>
  <c r="D32" i="220"/>
  <c r="D101" i="220"/>
  <c r="D90" i="220"/>
  <c r="D75" i="220"/>
  <c r="D58" i="220"/>
  <c r="D44" i="220"/>
  <c r="D26" i="220"/>
  <c r="D24" i="220"/>
  <c r="D13" i="220"/>
  <c r="D12" i="220"/>
  <c r="F4" i="220"/>
  <c r="Q4" i="220" s="1"/>
  <c r="L4" i="220"/>
  <c r="G7" i="220"/>
  <c r="N7" i="220"/>
  <c r="G8" i="220"/>
  <c r="O8" i="220"/>
  <c r="H9" i="220"/>
  <c r="O9" i="220"/>
  <c r="D16" i="220"/>
  <c r="D17" i="220"/>
  <c r="F27" i="220"/>
  <c r="O27" i="220"/>
  <c r="G30" i="220"/>
  <c r="Q30" i="220"/>
  <c r="L49" i="220"/>
  <c r="P56" i="220"/>
  <c r="M57" i="220"/>
  <c r="M65" i="220"/>
  <c r="R65" i="220" s="1"/>
  <c r="N72" i="220"/>
  <c r="D103" i="220"/>
  <c r="R67" i="219"/>
  <c r="H67" i="219"/>
  <c r="D4" i="219"/>
  <c r="D43" i="219"/>
  <c r="D55" i="219"/>
  <c r="D71" i="219"/>
  <c r="D26" i="219"/>
  <c r="D104" i="219"/>
  <c r="D94" i="219" s="1"/>
  <c r="D98" i="219"/>
  <c r="D89" i="219"/>
  <c r="D81" i="219"/>
  <c r="D79" i="219"/>
  <c r="D77" i="219"/>
  <c r="D62" i="219"/>
  <c r="D102" i="219"/>
  <c r="D65" i="219"/>
  <c r="D63" i="219"/>
  <c r="D60" i="219"/>
  <c r="D52" i="219"/>
  <c r="D49" i="219"/>
  <c r="D42" i="219"/>
  <c r="D101" i="219"/>
  <c r="D90" i="219"/>
  <c r="D73" i="219"/>
  <c r="D68" i="219"/>
  <c r="D44" i="219"/>
  <c r="D36" i="219"/>
  <c r="D33" i="219"/>
  <c r="D30" i="219"/>
  <c r="D27" i="219"/>
  <c r="D103" i="219"/>
  <c r="D64" i="219"/>
  <c r="D54" i="219"/>
  <c r="D53" i="219"/>
  <c r="D28" i="219"/>
  <c r="D17" i="219"/>
  <c r="D15" i="219"/>
  <c r="D106" i="219"/>
  <c r="D88" i="219"/>
  <c r="D80" i="219"/>
  <c r="D61" i="219"/>
  <c r="D16" i="219"/>
  <c r="D74" i="219"/>
  <c r="D105" i="219"/>
  <c r="D91" i="219"/>
  <c r="D69" i="219"/>
  <c r="D29" i="219"/>
  <c r="D24" i="219"/>
  <c r="D12" i="219"/>
  <c r="D3" i="219"/>
  <c r="D82" i="219"/>
  <c r="D100" i="219"/>
  <c r="D59" i="219"/>
  <c r="D50" i="219"/>
  <c r="D32" i="219"/>
  <c r="D8" i="219"/>
  <c r="D7" i="219"/>
  <c r="D6" i="219"/>
  <c r="D97" i="219"/>
  <c r="D92" i="219" s="1"/>
  <c r="D99" i="219"/>
  <c r="D72" i="219"/>
  <c r="D66" i="219"/>
  <c r="D58" i="219"/>
  <c r="D57" i="219"/>
  <c r="D56" i="219"/>
  <c r="D51" i="219"/>
  <c r="D46" i="219"/>
  <c r="D14" i="219"/>
  <c r="D13" i="219"/>
  <c r="D11" i="219"/>
  <c r="D10" i="219"/>
  <c r="D9" i="219"/>
  <c r="D5" i="219"/>
  <c r="D2" i="219"/>
  <c r="D31" i="219"/>
  <c r="D75" i="219"/>
  <c r="D107" i="219"/>
  <c r="D95" i="219" s="1"/>
  <c r="P55" i="218"/>
  <c r="J55" i="218"/>
  <c r="O55" i="218"/>
  <c r="I55" i="218"/>
  <c r="L55" i="218"/>
  <c r="H55" i="218"/>
  <c r="N55" i="218"/>
  <c r="F55" i="218"/>
  <c r="Q55" i="218" s="1"/>
  <c r="K55" i="218"/>
  <c r="G55" i="218"/>
  <c r="M55" i="218"/>
  <c r="F82" i="218"/>
  <c r="R82" i="218" s="1"/>
  <c r="P5" i="218"/>
  <c r="J5" i="218"/>
  <c r="M5" i="218"/>
  <c r="G5" i="218"/>
  <c r="Q5" i="218" s="1"/>
  <c r="O5" i="218"/>
  <c r="I5" i="218"/>
  <c r="N5" i="218"/>
  <c r="H5" i="218"/>
  <c r="R11" i="218"/>
  <c r="L10" i="218"/>
  <c r="F10" i="218"/>
  <c r="I10" i="218"/>
  <c r="K10" i="218"/>
  <c r="Q10" i="218" s="1"/>
  <c r="O10" i="218"/>
  <c r="P10" i="218"/>
  <c r="J10" i="218"/>
  <c r="G10" i="218"/>
  <c r="L5" i="218"/>
  <c r="P8" i="218"/>
  <c r="J8" i="218"/>
  <c r="M8" i="218"/>
  <c r="G8" i="218"/>
  <c r="O8" i="218"/>
  <c r="I8" i="218"/>
  <c r="N8" i="218"/>
  <c r="H8" i="218"/>
  <c r="H10" i="218"/>
  <c r="M10" i="218"/>
  <c r="K3" i="218"/>
  <c r="D93" i="218"/>
  <c r="F3" i="218"/>
  <c r="L3" i="218"/>
  <c r="F6" i="218"/>
  <c r="Q6" i="218" s="1"/>
  <c r="R6" i="218" s="1"/>
  <c r="L6" i="218"/>
  <c r="F9" i="218"/>
  <c r="L9" i="218"/>
  <c r="D12" i="218"/>
  <c r="D104" i="218"/>
  <c r="D94" i="218" s="1"/>
  <c r="G3" i="218"/>
  <c r="D4" i="218"/>
  <c r="G6" i="218"/>
  <c r="M6" i="218"/>
  <c r="D7" i="218"/>
  <c r="G9" i="218"/>
  <c r="M9" i="218"/>
  <c r="K6" i="218"/>
  <c r="K9" i="218"/>
  <c r="D106" i="218"/>
  <c r="D100" i="218"/>
  <c r="D91" i="218"/>
  <c r="D88" i="218"/>
  <c r="D43" i="218"/>
  <c r="D105" i="218"/>
  <c r="D99" i="218"/>
  <c r="D71" i="218"/>
  <c r="D69" i="218"/>
  <c r="D67" i="218"/>
  <c r="D66" i="218"/>
  <c r="D65" i="218"/>
  <c r="D64" i="218"/>
  <c r="D60" i="218"/>
  <c r="D57" i="218"/>
  <c r="D54" i="218"/>
  <c r="D53" i="218"/>
  <c r="D52" i="218"/>
  <c r="D51" i="218"/>
  <c r="D50" i="218"/>
  <c r="D49" i="218"/>
  <c r="D36" i="218"/>
  <c r="D101" i="218"/>
  <c r="D73" i="218"/>
  <c r="D68" i="218"/>
  <c r="D62" i="218"/>
  <c r="D31" i="218"/>
  <c r="D28" i="218"/>
  <c r="D16" i="218"/>
  <c r="D14" i="218"/>
  <c r="D98" i="218"/>
  <c r="D90" i="218"/>
  <c r="D80" i="218"/>
  <c r="D58" i="218"/>
  <c r="D107" i="218"/>
  <c r="D95" i="218" s="1"/>
  <c r="D97" i="218"/>
  <c r="D79" i="218"/>
  <c r="D77" i="218"/>
  <c r="D75" i="218"/>
  <c r="D72" i="218"/>
  <c r="D46" i="218"/>
  <c r="D42" i="218"/>
  <c r="D30" i="218"/>
  <c r="D27" i="218"/>
  <c r="D26" i="218"/>
  <c r="D24" i="218"/>
  <c r="D13" i="218"/>
  <c r="D103" i="218"/>
  <c r="D81" i="218"/>
  <c r="D74" i="218"/>
  <c r="D63" i="218"/>
  <c r="D61" i="218"/>
  <c r="D44" i="218"/>
  <c r="D33" i="218"/>
  <c r="D32" i="218"/>
  <c r="D29" i="218"/>
  <c r="D17" i="218"/>
  <c r="D15" i="218"/>
  <c r="H3" i="218"/>
  <c r="N3" i="218"/>
  <c r="H6" i="218"/>
  <c r="H9" i="218"/>
  <c r="R40" i="218"/>
  <c r="D56" i="218"/>
  <c r="D59" i="218"/>
  <c r="D89" i="218"/>
  <c r="N10" i="217"/>
  <c r="H10" i="217"/>
  <c r="M10" i="217"/>
  <c r="G10" i="217"/>
  <c r="L10" i="217"/>
  <c r="F10" i="217"/>
  <c r="P10" i="217"/>
  <c r="J10" i="217"/>
  <c r="L30" i="217"/>
  <c r="F30" i="217"/>
  <c r="P30" i="217"/>
  <c r="J30" i="217"/>
  <c r="I30" i="217"/>
  <c r="H30" i="217"/>
  <c r="O30" i="217"/>
  <c r="G30" i="217"/>
  <c r="M30" i="217"/>
  <c r="L36" i="217"/>
  <c r="R36" i="217" s="1"/>
  <c r="R40" i="217"/>
  <c r="J53" i="217"/>
  <c r="I53" i="217"/>
  <c r="L53" i="217"/>
  <c r="H53" i="217"/>
  <c r="N53" i="217"/>
  <c r="M53" i="217"/>
  <c r="K53" i="217"/>
  <c r="F53" i="217"/>
  <c r="O53" i="217" s="1"/>
  <c r="Q5" i="217"/>
  <c r="P9" i="217"/>
  <c r="J9" i="217"/>
  <c r="O9" i="217"/>
  <c r="I9" i="217"/>
  <c r="N9" i="217"/>
  <c r="H9" i="217"/>
  <c r="L9" i="217"/>
  <c r="F9" i="217"/>
  <c r="Q9" i="217" s="1"/>
  <c r="F15" i="217"/>
  <c r="J50" i="217"/>
  <c r="I50" i="217"/>
  <c r="L50" i="217"/>
  <c r="H50" i="217"/>
  <c r="K50" i="217"/>
  <c r="R50" i="217" s="1"/>
  <c r="G50" i="217"/>
  <c r="F50" i="217"/>
  <c r="O50" i="217" s="1"/>
  <c r="N50" i="217"/>
  <c r="N4" i="217"/>
  <c r="H4" i="217"/>
  <c r="M4" i="217"/>
  <c r="G4" i="217"/>
  <c r="L4" i="217"/>
  <c r="F4" i="217"/>
  <c r="P4" i="217"/>
  <c r="J4" i="217"/>
  <c r="P6" i="217"/>
  <c r="J6" i="217"/>
  <c r="O6" i="217"/>
  <c r="I6" i="217"/>
  <c r="N6" i="217"/>
  <c r="H6" i="217"/>
  <c r="L6" i="217"/>
  <c r="F6" i="217"/>
  <c r="G9" i="217"/>
  <c r="K10" i="217"/>
  <c r="N26" i="217"/>
  <c r="F26" i="217"/>
  <c r="Q26" i="217" s="1"/>
  <c r="K26" i="217"/>
  <c r="J26" i="217"/>
  <c r="I26" i="217"/>
  <c r="H26" i="217"/>
  <c r="O26" i="217"/>
  <c r="N30" i="217"/>
  <c r="M50" i="217"/>
  <c r="P54" i="217"/>
  <c r="J54" i="217"/>
  <c r="O54" i="217"/>
  <c r="I54" i="217"/>
  <c r="Q54" i="217" s="1"/>
  <c r="H54" i="217"/>
  <c r="N54" i="217"/>
  <c r="F54" i="217"/>
  <c r="M54" i="217"/>
  <c r="L54" i="217"/>
  <c r="G54" i="217"/>
  <c r="N7" i="217"/>
  <c r="H7" i="217"/>
  <c r="M7" i="217"/>
  <c r="G7" i="217"/>
  <c r="Q7" i="217" s="1"/>
  <c r="L7" i="217"/>
  <c r="F7" i="217"/>
  <c r="R7" i="217" s="1"/>
  <c r="P7" i="217"/>
  <c r="J7" i="217"/>
  <c r="P3" i="217"/>
  <c r="J3" i="217"/>
  <c r="O3" i="217"/>
  <c r="I3" i="217"/>
  <c r="N3" i="217"/>
  <c r="H3" i="217"/>
  <c r="L3" i="217"/>
  <c r="F3" i="217"/>
  <c r="K7" i="217"/>
  <c r="K9" i="217"/>
  <c r="P14" i="217"/>
  <c r="J14" i="217"/>
  <c r="K14" i="217"/>
  <c r="I14" i="217"/>
  <c r="O14" i="217"/>
  <c r="H14" i="217"/>
  <c r="M14" i="217"/>
  <c r="F14" i="217"/>
  <c r="Q14" i="217" s="1"/>
  <c r="J51" i="217"/>
  <c r="I51" i="217"/>
  <c r="H51" i="217"/>
  <c r="N51" i="217"/>
  <c r="F51" i="217"/>
  <c r="L51" i="217"/>
  <c r="K51" i="217"/>
  <c r="G51" i="217"/>
  <c r="O7" i="217"/>
  <c r="M9" i="217"/>
  <c r="F24" i="217"/>
  <c r="M51" i="217"/>
  <c r="N55" i="217"/>
  <c r="H55" i="217"/>
  <c r="M55" i="217"/>
  <c r="G55" i="217"/>
  <c r="L55" i="217"/>
  <c r="J55" i="217"/>
  <c r="P55" i="217"/>
  <c r="O55" i="217"/>
  <c r="K55" i="217"/>
  <c r="F55" i="217"/>
  <c r="Q55" i="217" s="1"/>
  <c r="P57" i="217"/>
  <c r="J57" i="217"/>
  <c r="O57" i="217"/>
  <c r="I57" i="217"/>
  <c r="L57" i="217"/>
  <c r="H57" i="217"/>
  <c r="J64" i="217"/>
  <c r="I64" i="217"/>
  <c r="H64" i="217"/>
  <c r="N64" i="217"/>
  <c r="F64" i="217"/>
  <c r="H5" i="217"/>
  <c r="N5" i="217"/>
  <c r="H8" i="217"/>
  <c r="Q8" i="217" s="1"/>
  <c r="N8" i="217"/>
  <c r="D12" i="217"/>
  <c r="D13" i="217"/>
  <c r="I27" i="217"/>
  <c r="D28" i="217"/>
  <c r="I29" i="217"/>
  <c r="Q29" i="217"/>
  <c r="G31" i="217"/>
  <c r="D46" i="217"/>
  <c r="D52" i="217"/>
  <c r="F57" i="217"/>
  <c r="D58" i="217"/>
  <c r="D60" i="217"/>
  <c r="G64" i="217"/>
  <c r="H65" i="217"/>
  <c r="K66" i="217"/>
  <c r="F69" i="217"/>
  <c r="L69" i="217" s="1"/>
  <c r="R82" i="217"/>
  <c r="F82" i="217"/>
  <c r="D104" i="217"/>
  <c r="D94" i="217" s="1"/>
  <c r="D98" i="217"/>
  <c r="D89" i="217"/>
  <c r="D81" i="217"/>
  <c r="D79" i="217"/>
  <c r="D77" i="217"/>
  <c r="D62" i="217"/>
  <c r="D103" i="217"/>
  <c r="D97" i="217"/>
  <c r="D59" i="217"/>
  <c r="D56" i="217"/>
  <c r="D44" i="217"/>
  <c r="D42" i="217"/>
  <c r="D33" i="217"/>
  <c r="D100" i="217"/>
  <c r="D90" i="217"/>
  <c r="D88" i="217"/>
  <c r="D73" i="217"/>
  <c r="D68" i="217"/>
  <c r="D43" i="217"/>
  <c r="D106" i="217"/>
  <c r="D75" i="217"/>
  <c r="D72" i="217"/>
  <c r="J5" i="217"/>
  <c r="P5" i="217"/>
  <c r="J8" i="217"/>
  <c r="P8" i="217"/>
  <c r="D16" i="217"/>
  <c r="D17" i="217"/>
  <c r="K29" i="217"/>
  <c r="K31" i="217"/>
  <c r="Q31" i="217" s="1"/>
  <c r="D32" i="217"/>
  <c r="D49" i="217"/>
  <c r="K57" i="217"/>
  <c r="D61" i="217"/>
  <c r="L64" i="217"/>
  <c r="D74" i="217"/>
  <c r="D102" i="217"/>
  <c r="D93" i="217" s="1"/>
  <c r="K5" i="217"/>
  <c r="K8" i="217"/>
  <c r="L27" i="217"/>
  <c r="F27" i="217"/>
  <c r="P27" i="217"/>
  <c r="J27" i="217"/>
  <c r="N27" i="217"/>
  <c r="M57" i="217"/>
  <c r="M64" i="217"/>
  <c r="J66" i="217"/>
  <c r="I66" i="217"/>
  <c r="L66" i="217"/>
  <c r="H66" i="217"/>
  <c r="R71" i="217"/>
  <c r="N29" i="217"/>
  <c r="H29" i="217"/>
  <c r="R29" i="217"/>
  <c r="L29" i="217"/>
  <c r="F29" i="217"/>
  <c r="O29" i="217"/>
  <c r="P31" i="217"/>
  <c r="J31" i="217"/>
  <c r="N31" i="217"/>
  <c r="H31" i="217"/>
  <c r="M31" i="217"/>
  <c r="N57" i="217"/>
  <c r="F63" i="217"/>
  <c r="R63" i="217" s="1"/>
  <c r="J65" i="217"/>
  <c r="I65" i="217"/>
  <c r="N65" i="217"/>
  <c r="F65" i="217"/>
  <c r="O65" i="217" s="1"/>
  <c r="L65" i="217"/>
  <c r="R80" i="217"/>
  <c r="F80" i="217"/>
  <c r="L16" i="216"/>
  <c r="F16" i="216"/>
  <c r="O16" i="216"/>
  <c r="I16" i="216"/>
  <c r="K16" i="216"/>
  <c r="J16" i="216"/>
  <c r="H16" i="216"/>
  <c r="P16" i="216"/>
  <c r="G16" i="216"/>
  <c r="M16" i="216"/>
  <c r="P10" i="216"/>
  <c r="J10" i="216"/>
  <c r="Q10" i="216"/>
  <c r="I10" i="216"/>
  <c r="O10" i="216"/>
  <c r="H10" i="216"/>
  <c r="N10" i="216"/>
  <c r="G10" i="216"/>
  <c r="R10" i="216" s="1"/>
  <c r="M10" i="216"/>
  <c r="F10" i="216"/>
  <c r="L14" i="216"/>
  <c r="F14" i="216"/>
  <c r="O14" i="216"/>
  <c r="I14" i="216"/>
  <c r="K14" i="216"/>
  <c r="J14" i="216"/>
  <c r="H14" i="216"/>
  <c r="P14" i="216"/>
  <c r="G14" i="216"/>
  <c r="Q14" i="216" s="1"/>
  <c r="N16" i="216"/>
  <c r="L44" i="216"/>
  <c r="L45" i="216" s="1"/>
  <c r="J50" i="216"/>
  <c r="N50" i="216"/>
  <c r="G50" i="216"/>
  <c r="L50" i="216"/>
  <c r="H50" i="216"/>
  <c r="M50" i="216"/>
  <c r="K50" i="216"/>
  <c r="I50" i="216"/>
  <c r="F82" i="216"/>
  <c r="R82" i="216" s="1"/>
  <c r="F11" i="216"/>
  <c r="R11" i="216" s="1"/>
  <c r="K10" i="216"/>
  <c r="M14" i="216"/>
  <c r="N58" i="216"/>
  <c r="H58" i="216"/>
  <c r="K58" i="216"/>
  <c r="L58" i="216"/>
  <c r="P58" i="216"/>
  <c r="G58" i="216"/>
  <c r="O58" i="216"/>
  <c r="M58" i="216"/>
  <c r="F58" i="216"/>
  <c r="Q58" i="216" s="1"/>
  <c r="J58" i="216"/>
  <c r="I58" i="216"/>
  <c r="L10" i="216"/>
  <c r="N14" i="216"/>
  <c r="P28" i="216"/>
  <c r="J28" i="216"/>
  <c r="M28" i="216"/>
  <c r="F28" i="216"/>
  <c r="I28" i="216"/>
  <c r="L28" i="216"/>
  <c r="K28" i="216"/>
  <c r="H28" i="216"/>
  <c r="G28" i="216"/>
  <c r="K46" i="216"/>
  <c r="K47" i="216" s="1"/>
  <c r="D47" i="216"/>
  <c r="F46" i="216"/>
  <c r="F47" i="216" s="1"/>
  <c r="N46" i="216"/>
  <c r="N47" i="216" s="1"/>
  <c r="P31" i="216"/>
  <c r="J31" i="216"/>
  <c r="N31" i="216"/>
  <c r="G31" i="216"/>
  <c r="Q31" i="216" s="1"/>
  <c r="K31" i="216"/>
  <c r="M31" i="216"/>
  <c r="L31" i="216"/>
  <c r="I31" i="216"/>
  <c r="H31" i="216"/>
  <c r="J64" i="216"/>
  <c r="I64" i="216"/>
  <c r="L64" i="216"/>
  <c r="G64" i="216"/>
  <c r="N64" i="216"/>
  <c r="F64" i="216"/>
  <c r="M64" i="216"/>
  <c r="K64" i="216"/>
  <c r="H64" i="216"/>
  <c r="R68" i="216"/>
  <c r="F68" i="216"/>
  <c r="D7" i="216"/>
  <c r="D8" i="216"/>
  <c r="D9" i="216"/>
  <c r="D32" i="216"/>
  <c r="H59" i="216"/>
  <c r="R59" i="216" s="1"/>
  <c r="D104" i="216"/>
  <c r="D94" i="216" s="1"/>
  <c r="D98" i="216"/>
  <c r="D89" i="216"/>
  <c r="D81" i="216"/>
  <c r="D79" i="216"/>
  <c r="D77" i="216"/>
  <c r="D62" i="216"/>
  <c r="D102" i="216"/>
  <c r="D65" i="216"/>
  <c r="D63" i="216"/>
  <c r="D60" i="216"/>
  <c r="D52" i="216"/>
  <c r="D49" i="216"/>
  <c r="D42" i="216"/>
  <c r="D103" i="216"/>
  <c r="D73" i="216"/>
  <c r="D69" i="216"/>
  <c r="D66" i="216"/>
  <c r="D56" i="216"/>
  <c r="D107" i="216"/>
  <c r="D95" i="216" s="1"/>
  <c r="D99" i="216"/>
  <c r="D92" i="216" s="1"/>
  <c r="D72" i="216"/>
  <c r="D57" i="216"/>
  <c r="D51" i="216"/>
  <c r="D27" i="216"/>
  <c r="D26" i="216"/>
  <c r="D24" i="216"/>
  <c r="D13" i="216"/>
  <c r="D12" i="216"/>
  <c r="D4" i="216"/>
  <c r="D5" i="216"/>
  <c r="D6" i="216"/>
  <c r="D29" i="216"/>
  <c r="I59" i="216"/>
  <c r="D61" i="216"/>
  <c r="D80" i="216"/>
  <c r="D90" i="216"/>
  <c r="D101" i="216"/>
  <c r="D2" i="216"/>
  <c r="D3" i="216"/>
  <c r="D15" i="216"/>
  <c r="D17" i="216"/>
  <c r="D33" i="216"/>
  <c r="D54" i="216"/>
  <c r="D71" i="216"/>
  <c r="D75" i="216"/>
  <c r="D91" i="216"/>
  <c r="D105" i="216"/>
  <c r="L59" i="216"/>
  <c r="F59" i="216"/>
  <c r="K59" i="216"/>
  <c r="Q59" i="216" s="1"/>
  <c r="O59" i="216"/>
  <c r="G59" i="216"/>
  <c r="J59" i="216"/>
  <c r="D30" i="216"/>
  <c r="D36" i="216"/>
  <c r="D43" i="216"/>
  <c r="D53" i="216"/>
  <c r="D55" i="216"/>
  <c r="N59" i="216"/>
  <c r="D67" i="216"/>
  <c r="D74" i="216"/>
  <c r="D88" i="216"/>
  <c r="D106" i="216"/>
  <c r="P7" i="215"/>
  <c r="J7" i="215"/>
  <c r="O7" i="215"/>
  <c r="N7" i="215"/>
  <c r="H7" i="215"/>
  <c r="L7" i="215"/>
  <c r="G7" i="215"/>
  <c r="K7" i="215"/>
  <c r="I7" i="215"/>
  <c r="F7" i="215"/>
  <c r="M7" i="215"/>
  <c r="F11" i="215"/>
  <c r="R11" i="215" s="1"/>
  <c r="P4" i="215"/>
  <c r="J4" i="215"/>
  <c r="M4" i="215"/>
  <c r="O4" i="215"/>
  <c r="I4" i="215"/>
  <c r="G4" i="215"/>
  <c r="N4" i="215"/>
  <c r="H4" i="215"/>
  <c r="K4" i="215"/>
  <c r="D106" i="215"/>
  <c r="D100" i="215"/>
  <c r="D91" i="215"/>
  <c r="D88" i="215"/>
  <c r="D43" i="215"/>
  <c r="D105" i="215"/>
  <c r="D99" i="215"/>
  <c r="D71" i="215"/>
  <c r="D69" i="215"/>
  <c r="D67" i="215"/>
  <c r="D66" i="215"/>
  <c r="D65" i="215"/>
  <c r="D64" i="215"/>
  <c r="D60" i="215"/>
  <c r="D57" i="215"/>
  <c r="D54" i="215"/>
  <c r="D53" i="215"/>
  <c r="D52" i="215"/>
  <c r="D51" i="215"/>
  <c r="D50" i="215"/>
  <c r="D49" i="215"/>
  <c r="D104" i="215"/>
  <c r="D94" i="215" s="1"/>
  <c r="D98" i="215"/>
  <c r="D89" i="215"/>
  <c r="D81" i="215"/>
  <c r="D79" i="215"/>
  <c r="D77" i="215"/>
  <c r="D62" i="215"/>
  <c r="D90" i="215"/>
  <c r="D80" i="215"/>
  <c r="D55" i="215"/>
  <c r="D36" i="215"/>
  <c r="D33" i="215"/>
  <c r="D30" i="215"/>
  <c r="D27" i="215"/>
  <c r="D26" i="215"/>
  <c r="D24" i="215"/>
  <c r="D13" i="215"/>
  <c r="D12" i="215"/>
  <c r="D107" i="215"/>
  <c r="D95" i="215" s="1"/>
  <c r="D59" i="215"/>
  <c r="D42" i="215"/>
  <c r="D9" i="215"/>
  <c r="D103" i="215"/>
  <c r="D63" i="215"/>
  <c r="D32" i="215"/>
  <c r="D29" i="215"/>
  <c r="D17" i="215"/>
  <c r="D15" i="215"/>
  <c r="D75" i="215"/>
  <c r="D73" i="215"/>
  <c r="D61" i="215"/>
  <c r="D28" i="215"/>
  <c r="D16" i="215"/>
  <c r="D14" i="215"/>
  <c r="D101" i="215"/>
  <c r="D58" i="215"/>
  <c r="D10" i="215"/>
  <c r="D6" i="215"/>
  <c r="D3" i="215"/>
  <c r="D82" i="215"/>
  <c r="D74" i="215"/>
  <c r="D68" i="215"/>
  <c r="D31" i="215"/>
  <c r="D56" i="215"/>
  <c r="D46" i="215"/>
  <c r="D44" i="215"/>
  <c r="D8" i="215"/>
  <c r="D102" i="215"/>
  <c r="D72" i="215"/>
  <c r="D5" i="215"/>
  <c r="D2" i="215"/>
  <c r="L4" i="215"/>
  <c r="D97" i="215"/>
  <c r="P10" i="214"/>
  <c r="J10" i="214"/>
  <c r="O10" i="214"/>
  <c r="I10" i="214"/>
  <c r="N10" i="214"/>
  <c r="H10" i="214"/>
  <c r="M10" i="214"/>
  <c r="G10" i="214"/>
  <c r="L10" i="214"/>
  <c r="K10" i="214"/>
  <c r="F10" i="214"/>
  <c r="Q10" i="214" s="1"/>
  <c r="P7" i="214"/>
  <c r="J7" i="214"/>
  <c r="O7" i="214"/>
  <c r="I7" i="214"/>
  <c r="N7" i="214"/>
  <c r="H7" i="214"/>
  <c r="M7" i="214"/>
  <c r="G7" i="214"/>
  <c r="K7" i="214"/>
  <c r="L7" i="214"/>
  <c r="D102" i="214"/>
  <c r="D105" i="214"/>
  <c r="D99" i="214"/>
  <c r="D71" i="214"/>
  <c r="D69" i="214"/>
  <c r="D67" i="214"/>
  <c r="D66" i="214"/>
  <c r="D65" i="214"/>
  <c r="D64" i="214"/>
  <c r="D60" i="214"/>
  <c r="D57" i="214"/>
  <c r="D54" i="214"/>
  <c r="D53" i="214"/>
  <c r="D52" i="214"/>
  <c r="D51" i="214"/>
  <c r="D50" i="214"/>
  <c r="D49" i="214"/>
  <c r="D36" i="214"/>
  <c r="D101" i="214"/>
  <c r="D88" i="214"/>
  <c r="D82" i="214"/>
  <c r="D74" i="214"/>
  <c r="D62" i="214"/>
  <c r="D61" i="214"/>
  <c r="D44" i="214"/>
  <c r="D33" i="214"/>
  <c r="D100" i="214"/>
  <c r="D79" i="214"/>
  <c r="D56" i="214"/>
  <c r="D55" i="214"/>
  <c r="D32" i="214"/>
  <c r="D29" i="214"/>
  <c r="D107" i="214"/>
  <c r="D95" i="214" s="1"/>
  <c r="D98" i="214"/>
  <c r="D91" i="214"/>
  <c r="D89" i="214"/>
  <c r="D81" i="214"/>
  <c r="D75" i="214"/>
  <c r="D72" i="214"/>
  <c r="D59" i="214"/>
  <c r="D58" i="214"/>
  <c r="D46" i="214"/>
  <c r="D106" i="214"/>
  <c r="D97" i="214"/>
  <c r="D63" i="214"/>
  <c r="D43" i="214"/>
  <c r="D31" i="214"/>
  <c r="D28" i="214"/>
  <c r="D77" i="214"/>
  <c r="D27" i="214"/>
  <c r="D26" i="214"/>
  <c r="D13" i="214"/>
  <c r="D12" i="214"/>
  <c r="D73" i="214"/>
  <c r="D42" i="214"/>
  <c r="D80" i="214"/>
  <c r="D30" i="214"/>
  <c r="D24" i="214"/>
  <c r="D9" i="214"/>
  <c r="D6" i="214"/>
  <c r="D3" i="214"/>
  <c r="D104" i="214"/>
  <c r="D94" i="214" s="1"/>
  <c r="D68" i="214"/>
  <c r="D17" i="214"/>
  <c r="D15" i="214"/>
  <c r="D16" i="214"/>
  <c r="D14" i="214"/>
  <c r="D103" i="214"/>
  <c r="D90" i="214"/>
  <c r="D11" i="214"/>
  <c r="D8" i="214"/>
  <c r="D5" i="214"/>
  <c r="D2" i="214"/>
  <c r="F7" i="214"/>
  <c r="Q7" i="214" s="1"/>
  <c r="R7" i="214" s="1"/>
  <c r="D4" i="214"/>
  <c r="M7" i="213"/>
  <c r="G7" i="213"/>
  <c r="P7" i="213"/>
  <c r="J7" i="213"/>
  <c r="L7" i="213"/>
  <c r="K7" i="213"/>
  <c r="I7" i="213"/>
  <c r="O7" i="213"/>
  <c r="F7" i="213"/>
  <c r="H7" i="213"/>
  <c r="Q7" i="213" s="1"/>
  <c r="P16" i="213"/>
  <c r="J16" i="213"/>
  <c r="K16" i="213"/>
  <c r="N16" i="213"/>
  <c r="G16" i="213"/>
  <c r="M16" i="213"/>
  <c r="L16" i="213"/>
  <c r="I16" i="213"/>
  <c r="F16" i="213"/>
  <c r="Q16" i="213" s="1"/>
  <c r="H16" i="213"/>
  <c r="N7" i="213"/>
  <c r="O16" i="213"/>
  <c r="F36" i="213"/>
  <c r="L36" i="213" s="1"/>
  <c r="R36" i="213" s="1"/>
  <c r="P57" i="213"/>
  <c r="J57" i="213"/>
  <c r="O57" i="213"/>
  <c r="I57" i="213"/>
  <c r="K57" i="213"/>
  <c r="M57" i="213"/>
  <c r="L57" i="213"/>
  <c r="G57" i="213"/>
  <c r="N57" i="213"/>
  <c r="F57" i="213"/>
  <c r="H57" i="213"/>
  <c r="N29" i="213"/>
  <c r="H29" i="213"/>
  <c r="K29" i="213"/>
  <c r="O29" i="213"/>
  <c r="G29" i="213"/>
  <c r="Q29" i="213" s="1"/>
  <c r="M29" i="213"/>
  <c r="F29" i="213"/>
  <c r="R29" i="213" s="1"/>
  <c r="L29" i="213"/>
  <c r="J29" i="213"/>
  <c r="I29" i="213"/>
  <c r="P54" i="213"/>
  <c r="J54" i="213"/>
  <c r="O54" i="213"/>
  <c r="I54" i="213"/>
  <c r="G54" i="213"/>
  <c r="Q54" i="213" s="1"/>
  <c r="L54" i="213"/>
  <c r="K54" i="213"/>
  <c r="F54" i="213"/>
  <c r="R54" i="213" s="1"/>
  <c r="G9" i="213"/>
  <c r="P9" i="213"/>
  <c r="D14" i="213"/>
  <c r="D17" i="213"/>
  <c r="D26" i="213"/>
  <c r="D30" i="213"/>
  <c r="D50" i="213"/>
  <c r="H54" i="213"/>
  <c r="D63" i="213"/>
  <c r="D90" i="213"/>
  <c r="N9" i="213"/>
  <c r="D104" i="213"/>
  <c r="D94" i="213" s="1"/>
  <c r="D98" i="213"/>
  <c r="D89" i="213"/>
  <c r="D81" i="213"/>
  <c r="D79" i="213"/>
  <c r="D77" i="213"/>
  <c r="D62" i="213"/>
  <c r="D103" i="213"/>
  <c r="D97" i="213"/>
  <c r="D92" i="213" s="1"/>
  <c r="D59" i="213"/>
  <c r="D56" i="213"/>
  <c r="D44" i="213"/>
  <c r="D42" i="213"/>
  <c r="D33" i="213"/>
  <c r="D107" i="213"/>
  <c r="D95" i="213" s="1"/>
  <c r="D99" i="213"/>
  <c r="D80" i="213"/>
  <c r="D65" i="213"/>
  <c r="D60" i="213"/>
  <c r="D58" i="213"/>
  <c r="D52" i="213"/>
  <c r="D49" i="213"/>
  <c r="D46" i="213"/>
  <c r="D100" i="213"/>
  <c r="D68" i="213"/>
  <c r="D51" i="213"/>
  <c r="D32" i="213"/>
  <c r="D31" i="213"/>
  <c r="D11" i="213"/>
  <c r="D8" i="213"/>
  <c r="D71" i="213"/>
  <c r="D106" i="213"/>
  <c r="D75" i="213"/>
  <c r="D67" i="213"/>
  <c r="D105" i="213"/>
  <c r="D91" i="213"/>
  <c r="D82" i="213"/>
  <c r="D74" i="213"/>
  <c r="D66" i="213"/>
  <c r="D61" i="213"/>
  <c r="D43" i="213"/>
  <c r="D13" i="213"/>
  <c r="D12" i="213"/>
  <c r="D4" i="213"/>
  <c r="D5" i="213"/>
  <c r="D6" i="213"/>
  <c r="H9" i="213"/>
  <c r="D27" i="213"/>
  <c r="D53" i="213"/>
  <c r="M54" i="213"/>
  <c r="D64" i="213"/>
  <c r="D72" i="213"/>
  <c r="D102" i="213"/>
  <c r="F88" i="213"/>
  <c r="D2" i="213"/>
  <c r="D3" i="213"/>
  <c r="D10" i="213"/>
  <c r="D15" i="213"/>
  <c r="D24" i="213"/>
  <c r="D28" i="213"/>
  <c r="N54" i="213"/>
  <c r="D69" i="213"/>
  <c r="O9" i="213"/>
  <c r="I9" i="213"/>
  <c r="L9" i="213"/>
  <c r="F9" i="213"/>
  <c r="Q9" i="213" s="1"/>
  <c r="K9" i="213"/>
  <c r="D55" i="213"/>
  <c r="D73" i="213"/>
  <c r="R63" i="212"/>
  <c r="F63" i="212"/>
  <c r="O4" i="212"/>
  <c r="I4" i="212"/>
  <c r="J4" i="212"/>
  <c r="P4" i="212"/>
  <c r="H4" i="212"/>
  <c r="N4" i="212"/>
  <c r="G4" i="212"/>
  <c r="M4" i="212"/>
  <c r="F4" i="212"/>
  <c r="K4" i="212"/>
  <c r="D15" i="212"/>
  <c r="D55" i="212"/>
  <c r="L4" i="212"/>
  <c r="M8" i="212"/>
  <c r="G8" i="212"/>
  <c r="K8" i="212"/>
  <c r="Q8" i="212"/>
  <c r="J8" i="212"/>
  <c r="P8" i="212"/>
  <c r="I8" i="212"/>
  <c r="O8" i="212"/>
  <c r="H8" i="212"/>
  <c r="D104" i="212"/>
  <c r="D94" i="212" s="1"/>
  <c r="D98" i="212"/>
  <c r="D89" i="212"/>
  <c r="D81" i="212"/>
  <c r="D79" i="212"/>
  <c r="D77" i="212"/>
  <c r="D62" i="212"/>
  <c r="D101" i="212"/>
  <c r="D90" i="212"/>
  <c r="D73" i="212"/>
  <c r="D68" i="212"/>
  <c r="D44" i="212"/>
  <c r="D36" i="212"/>
  <c r="D33" i="212"/>
  <c r="D30" i="212"/>
  <c r="D27" i="212"/>
  <c r="D102" i="212"/>
  <c r="D69" i="212"/>
  <c r="D66" i="212"/>
  <c r="D56" i="212"/>
  <c r="D16" i="212"/>
  <c r="D14" i="212"/>
  <c r="D106" i="212"/>
  <c r="D97" i="212"/>
  <c r="D88" i="212"/>
  <c r="D72" i="212"/>
  <c r="D65" i="212"/>
  <c r="D57" i="212"/>
  <c r="D51" i="212"/>
  <c r="D42" i="212"/>
  <c r="D9" i="212"/>
  <c r="D6" i="212"/>
  <c r="D3" i="212"/>
  <c r="D105" i="212"/>
  <c r="D91" i="212"/>
  <c r="D75" i="212"/>
  <c r="D71" i="212"/>
  <c r="D54" i="212"/>
  <c r="D43" i="212"/>
  <c r="D31" i="212"/>
  <c r="D13" i="212"/>
  <c r="D11" i="212"/>
  <c r="D10" i="212"/>
  <c r="D82" i="212"/>
  <c r="D103" i="212"/>
  <c r="D80" i="212"/>
  <c r="D61" i="212"/>
  <c r="D49" i="212"/>
  <c r="D100" i="212"/>
  <c r="D26" i="212"/>
  <c r="D24" i="212"/>
  <c r="D50" i="212"/>
  <c r="D99" i="212"/>
  <c r="D60" i="212"/>
  <c r="D59" i="212"/>
  <c r="D29" i="212"/>
  <c r="D2" i="212"/>
  <c r="D64" i="212"/>
  <c r="D58" i="212"/>
  <c r="D32" i="212"/>
  <c r="D5" i="212"/>
  <c r="F8" i="212"/>
  <c r="R8" i="212" s="1"/>
  <c r="D12" i="212"/>
  <c r="D46" i="212"/>
  <c r="D52" i="212"/>
  <c r="M74" i="212"/>
  <c r="G74" i="212"/>
  <c r="H74" i="212"/>
  <c r="K74" i="212"/>
  <c r="F74" i="212"/>
  <c r="I74" i="212"/>
  <c r="N74" i="212"/>
  <c r="L74" i="212"/>
  <c r="J74" i="212"/>
  <c r="D7" i="212"/>
  <c r="L8" i="212"/>
  <c r="D17" i="212"/>
  <c r="D28" i="212"/>
  <c r="D53" i="212"/>
  <c r="D67" i="212"/>
  <c r="R12" i="211"/>
  <c r="K13" i="211"/>
  <c r="F63" i="211"/>
  <c r="R63" i="211" s="1"/>
  <c r="G3" i="211"/>
  <c r="Q3" i="211" s="1"/>
  <c r="M3" i="211"/>
  <c r="D4" i="211"/>
  <c r="I5" i="211"/>
  <c r="O5" i="211"/>
  <c r="G6" i="211"/>
  <c r="M6" i="211"/>
  <c r="D7" i="211"/>
  <c r="I8" i="211"/>
  <c r="O8" i="211"/>
  <c r="G9" i="211"/>
  <c r="Q9" i="211" s="1"/>
  <c r="M9" i="211"/>
  <c r="D10" i="211"/>
  <c r="F12" i="211"/>
  <c r="L12" i="211"/>
  <c r="F13" i="211"/>
  <c r="Q13" i="211" s="1"/>
  <c r="L13" i="211"/>
  <c r="D14" i="211"/>
  <c r="D15" i="211"/>
  <c r="H16" i="211"/>
  <c r="P16" i="211"/>
  <c r="I17" i="211"/>
  <c r="P17" i="211"/>
  <c r="K28" i="211"/>
  <c r="D29" i="211"/>
  <c r="D31" i="211"/>
  <c r="I32" i="211"/>
  <c r="D36" i="211"/>
  <c r="D43" i="211"/>
  <c r="M50" i="211"/>
  <c r="D53" i="211"/>
  <c r="D54" i="211"/>
  <c r="D55" i="211"/>
  <c r="D57" i="211"/>
  <c r="N61" i="211"/>
  <c r="D64" i="211"/>
  <c r="G66" i="211"/>
  <c r="D69" i="211"/>
  <c r="J73" i="211"/>
  <c r="N74" i="211"/>
  <c r="K12" i="211"/>
  <c r="R68" i="211"/>
  <c r="F68" i="211"/>
  <c r="D104" i="211"/>
  <c r="D94" i="211" s="1"/>
  <c r="D98" i="211"/>
  <c r="D89" i="211"/>
  <c r="D81" i="211"/>
  <c r="D79" i="211"/>
  <c r="D77" i="211"/>
  <c r="D62" i="211"/>
  <c r="D103" i="211"/>
  <c r="D97" i="211"/>
  <c r="D59" i="211"/>
  <c r="D56" i="211"/>
  <c r="D44" i="211"/>
  <c r="D42" i="211"/>
  <c r="D33" i="211"/>
  <c r="D107" i="211"/>
  <c r="D95" i="211" s="1"/>
  <c r="D99" i="211"/>
  <c r="D80" i="211"/>
  <c r="D65" i="211"/>
  <c r="D60" i="211"/>
  <c r="D58" i="211"/>
  <c r="D52" i="211"/>
  <c r="D49" i="211"/>
  <c r="D46" i="211"/>
  <c r="D30" i="211"/>
  <c r="D27" i="211"/>
  <c r="D26" i="211"/>
  <c r="D24" i="211"/>
  <c r="D106" i="211"/>
  <c r="D93" i="211" s="1"/>
  <c r="D75" i="211"/>
  <c r="D72" i="211"/>
  <c r="H3" i="211"/>
  <c r="N3" i="211"/>
  <c r="J5" i="211"/>
  <c r="P5" i="211"/>
  <c r="H6" i="211"/>
  <c r="N6" i="211"/>
  <c r="J8" i="211"/>
  <c r="P8" i="211"/>
  <c r="H9" i="211"/>
  <c r="R9" i="211" s="1"/>
  <c r="N9" i="211"/>
  <c r="G12" i="211"/>
  <c r="M12" i="211"/>
  <c r="G13" i="211"/>
  <c r="M13" i="211"/>
  <c r="J16" i="211"/>
  <c r="J17" i="211"/>
  <c r="D76" i="211"/>
  <c r="D101" i="211"/>
  <c r="K5" i="211"/>
  <c r="Q5" i="211"/>
  <c r="K8" i="211"/>
  <c r="H12" i="211"/>
  <c r="N12" i="211"/>
  <c r="H13" i="211"/>
  <c r="N13" i="211"/>
  <c r="O28" i="211"/>
  <c r="I28" i="211"/>
  <c r="N28" i="211"/>
  <c r="H28" i="211"/>
  <c r="M28" i="211"/>
  <c r="J50" i="211"/>
  <c r="I50" i="211"/>
  <c r="K50" i="211"/>
  <c r="H50" i="211"/>
  <c r="J51" i="211"/>
  <c r="I51" i="211"/>
  <c r="G51" i="211"/>
  <c r="N51" i="211"/>
  <c r="F51" i="211"/>
  <c r="O51" i="211" s="1"/>
  <c r="F82" i="211"/>
  <c r="R82" i="211" s="1"/>
  <c r="Q90" i="211"/>
  <c r="L90" i="211" s="1"/>
  <c r="R90" i="211" s="1"/>
  <c r="J3" i="211"/>
  <c r="P3" i="211"/>
  <c r="F5" i="211"/>
  <c r="L5" i="211"/>
  <c r="F8" i="211"/>
  <c r="L8" i="211"/>
  <c r="F11" i="211"/>
  <c r="R11" i="211" s="1"/>
  <c r="I12" i="211"/>
  <c r="O12" i="211"/>
  <c r="I13" i="211"/>
  <c r="O13" i="211"/>
  <c r="O16" i="211"/>
  <c r="I16" i="211"/>
  <c r="L16" i="211"/>
  <c r="M17" i="211"/>
  <c r="G17" i="211"/>
  <c r="L17" i="211"/>
  <c r="F28" i="211"/>
  <c r="P28" i="211"/>
  <c r="F50" i="211"/>
  <c r="O50" i="211" s="1"/>
  <c r="R50" i="211" s="1"/>
  <c r="H51" i="211"/>
  <c r="M61" i="211"/>
  <c r="G61" i="211"/>
  <c r="L61" i="211"/>
  <c r="F61" i="211"/>
  <c r="Q61" i="211" s="1"/>
  <c r="J61" i="211"/>
  <c r="I61" i="211"/>
  <c r="F71" i="211"/>
  <c r="M73" i="211"/>
  <c r="G73" i="211"/>
  <c r="L73" i="211"/>
  <c r="F73" i="211"/>
  <c r="N73" i="211"/>
  <c r="K73" i="211"/>
  <c r="O73" i="211" s="1"/>
  <c r="M74" i="211"/>
  <c r="G74" i="211"/>
  <c r="L74" i="211"/>
  <c r="F74" i="211"/>
  <c r="J74" i="211"/>
  <c r="I74" i="211"/>
  <c r="O74" i="211" s="1"/>
  <c r="K3" i="211"/>
  <c r="G5" i="211"/>
  <c r="R5" i="211" s="1"/>
  <c r="K6" i="211"/>
  <c r="G8" i="211"/>
  <c r="Q8" i="211" s="1"/>
  <c r="R8" i="211" s="1"/>
  <c r="K9" i="211"/>
  <c r="J12" i="211"/>
  <c r="J13" i="211"/>
  <c r="P13" i="211"/>
  <c r="F16" i="211"/>
  <c r="M16" i="211"/>
  <c r="F17" i="211"/>
  <c r="N17" i="211"/>
  <c r="G28" i="211"/>
  <c r="M32" i="211"/>
  <c r="N32" i="211"/>
  <c r="G32" i="211"/>
  <c r="L32" i="211"/>
  <c r="F32" i="211"/>
  <c r="P32" i="211"/>
  <c r="G50" i="211"/>
  <c r="K51" i="211"/>
  <c r="H61" i="211"/>
  <c r="R61" i="211" s="1"/>
  <c r="J66" i="211"/>
  <c r="I66" i="211"/>
  <c r="K66" i="211"/>
  <c r="H66" i="211"/>
  <c r="H67" i="211"/>
  <c r="R67" i="211" s="1"/>
  <c r="H73" i="211"/>
  <c r="H74" i="211"/>
  <c r="D87" i="211"/>
  <c r="R88" i="211"/>
  <c r="J53" i="210"/>
  <c r="N53" i="210"/>
  <c r="G53" i="210"/>
  <c r="K53" i="210"/>
  <c r="I53" i="210"/>
  <c r="F53" i="210"/>
  <c r="H53" i="210"/>
  <c r="M53" i="210"/>
  <c r="L53" i="210"/>
  <c r="M74" i="210"/>
  <c r="G74" i="210"/>
  <c r="I74" i="210"/>
  <c r="K74" i="210"/>
  <c r="J74" i="210"/>
  <c r="F74" i="210"/>
  <c r="O74" i="210" s="1"/>
  <c r="H74" i="210"/>
  <c r="N74" i="210"/>
  <c r="L74" i="210"/>
  <c r="H67" i="210"/>
  <c r="R67" i="210"/>
  <c r="F36" i="210"/>
  <c r="L36" i="210" s="1"/>
  <c r="R36" i="210" s="1"/>
  <c r="L44" i="210"/>
  <c r="L45" i="210" s="1"/>
  <c r="M75" i="210"/>
  <c r="G75" i="210"/>
  <c r="K75" i="210"/>
  <c r="H75" i="210"/>
  <c r="R75" i="210" s="1"/>
  <c r="F75" i="210"/>
  <c r="O75" i="210" s="1"/>
  <c r="L75" i="210"/>
  <c r="I75" i="210"/>
  <c r="N75" i="210"/>
  <c r="L3" i="210"/>
  <c r="F3" i="210"/>
  <c r="K3" i="210"/>
  <c r="N3" i="210"/>
  <c r="J3" i="210"/>
  <c r="P3" i="210"/>
  <c r="I3" i="210"/>
  <c r="G3" i="210"/>
  <c r="O3" i="210"/>
  <c r="H3" i="210"/>
  <c r="D17" i="210"/>
  <c r="I32" i="210"/>
  <c r="I33" i="210"/>
  <c r="D71" i="210"/>
  <c r="D88" i="210"/>
  <c r="D105" i="210"/>
  <c r="P31" i="210"/>
  <c r="J31" i="210"/>
  <c r="N31" i="210"/>
  <c r="G31" i="210"/>
  <c r="M31" i="210"/>
  <c r="F31" i="210"/>
  <c r="K31" i="210"/>
  <c r="D10" i="210"/>
  <c r="D11" i="210"/>
  <c r="D14" i="210"/>
  <c r="I31" i="210"/>
  <c r="J32" i="210"/>
  <c r="D55" i="210"/>
  <c r="D80" i="210"/>
  <c r="D106" i="210"/>
  <c r="L33" i="210"/>
  <c r="M33" i="210"/>
  <c r="F33" i="210"/>
  <c r="P33" i="210"/>
  <c r="H33" i="210"/>
  <c r="O33" i="210"/>
  <c r="G33" i="210"/>
  <c r="R33" i="210" s="1"/>
  <c r="K33" i="210"/>
  <c r="D7" i="210"/>
  <c r="D8" i="210"/>
  <c r="D9" i="210"/>
  <c r="L31" i="210"/>
  <c r="N33" i="210"/>
  <c r="D43" i="210"/>
  <c r="D54" i="210"/>
  <c r="N32" i="210"/>
  <c r="H32" i="210"/>
  <c r="O32" i="210"/>
  <c r="G32" i="210"/>
  <c r="M32" i="210"/>
  <c r="F32" i="210"/>
  <c r="K32" i="210"/>
  <c r="D104" i="210"/>
  <c r="D94" i="210" s="1"/>
  <c r="D98" i="210"/>
  <c r="D92" i="210" s="1"/>
  <c r="D89" i="210"/>
  <c r="D81" i="210"/>
  <c r="D79" i="210"/>
  <c r="D77" i="210"/>
  <c r="D62" i="210"/>
  <c r="D102" i="210"/>
  <c r="D65" i="210"/>
  <c r="D63" i="210"/>
  <c r="D60" i="210"/>
  <c r="D52" i="210"/>
  <c r="D49" i="210"/>
  <c r="D42" i="210"/>
  <c r="D103" i="210"/>
  <c r="D73" i="210"/>
  <c r="D69" i="210"/>
  <c r="D66" i="210"/>
  <c r="D56" i="210"/>
  <c r="D101" i="210"/>
  <c r="D82" i="210"/>
  <c r="D68" i="210"/>
  <c r="D61" i="210"/>
  <c r="D59" i="210"/>
  <c r="D46" i="210"/>
  <c r="D30" i="210"/>
  <c r="D29" i="210"/>
  <c r="D28" i="210"/>
  <c r="D16" i="210"/>
  <c r="D100" i="210"/>
  <c r="D91" i="210"/>
  <c r="D107" i="210"/>
  <c r="D95" i="210" s="1"/>
  <c r="D99" i="210"/>
  <c r="D72" i="210"/>
  <c r="D57" i="210"/>
  <c r="D51" i="210"/>
  <c r="D27" i="210"/>
  <c r="D26" i="210"/>
  <c r="D24" i="210"/>
  <c r="D13" i="210"/>
  <c r="D12" i="210"/>
  <c r="D4" i="210"/>
  <c r="D5" i="210"/>
  <c r="D6" i="210"/>
  <c r="D15" i="210"/>
  <c r="O31" i="210"/>
  <c r="P32" i="210"/>
  <c r="Q33" i="210"/>
  <c r="D50" i="210"/>
  <c r="D58" i="210"/>
  <c r="D64" i="210"/>
  <c r="D90" i="210"/>
  <c r="N58" i="209"/>
  <c r="H58" i="209"/>
  <c r="K58" i="209"/>
  <c r="L58" i="209"/>
  <c r="P58" i="209"/>
  <c r="G58" i="209"/>
  <c r="O58" i="209"/>
  <c r="M58" i="209"/>
  <c r="F58" i="209"/>
  <c r="J58" i="209"/>
  <c r="I58" i="209"/>
  <c r="F11" i="209"/>
  <c r="R11" i="209" s="1"/>
  <c r="L16" i="209"/>
  <c r="F16" i="209"/>
  <c r="R16" i="209" s="1"/>
  <c r="O16" i="209"/>
  <c r="I16" i="209"/>
  <c r="K16" i="209"/>
  <c r="J16" i="209"/>
  <c r="H16" i="209"/>
  <c r="P16" i="209"/>
  <c r="G16" i="209"/>
  <c r="F31" i="209"/>
  <c r="M16" i="209"/>
  <c r="Q16" i="209" s="1"/>
  <c r="K46" i="209"/>
  <c r="K47" i="209" s="1"/>
  <c r="D47" i="209"/>
  <c r="F46" i="209"/>
  <c r="F47" i="209" s="1"/>
  <c r="N46" i="209"/>
  <c r="N47" i="209" s="1"/>
  <c r="F82" i="209"/>
  <c r="R82" i="209" s="1"/>
  <c r="P31" i="209"/>
  <c r="J31" i="209"/>
  <c r="N31" i="209"/>
  <c r="G31" i="209"/>
  <c r="K31" i="209"/>
  <c r="Q31" i="209" s="1"/>
  <c r="M31" i="209"/>
  <c r="R31" i="209" s="1"/>
  <c r="L31" i="209"/>
  <c r="I31" i="209"/>
  <c r="H31" i="209"/>
  <c r="P10" i="209"/>
  <c r="J10" i="209"/>
  <c r="I10" i="209"/>
  <c r="O10" i="209"/>
  <c r="H10" i="209"/>
  <c r="N10" i="209"/>
  <c r="G10" i="209"/>
  <c r="M10" i="209"/>
  <c r="Q10" i="209" s="1"/>
  <c r="F10" i="209"/>
  <c r="L14" i="209"/>
  <c r="F14" i="209"/>
  <c r="O14" i="209"/>
  <c r="I14" i="209"/>
  <c r="K14" i="209"/>
  <c r="J14" i="209"/>
  <c r="H14" i="209"/>
  <c r="P14" i="209"/>
  <c r="G14" i="209"/>
  <c r="N16" i="209"/>
  <c r="L44" i="209"/>
  <c r="L45" i="209" s="1"/>
  <c r="R44" i="209"/>
  <c r="J50" i="209"/>
  <c r="N50" i="209"/>
  <c r="G50" i="209"/>
  <c r="L50" i="209"/>
  <c r="H50" i="209"/>
  <c r="M50" i="209"/>
  <c r="K50" i="209"/>
  <c r="I50" i="209"/>
  <c r="K10" i="209"/>
  <c r="M14" i="209"/>
  <c r="F50" i="209"/>
  <c r="D92" i="209"/>
  <c r="L10" i="209"/>
  <c r="N14" i="209"/>
  <c r="P28" i="209"/>
  <c r="J28" i="209"/>
  <c r="M28" i="209"/>
  <c r="F28" i="209"/>
  <c r="Q28" i="209" s="1"/>
  <c r="R28" i="209" s="1"/>
  <c r="I28" i="209"/>
  <c r="L28" i="209"/>
  <c r="K28" i="209"/>
  <c r="H28" i="209"/>
  <c r="G28" i="209"/>
  <c r="J64" i="209"/>
  <c r="I64" i="209"/>
  <c r="L64" i="209"/>
  <c r="G64" i="209"/>
  <c r="N64" i="209"/>
  <c r="M64" i="209"/>
  <c r="F64" i="209"/>
  <c r="R64" i="209" s="1"/>
  <c r="K64" i="209"/>
  <c r="H64" i="209"/>
  <c r="O64" i="209" s="1"/>
  <c r="F68" i="209"/>
  <c r="R68" i="209" s="1"/>
  <c r="D7" i="209"/>
  <c r="D8" i="209"/>
  <c r="D9" i="209"/>
  <c r="D32" i="209"/>
  <c r="H59" i="209"/>
  <c r="D104" i="209"/>
  <c r="D94" i="209" s="1"/>
  <c r="D98" i="209"/>
  <c r="D89" i="209"/>
  <c r="D81" i="209"/>
  <c r="D79" i="209"/>
  <c r="D77" i="209"/>
  <c r="D62" i="209"/>
  <c r="D102" i="209"/>
  <c r="D65" i="209"/>
  <c r="D63" i="209"/>
  <c r="D60" i="209"/>
  <c r="D52" i="209"/>
  <c r="D49" i="209"/>
  <c r="D42" i="209"/>
  <c r="D103" i="209"/>
  <c r="D73" i="209"/>
  <c r="D69" i="209"/>
  <c r="D66" i="209"/>
  <c r="D56" i="209"/>
  <c r="D107" i="209"/>
  <c r="D95" i="209" s="1"/>
  <c r="D99" i="209"/>
  <c r="D72" i="209"/>
  <c r="D57" i="209"/>
  <c r="D51" i="209"/>
  <c r="D27" i="209"/>
  <c r="D26" i="209"/>
  <c r="D24" i="209"/>
  <c r="D13" i="209"/>
  <c r="D12" i="209"/>
  <c r="D4" i="209"/>
  <c r="D5" i="209"/>
  <c r="D6" i="209"/>
  <c r="D29" i="209"/>
  <c r="I59" i="209"/>
  <c r="D61" i="209"/>
  <c r="D80" i="209"/>
  <c r="D90" i="209"/>
  <c r="D101" i="209"/>
  <c r="D2" i="209"/>
  <c r="D3" i="209"/>
  <c r="D15" i="209"/>
  <c r="D17" i="209"/>
  <c r="D33" i="209"/>
  <c r="D54" i="209"/>
  <c r="D71" i="209"/>
  <c r="D75" i="209"/>
  <c r="D91" i="209"/>
  <c r="D105" i="209"/>
  <c r="L59" i="209"/>
  <c r="F59" i="209"/>
  <c r="K59" i="209"/>
  <c r="O59" i="209"/>
  <c r="G59" i="209"/>
  <c r="J59" i="209"/>
  <c r="D30" i="209"/>
  <c r="D36" i="209"/>
  <c r="D43" i="209"/>
  <c r="D53" i="209"/>
  <c r="D55" i="209"/>
  <c r="N59" i="209"/>
  <c r="D67" i="209"/>
  <c r="D74" i="209"/>
  <c r="D88" i="209"/>
  <c r="D106" i="209"/>
  <c r="F69" i="208"/>
  <c r="D45" i="208"/>
  <c r="I42" i="208"/>
  <c r="I45" i="208" s="1"/>
  <c r="N66" i="208"/>
  <c r="H66" i="208"/>
  <c r="M66" i="208"/>
  <c r="G66" i="208"/>
  <c r="L66" i="208"/>
  <c r="F66" i="208"/>
  <c r="J66" i="208"/>
  <c r="I66" i="208"/>
  <c r="K66" i="208"/>
  <c r="G13" i="208"/>
  <c r="F33" i="208"/>
  <c r="K12" i="208"/>
  <c r="D26" i="208"/>
  <c r="D27" i="208"/>
  <c r="K33" i="208"/>
  <c r="D53" i="208"/>
  <c r="D57" i="208"/>
  <c r="P13" i="208"/>
  <c r="J13" i="208"/>
  <c r="O13" i="208"/>
  <c r="I13" i="208"/>
  <c r="Q13" i="208" s="1"/>
  <c r="N13" i="208"/>
  <c r="H13" i="208"/>
  <c r="P30" i="208"/>
  <c r="J30" i="208"/>
  <c r="O30" i="208"/>
  <c r="I30" i="208"/>
  <c r="N30" i="208"/>
  <c r="H30" i="208"/>
  <c r="O7" i="208"/>
  <c r="I7" i="208"/>
  <c r="N7" i="208"/>
  <c r="H7" i="208"/>
  <c r="M7" i="208"/>
  <c r="G7" i="208"/>
  <c r="F12" i="208"/>
  <c r="O12" i="208" s="1"/>
  <c r="R12" i="208" s="1"/>
  <c r="F13" i="208"/>
  <c r="R13" i="208" s="1"/>
  <c r="F24" i="208"/>
  <c r="F30" i="208"/>
  <c r="Q30" i="208" s="1"/>
  <c r="D102" i="208"/>
  <c r="D93" i="208" s="1"/>
  <c r="D90" i="208"/>
  <c r="D75" i="208"/>
  <c r="D74" i="208"/>
  <c r="D73" i="208"/>
  <c r="D72" i="208"/>
  <c r="D68" i="208"/>
  <c r="D63" i="208"/>
  <c r="D61" i="208"/>
  <c r="D46" i="208"/>
  <c r="D107" i="208"/>
  <c r="D95" i="208" s="1"/>
  <c r="D101" i="208"/>
  <c r="D82" i="208"/>
  <c r="D80" i="208"/>
  <c r="D58" i="208"/>
  <c r="D55" i="208"/>
  <c r="D106" i="208"/>
  <c r="D100" i="208"/>
  <c r="D91" i="208"/>
  <c r="D88" i="208"/>
  <c r="D43" i="208"/>
  <c r="D105" i="208"/>
  <c r="D99" i="208"/>
  <c r="D71" i="208"/>
  <c r="D104" i="208"/>
  <c r="D94" i="208" s="1"/>
  <c r="D98" i="208"/>
  <c r="D89" i="208"/>
  <c r="D81" i="208"/>
  <c r="D79" i="208"/>
  <c r="D77" i="208"/>
  <c r="D62" i="208"/>
  <c r="D67" i="208"/>
  <c r="D64" i="208"/>
  <c r="D54" i="208"/>
  <c r="D51" i="208"/>
  <c r="D9" i="208"/>
  <c r="D6" i="208"/>
  <c r="D3" i="208"/>
  <c r="D59" i="208"/>
  <c r="D32" i="208"/>
  <c r="D29" i="208"/>
  <c r="D17" i="208"/>
  <c r="D15" i="208"/>
  <c r="D44" i="208"/>
  <c r="D103" i="208"/>
  <c r="D65" i="208"/>
  <c r="D60" i="208"/>
  <c r="D52" i="208"/>
  <c r="D49" i="208"/>
  <c r="D11" i="208"/>
  <c r="D8" i="208"/>
  <c r="D5" i="208"/>
  <c r="D2" i="208"/>
  <c r="D97" i="208"/>
  <c r="D92" i="208" s="1"/>
  <c r="D56" i="208"/>
  <c r="F7" i="208"/>
  <c r="G12" i="208"/>
  <c r="D14" i="208"/>
  <c r="L24" i="208"/>
  <c r="R24" i="208" s="1"/>
  <c r="G30" i="208"/>
  <c r="R30" i="208" s="1"/>
  <c r="D31" i="208"/>
  <c r="D4" i="208"/>
  <c r="K7" i="208"/>
  <c r="D10" i="208"/>
  <c r="L13" i="208"/>
  <c r="L30" i="208"/>
  <c r="J12" i="208"/>
  <c r="I12" i="208"/>
  <c r="N12" i="208"/>
  <c r="H12" i="208"/>
  <c r="R36" i="208"/>
  <c r="L36" i="208"/>
  <c r="F36" i="208"/>
  <c r="P33" i="208"/>
  <c r="J33" i="208"/>
  <c r="O33" i="208"/>
  <c r="I33" i="208"/>
  <c r="G33" i="208"/>
  <c r="N33" i="208"/>
  <c r="H33" i="208"/>
  <c r="Q33" i="208" s="1"/>
  <c r="M33" i="208"/>
  <c r="R42" i="208"/>
  <c r="L7" i="208"/>
  <c r="M12" i="208"/>
  <c r="M13" i="208"/>
  <c r="D16" i="208"/>
  <c r="D28" i="208"/>
  <c r="M30" i="208"/>
  <c r="D50" i="208"/>
  <c r="R40" i="208"/>
  <c r="D12" i="207"/>
  <c r="D26" i="207"/>
  <c r="D58" i="207"/>
  <c r="D2" i="207"/>
  <c r="D67" i="207"/>
  <c r="D17" i="207"/>
  <c r="D49" i="207"/>
  <c r="D103" i="207"/>
  <c r="D5" i="207"/>
  <c r="D13" i="207"/>
  <c r="D24" i="207"/>
  <c r="D46" i="207"/>
  <c r="D71" i="207"/>
  <c r="D104" i="207"/>
  <c r="D94" i="207" s="1"/>
  <c r="D98" i="207"/>
  <c r="D89" i="207"/>
  <c r="D81" i="207"/>
  <c r="D79" i="207"/>
  <c r="D77" i="207"/>
  <c r="D62" i="207"/>
  <c r="D101" i="207"/>
  <c r="D90" i="207"/>
  <c r="D73" i="207"/>
  <c r="D68" i="207"/>
  <c r="D44" i="207"/>
  <c r="D36" i="207"/>
  <c r="D33" i="207"/>
  <c r="D30" i="207"/>
  <c r="D27" i="207"/>
  <c r="D102" i="207"/>
  <c r="D69" i="207"/>
  <c r="D66" i="207"/>
  <c r="D56" i="207"/>
  <c r="D16" i="207"/>
  <c r="D14" i="207"/>
  <c r="D100" i="207"/>
  <c r="D91" i="207"/>
  <c r="D82" i="207"/>
  <c r="D63" i="207"/>
  <c r="D61" i="207"/>
  <c r="D59" i="207"/>
  <c r="D52" i="207"/>
  <c r="D43" i="207"/>
  <c r="D107" i="207"/>
  <c r="D95" i="207" s="1"/>
  <c r="D99" i="207"/>
  <c r="D106" i="207"/>
  <c r="D97" i="207"/>
  <c r="D88" i="207"/>
  <c r="D72" i="207"/>
  <c r="D65" i="207"/>
  <c r="D57" i="207"/>
  <c r="D51" i="207"/>
  <c r="D42" i="207"/>
  <c r="D9" i="207"/>
  <c r="D6" i="207"/>
  <c r="D3" i="207"/>
  <c r="D50" i="207"/>
  <c r="D53" i="207"/>
  <c r="D74" i="207"/>
  <c r="D10" i="207"/>
  <c r="D11" i="207"/>
  <c r="D31" i="207"/>
  <c r="D32" i="207"/>
  <c r="D55" i="207"/>
  <c r="D60" i="207"/>
  <c r="D80" i="207"/>
  <c r="D4" i="207"/>
  <c r="D64" i="207"/>
  <c r="D7" i="207"/>
  <c r="D8" i="207"/>
  <c r="D15" i="207"/>
  <c r="D28" i="207"/>
  <c r="D29" i="207"/>
  <c r="D54" i="207"/>
  <c r="D75" i="207"/>
  <c r="M74" i="206"/>
  <c r="G74" i="206"/>
  <c r="H74" i="206"/>
  <c r="K74" i="206"/>
  <c r="F74" i="206"/>
  <c r="O74" i="206" s="1"/>
  <c r="R74" i="206" s="1"/>
  <c r="I74" i="206"/>
  <c r="N74" i="206"/>
  <c r="L74" i="206"/>
  <c r="J74" i="206"/>
  <c r="N55" i="206"/>
  <c r="H55" i="206"/>
  <c r="P55" i="206"/>
  <c r="I55" i="206"/>
  <c r="K55" i="206"/>
  <c r="O55" i="206"/>
  <c r="F55" i="206"/>
  <c r="Q55" i="206" s="1"/>
  <c r="G55" i="206"/>
  <c r="M55" i="206"/>
  <c r="L55" i="206"/>
  <c r="J55" i="206"/>
  <c r="O4" i="206"/>
  <c r="I4" i="206"/>
  <c r="J4" i="206"/>
  <c r="P4" i="206"/>
  <c r="H4" i="206"/>
  <c r="N4" i="206"/>
  <c r="G4" i="206"/>
  <c r="Q4" i="206" s="1"/>
  <c r="M4" i="206"/>
  <c r="F4" i="206"/>
  <c r="F7" i="206"/>
  <c r="G17" i="206"/>
  <c r="G28" i="206"/>
  <c r="K46" i="206"/>
  <c r="K47" i="206" s="1"/>
  <c r="N46" i="206"/>
  <c r="N47" i="206" s="1"/>
  <c r="D47" i="206"/>
  <c r="R63" i="206"/>
  <c r="F63" i="206"/>
  <c r="K4" i="206"/>
  <c r="L7" i="206"/>
  <c r="D15" i="206"/>
  <c r="N17" i="206"/>
  <c r="R40" i="206"/>
  <c r="F46" i="206"/>
  <c r="F47" i="206" s="1"/>
  <c r="O28" i="206"/>
  <c r="I28" i="206"/>
  <c r="J28" i="206"/>
  <c r="M28" i="206"/>
  <c r="F28" i="206"/>
  <c r="Q28" i="206" s="1"/>
  <c r="N28" i="206"/>
  <c r="L28" i="206"/>
  <c r="K28" i="206"/>
  <c r="H28" i="206"/>
  <c r="L4" i="206"/>
  <c r="R4" i="206" s="1"/>
  <c r="J52" i="206"/>
  <c r="K52" i="206"/>
  <c r="N52" i="206"/>
  <c r="F52" i="206"/>
  <c r="I52" i="206"/>
  <c r="M52" i="206"/>
  <c r="L52" i="206"/>
  <c r="G52" i="206"/>
  <c r="H52" i="206"/>
  <c r="O7" i="206"/>
  <c r="I7" i="206"/>
  <c r="K7" i="206"/>
  <c r="J7" i="206"/>
  <c r="Q7" i="206" s="1"/>
  <c r="P7" i="206"/>
  <c r="H7" i="206"/>
  <c r="N7" i="206"/>
  <c r="G7" i="206"/>
  <c r="J53" i="206"/>
  <c r="M53" i="206"/>
  <c r="F53" i="206"/>
  <c r="K53" i="206"/>
  <c r="G53" i="206"/>
  <c r="O53" i="206" s="1"/>
  <c r="N53" i="206"/>
  <c r="H53" i="206"/>
  <c r="L53" i="206"/>
  <c r="I53" i="206"/>
  <c r="H67" i="206"/>
  <c r="R67" i="206"/>
  <c r="O17" i="206"/>
  <c r="I17" i="206"/>
  <c r="L17" i="206"/>
  <c r="F17" i="206"/>
  <c r="M17" i="206"/>
  <c r="K17" i="206"/>
  <c r="J17" i="206"/>
  <c r="H17" i="206"/>
  <c r="M8" i="206"/>
  <c r="G8" i="206"/>
  <c r="K8" i="206"/>
  <c r="J8" i="206"/>
  <c r="P8" i="206"/>
  <c r="I8" i="206"/>
  <c r="O8" i="206"/>
  <c r="H8" i="206"/>
  <c r="D104" i="206"/>
  <c r="D94" i="206" s="1"/>
  <c r="D98" i="206"/>
  <c r="D89" i="206"/>
  <c r="D81" i="206"/>
  <c r="D79" i="206"/>
  <c r="D77" i="206"/>
  <c r="D62" i="206"/>
  <c r="D101" i="206"/>
  <c r="D90" i="206"/>
  <c r="D73" i="206"/>
  <c r="D68" i="206"/>
  <c r="D44" i="206"/>
  <c r="D36" i="206"/>
  <c r="D33" i="206"/>
  <c r="D30" i="206"/>
  <c r="D27" i="206"/>
  <c r="D102" i="206"/>
  <c r="D69" i="206"/>
  <c r="D66" i="206"/>
  <c r="D56" i="206"/>
  <c r="D16" i="206"/>
  <c r="D14" i="206"/>
  <c r="D106" i="206"/>
  <c r="D97" i="206"/>
  <c r="D88" i="206"/>
  <c r="D72" i="206"/>
  <c r="D65" i="206"/>
  <c r="D57" i="206"/>
  <c r="D51" i="206"/>
  <c r="D42" i="206"/>
  <c r="D9" i="206"/>
  <c r="D6" i="206"/>
  <c r="D3" i="206"/>
  <c r="D105" i="206"/>
  <c r="D91" i="206"/>
  <c r="D75" i="206"/>
  <c r="D71" i="206"/>
  <c r="D54" i="206"/>
  <c r="D43" i="206"/>
  <c r="D31" i="206"/>
  <c r="D13" i="206"/>
  <c r="D11" i="206"/>
  <c r="D10" i="206"/>
  <c r="D82" i="206"/>
  <c r="D64" i="206"/>
  <c r="D58" i="206"/>
  <c r="D103" i="206"/>
  <c r="D80" i="206"/>
  <c r="D61" i="206"/>
  <c r="D49" i="206"/>
  <c r="D100" i="206"/>
  <c r="D26" i="206"/>
  <c r="D24" i="206"/>
  <c r="D99" i="206"/>
  <c r="D60" i="206"/>
  <c r="D59" i="206"/>
  <c r="D29" i="206"/>
  <c r="D2" i="206"/>
  <c r="D50" i="206"/>
  <c r="D5" i="206"/>
  <c r="F8" i="206"/>
  <c r="D12" i="206"/>
  <c r="D32" i="206"/>
  <c r="D107" i="206"/>
  <c r="D95" i="206" s="1"/>
  <c r="N58" i="205"/>
  <c r="H58" i="205"/>
  <c r="K58" i="205"/>
  <c r="L58" i="205"/>
  <c r="P58" i="205"/>
  <c r="G58" i="205"/>
  <c r="O58" i="205"/>
  <c r="M58" i="205"/>
  <c r="J58" i="205"/>
  <c r="I58" i="205"/>
  <c r="Q58" i="205" s="1"/>
  <c r="P10" i="205"/>
  <c r="J10" i="205"/>
  <c r="I10" i="205"/>
  <c r="O10" i="205"/>
  <c r="H10" i="205"/>
  <c r="N10" i="205"/>
  <c r="G10" i="205"/>
  <c r="M10" i="205"/>
  <c r="F10" i="205"/>
  <c r="Q10" i="205" s="1"/>
  <c r="R10" i="205" s="1"/>
  <c r="L14" i="205"/>
  <c r="F14" i="205"/>
  <c r="O14" i="205"/>
  <c r="I14" i="205"/>
  <c r="K14" i="205"/>
  <c r="J14" i="205"/>
  <c r="H14" i="205"/>
  <c r="P14" i="205"/>
  <c r="G14" i="205"/>
  <c r="L44" i="205"/>
  <c r="L45" i="205" s="1"/>
  <c r="R44" i="205"/>
  <c r="J50" i="205"/>
  <c r="N50" i="205"/>
  <c r="G50" i="205"/>
  <c r="L50" i="205"/>
  <c r="H50" i="205"/>
  <c r="O50" i="205"/>
  <c r="R50" i="205" s="1"/>
  <c r="M50" i="205"/>
  <c r="K50" i="205"/>
  <c r="I50" i="205"/>
  <c r="J64" i="205"/>
  <c r="R64" i="205" s="1"/>
  <c r="I64" i="205"/>
  <c r="L64" i="205"/>
  <c r="G64" i="205"/>
  <c r="N64" i="205"/>
  <c r="M64" i="205"/>
  <c r="K64" i="205"/>
  <c r="H64" i="205"/>
  <c r="F82" i="205"/>
  <c r="R82" i="205"/>
  <c r="K10" i="205"/>
  <c r="M14" i="205"/>
  <c r="Q14" i="205" s="1"/>
  <c r="F50" i="205"/>
  <c r="L59" i="205"/>
  <c r="F59" i="205"/>
  <c r="K59" i="205"/>
  <c r="O59" i="205"/>
  <c r="G59" i="205"/>
  <c r="J59" i="205"/>
  <c r="N59" i="205"/>
  <c r="M59" i="205"/>
  <c r="I59" i="205"/>
  <c r="H59" i="205"/>
  <c r="F64" i="205"/>
  <c r="O64" i="205" s="1"/>
  <c r="R11" i="205"/>
  <c r="F11" i="205"/>
  <c r="K46" i="205"/>
  <c r="K47" i="205" s="1"/>
  <c r="D47" i="205"/>
  <c r="F46" i="205"/>
  <c r="F47" i="205" s="1"/>
  <c r="N46" i="205"/>
  <c r="N47" i="205" s="1"/>
  <c r="F58" i="205"/>
  <c r="L10" i="205"/>
  <c r="N14" i="205"/>
  <c r="P28" i="205"/>
  <c r="J28" i="205"/>
  <c r="M28" i="205"/>
  <c r="F28" i="205"/>
  <c r="I28" i="205"/>
  <c r="L28" i="205"/>
  <c r="K28" i="205"/>
  <c r="H28" i="205"/>
  <c r="G28" i="205"/>
  <c r="Q28" i="205" s="1"/>
  <c r="L16" i="205"/>
  <c r="F16" i="205"/>
  <c r="Q16" i="205" s="1"/>
  <c r="O16" i="205"/>
  <c r="I16" i="205"/>
  <c r="K16" i="205"/>
  <c r="J16" i="205"/>
  <c r="R16" i="205" s="1"/>
  <c r="H16" i="205"/>
  <c r="P16" i="205"/>
  <c r="G16" i="205"/>
  <c r="M16" i="205"/>
  <c r="N28" i="205"/>
  <c r="P31" i="205"/>
  <c r="J31" i="205"/>
  <c r="N31" i="205"/>
  <c r="G31" i="205"/>
  <c r="Q31" i="205" s="1"/>
  <c r="R31" i="205" s="1"/>
  <c r="K31" i="205"/>
  <c r="M31" i="205"/>
  <c r="L31" i="205"/>
  <c r="I31" i="205"/>
  <c r="H31" i="205"/>
  <c r="R68" i="205"/>
  <c r="F68" i="205"/>
  <c r="D7" i="205"/>
  <c r="D8" i="205"/>
  <c r="D9" i="205"/>
  <c r="D32" i="205"/>
  <c r="D104" i="205"/>
  <c r="D94" i="205" s="1"/>
  <c r="D98" i="205"/>
  <c r="D89" i="205"/>
  <c r="D81" i="205"/>
  <c r="D79" i="205"/>
  <c r="D77" i="205"/>
  <c r="D62" i="205"/>
  <c r="D102" i="205"/>
  <c r="D65" i="205"/>
  <c r="D63" i="205"/>
  <c r="D60" i="205"/>
  <c r="D52" i="205"/>
  <c r="D49" i="205"/>
  <c r="D42" i="205"/>
  <c r="D103" i="205"/>
  <c r="D73" i="205"/>
  <c r="D69" i="205"/>
  <c r="D66" i="205"/>
  <c r="D56" i="205"/>
  <c r="D107" i="205"/>
  <c r="D95" i="205" s="1"/>
  <c r="D99" i="205"/>
  <c r="D72" i="205"/>
  <c r="D57" i="205"/>
  <c r="D51" i="205"/>
  <c r="D27" i="205"/>
  <c r="D26" i="205"/>
  <c r="D24" i="205"/>
  <c r="D13" i="205"/>
  <c r="D12" i="205"/>
  <c r="D4" i="205"/>
  <c r="D5" i="205"/>
  <c r="D6" i="205"/>
  <c r="D29" i="205"/>
  <c r="D61" i="205"/>
  <c r="D80" i="205"/>
  <c r="D90" i="205"/>
  <c r="D101" i="205"/>
  <c r="D2" i="205"/>
  <c r="D3" i="205"/>
  <c r="D15" i="205"/>
  <c r="D17" i="205"/>
  <c r="D33" i="205"/>
  <c r="D54" i="205"/>
  <c r="D71" i="205"/>
  <c r="D75" i="205"/>
  <c r="D91" i="205"/>
  <c r="D105" i="205"/>
  <c r="D92" i="205" s="1"/>
  <c r="D30" i="205"/>
  <c r="D36" i="205"/>
  <c r="D43" i="205"/>
  <c r="D53" i="205"/>
  <c r="D55" i="205"/>
  <c r="D67" i="205"/>
  <c r="D74" i="205"/>
  <c r="D88" i="205"/>
  <c r="D106" i="205"/>
  <c r="R82" i="204"/>
  <c r="F82" i="204"/>
  <c r="F3" i="204"/>
  <c r="P3" i="204"/>
  <c r="I3" i="204"/>
  <c r="P28" i="204"/>
  <c r="J28" i="204"/>
  <c r="O28" i="204"/>
  <c r="H28" i="204"/>
  <c r="I28" i="204"/>
  <c r="K28" i="204"/>
  <c r="G28" i="204"/>
  <c r="H30" i="204"/>
  <c r="L31" i="204"/>
  <c r="G51" i="204"/>
  <c r="O4" i="204"/>
  <c r="I4" i="204"/>
  <c r="N4" i="204"/>
  <c r="G4" i="204"/>
  <c r="M4" i="204"/>
  <c r="F4" i="204"/>
  <c r="Q4" i="204" s="1"/>
  <c r="F7" i="204"/>
  <c r="F28" i="204"/>
  <c r="J30" i="204"/>
  <c r="F57" i="204"/>
  <c r="O59" i="204"/>
  <c r="R80" i="204"/>
  <c r="F80" i="204"/>
  <c r="N3" i="204"/>
  <c r="H3" i="204"/>
  <c r="M3" i="204"/>
  <c r="G3" i="204"/>
  <c r="O3" i="204"/>
  <c r="P31" i="204"/>
  <c r="J31" i="204"/>
  <c r="I31" i="204"/>
  <c r="K31" i="204"/>
  <c r="H31" i="204"/>
  <c r="G31" i="204"/>
  <c r="J51" i="204"/>
  <c r="I51" i="204"/>
  <c r="L51" i="204"/>
  <c r="F51" i="204"/>
  <c r="O51" i="204" s="1"/>
  <c r="N51" i="204"/>
  <c r="M51" i="204"/>
  <c r="J59" i="204"/>
  <c r="K26" i="204"/>
  <c r="O26" i="204"/>
  <c r="F26" i="204"/>
  <c r="J26" i="204"/>
  <c r="I26" i="204"/>
  <c r="N58" i="204"/>
  <c r="H58" i="204"/>
  <c r="K58" i="204"/>
  <c r="O58" i="204"/>
  <c r="F58" i="204"/>
  <c r="R58" i="204" s="1"/>
  <c r="G58" i="204"/>
  <c r="Q58" i="204" s="1"/>
  <c r="J58" i="204"/>
  <c r="I58" i="204"/>
  <c r="M59" i="204"/>
  <c r="J3" i="204"/>
  <c r="K3" i="204"/>
  <c r="H4" i="204"/>
  <c r="M8" i="204"/>
  <c r="G8" i="204"/>
  <c r="R8" i="204" s="1"/>
  <c r="P8" i="204"/>
  <c r="I8" i="204"/>
  <c r="O8" i="204"/>
  <c r="H8" i="204"/>
  <c r="Q8" i="204"/>
  <c r="N16" i="204"/>
  <c r="H16" i="204"/>
  <c r="Q16" i="204" s="1"/>
  <c r="P16" i="204"/>
  <c r="I16" i="204"/>
  <c r="L16" i="204"/>
  <c r="K16" i="204"/>
  <c r="M26" i="204"/>
  <c r="L28" i="204"/>
  <c r="N31" i="204"/>
  <c r="J50" i="204"/>
  <c r="N50" i="204"/>
  <c r="G50" i="204"/>
  <c r="F50" i="204"/>
  <c r="O50" i="204" s="1"/>
  <c r="H50" i="204"/>
  <c r="M50" i="204"/>
  <c r="L50" i="204"/>
  <c r="K51" i="204"/>
  <c r="L56" i="204"/>
  <c r="F56" i="204"/>
  <c r="J56" i="204"/>
  <c r="P56" i="204"/>
  <c r="H56" i="204"/>
  <c r="R56" i="204" s="1"/>
  <c r="N56" i="204"/>
  <c r="M56" i="204"/>
  <c r="K56" i="204"/>
  <c r="Q56" i="204" s="1"/>
  <c r="M58" i="204"/>
  <c r="F69" i="204"/>
  <c r="L59" i="204"/>
  <c r="F59" i="204"/>
  <c r="K59" i="204"/>
  <c r="I59" i="204"/>
  <c r="N59" i="204"/>
  <c r="Q59" i="204" s="1"/>
  <c r="H59" i="204"/>
  <c r="G59" i="204"/>
  <c r="L30" i="204"/>
  <c r="F30" i="204"/>
  <c r="P30" i="204"/>
  <c r="I30" i="204"/>
  <c r="O30" i="204"/>
  <c r="G30" i="204"/>
  <c r="M30" i="204"/>
  <c r="K30" i="204"/>
  <c r="F31" i="204"/>
  <c r="O7" i="204"/>
  <c r="I7" i="204"/>
  <c r="P7" i="204"/>
  <c r="H7" i="204"/>
  <c r="N7" i="204"/>
  <c r="G7" i="204"/>
  <c r="P57" i="204"/>
  <c r="J57" i="204"/>
  <c r="K57" i="204"/>
  <c r="L57" i="204"/>
  <c r="I57" i="204"/>
  <c r="M57" i="204"/>
  <c r="H57" i="204"/>
  <c r="L3" i="204"/>
  <c r="J4" i="204"/>
  <c r="M5" i="204"/>
  <c r="G5" i="204"/>
  <c r="O5" i="204"/>
  <c r="H5" i="204"/>
  <c r="N5" i="204"/>
  <c r="F5" i="204"/>
  <c r="Q5" i="204"/>
  <c r="K7" i="204"/>
  <c r="R24" i="204"/>
  <c r="N26" i="204"/>
  <c r="M28" i="204"/>
  <c r="O31" i="204"/>
  <c r="L33" i="204"/>
  <c r="M33" i="204"/>
  <c r="F33" i="204"/>
  <c r="R33" i="204" s="1"/>
  <c r="J33" i="204"/>
  <c r="Q33" i="204"/>
  <c r="H33" i="204"/>
  <c r="N33" i="204"/>
  <c r="K33" i="204"/>
  <c r="I50" i="204"/>
  <c r="N57" i="204"/>
  <c r="P58" i="204"/>
  <c r="M61" i="204"/>
  <c r="G61" i="204"/>
  <c r="P61" i="204"/>
  <c r="I61" i="204"/>
  <c r="J61" i="204"/>
  <c r="F61" i="204"/>
  <c r="Q61" i="204" s="1"/>
  <c r="O61" i="204"/>
  <c r="N61" i="204"/>
  <c r="J66" i="204"/>
  <c r="N66" i="204"/>
  <c r="G66" i="204"/>
  <c r="H66" i="204"/>
  <c r="M66" i="204"/>
  <c r="D17" i="204"/>
  <c r="D27" i="204"/>
  <c r="D29" i="204"/>
  <c r="D43" i="204"/>
  <c r="D64" i="204"/>
  <c r="F66" i="204"/>
  <c r="D72" i="204"/>
  <c r="D73" i="204"/>
  <c r="F71" i="204"/>
  <c r="M75" i="204"/>
  <c r="G75" i="204"/>
  <c r="K75" i="204"/>
  <c r="J75" i="204"/>
  <c r="L75" i="204"/>
  <c r="D104" i="204"/>
  <c r="D94" i="204" s="1"/>
  <c r="D98" i="204"/>
  <c r="D89" i="204"/>
  <c r="D81" i="204"/>
  <c r="D79" i="204"/>
  <c r="D77" i="204"/>
  <c r="D62" i="204"/>
  <c r="D105" i="204"/>
  <c r="D97" i="204"/>
  <c r="D91" i="204"/>
  <c r="D103" i="204"/>
  <c r="D102" i="204"/>
  <c r="D93" i="204" s="1"/>
  <c r="D65" i="204"/>
  <c r="D63" i="204"/>
  <c r="D60" i="204"/>
  <c r="D52" i="204"/>
  <c r="D49" i="204"/>
  <c r="D42" i="204"/>
  <c r="D100" i="204"/>
  <c r="D88" i="204"/>
  <c r="D74" i="204"/>
  <c r="D67" i="204"/>
  <c r="D55" i="204"/>
  <c r="D53" i="204"/>
  <c r="D36" i="204"/>
  <c r="D99" i="204"/>
  <c r="D44" i="204"/>
  <c r="D32" i="204"/>
  <c r="D15" i="204"/>
  <c r="D14" i="204"/>
  <c r="D13" i="204"/>
  <c r="D11" i="204"/>
  <c r="D10" i="204"/>
  <c r="D9" i="204"/>
  <c r="D6" i="204"/>
  <c r="D12" i="204"/>
  <c r="D46" i="204"/>
  <c r="D54" i="204"/>
  <c r="I66" i="204"/>
  <c r="D68" i="204"/>
  <c r="H75" i="204"/>
  <c r="D90" i="204"/>
  <c r="P27" i="203"/>
  <c r="J27" i="203"/>
  <c r="F27" i="203"/>
  <c r="O27" i="203"/>
  <c r="I27" i="203"/>
  <c r="Q27" i="203" s="1"/>
  <c r="L27" i="203"/>
  <c r="N27" i="203"/>
  <c r="H27" i="203"/>
  <c r="M27" i="203"/>
  <c r="G27" i="203"/>
  <c r="R27" i="203" s="1"/>
  <c r="P30" i="203"/>
  <c r="J30" i="203"/>
  <c r="F30" i="203"/>
  <c r="O30" i="203"/>
  <c r="I30" i="203"/>
  <c r="L30" i="203"/>
  <c r="N30" i="203"/>
  <c r="H30" i="203"/>
  <c r="M30" i="203"/>
  <c r="G30" i="203"/>
  <c r="O10" i="203"/>
  <c r="I10" i="203"/>
  <c r="N10" i="203"/>
  <c r="H10" i="203"/>
  <c r="M10" i="203"/>
  <c r="G10" i="203"/>
  <c r="L10" i="203"/>
  <c r="F10" i="203"/>
  <c r="P13" i="203"/>
  <c r="J13" i="203"/>
  <c r="O13" i="203"/>
  <c r="I13" i="203"/>
  <c r="N13" i="203"/>
  <c r="H13" i="203"/>
  <c r="M13" i="203"/>
  <c r="Q13" i="203" s="1"/>
  <c r="G13" i="203"/>
  <c r="F24" i="203"/>
  <c r="L24" i="203" s="1"/>
  <c r="R24" i="203" s="1"/>
  <c r="K27" i="203"/>
  <c r="K30" i="203"/>
  <c r="R40" i="203"/>
  <c r="P33" i="203"/>
  <c r="J33" i="203"/>
  <c r="M33" i="203"/>
  <c r="G33" i="203"/>
  <c r="L33" i="203"/>
  <c r="N33" i="203"/>
  <c r="K33" i="203"/>
  <c r="F33" i="203"/>
  <c r="Q33" i="203" s="1"/>
  <c r="I33" i="203"/>
  <c r="H33" i="203"/>
  <c r="J12" i="203"/>
  <c r="I12" i="203"/>
  <c r="N12" i="203"/>
  <c r="H12" i="203"/>
  <c r="M12" i="203"/>
  <c r="G12" i="203"/>
  <c r="O33" i="203"/>
  <c r="Q8" i="203"/>
  <c r="P10" i="203"/>
  <c r="F12" i="203"/>
  <c r="L13" i="203"/>
  <c r="K26" i="203"/>
  <c r="J26" i="203"/>
  <c r="N26" i="203"/>
  <c r="F26" i="203"/>
  <c r="P26" i="203"/>
  <c r="I26" i="203"/>
  <c r="O26" i="203"/>
  <c r="H26" i="203"/>
  <c r="P56" i="203"/>
  <c r="J56" i="203"/>
  <c r="O56" i="203"/>
  <c r="I56" i="203"/>
  <c r="N56" i="203"/>
  <c r="H56" i="203"/>
  <c r="M56" i="203"/>
  <c r="G56" i="203"/>
  <c r="L56" i="203"/>
  <c r="F56" i="203"/>
  <c r="K56" i="203"/>
  <c r="O4" i="203"/>
  <c r="I4" i="203"/>
  <c r="N4" i="203"/>
  <c r="H4" i="203"/>
  <c r="M4" i="203"/>
  <c r="G4" i="203"/>
  <c r="L4" i="203"/>
  <c r="F4" i="203"/>
  <c r="O7" i="203"/>
  <c r="I7" i="203"/>
  <c r="N7" i="203"/>
  <c r="H7" i="203"/>
  <c r="M7" i="203"/>
  <c r="G7" i="203"/>
  <c r="L7" i="203"/>
  <c r="F7" i="203"/>
  <c r="K12" i="203"/>
  <c r="M26" i="203"/>
  <c r="L44" i="203"/>
  <c r="L45" i="203" s="1"/>
  <c r="D45" i="203"/>
  <c r="P59" i="203"/>
  <c r="J59" i="203"/>
  <c r="O59" i="203"/>
  <c r="I59" i="203"/>
  <c r="N59" i="203"/>
  <c r="H59" i="203"/>
  <c r="M59" i="203"/>
  <c r="G59" i="203"/>
  <c r="L59" i="203"/>
  <c r="F59" i="203"/>
  <c r="D102" i="203"/>
  <c r="D93" i="203" s="1"/>
  <c r="D90" i="203"/>
  <c r="D75" i="203"/>
  <c r="D74" i="203"/>
  <c r="D73" i="203"/>
  <c r="D72" i="203"/>
  <c r="D68" i="203"/>
  <c r="D63" i="203"/>
  <c r="D61" i="203"/>
  <c r="D46" i="203"/>
  <c r="D107" i="203"/>
  <c r="D95" i="203" s="1"/>
  <c r="D101" i="203"/>
  <c r="D82" i="203"/>
  <c r="D80" i="203"/>
  <c r="D58" i="203"/>
  <c r="D55" i="203"/>
  <c r="D106" i="203"/>
  <c r="D100" i="203"/>
  <c r="D91" i="203"/>
  <c r="D88" i="203"/>
  <c r="D105" i="203"/>
  <c r="D99" i="203"/>
  <c r="D71" i="203"/>
  <c r="D69" i="203"/>
  <c r="D67" i="203"/>
  <c r="D66" i="203"/>
  <c r="D65" i="203"/>
  <c r="D64" i="203"/>
  <c r="D60" i="203"/>
  <c r="D57" i="203"/>
  <c r="D54" i="203"/>
  <c r="D53" i="203"/>
  <c r="D52" i="203"/>
  <c r="D51" i="203"/>
  <c r="D50" i="203"/>
  <c r="D49" i="203"/>
  <c r="D36" i="203"/>
  <c r="D104" i="203"/>
  <c r="D94" i="203" s="1"/>
  <c r="D98" i="203"/>
  <c r="D89" i="203"/>
  <c r="D81" i="203"/>
  <c r="D79" i="203"/>
  <c r="D77" i="203"/>
  <c r="D62" i="203"/>
  <c r="H3" i="203"/>
  <c r="N3" i="203"/>
  <c r="J5" i="203"/>
  <c r="P5" i="203"/>
  <c r="H6" i="203"/>
  <c r="R6" i="203" s="1"/>
  <c r="N6" i="203"/>
  <c r="J8" i="203"/>
  <c r="R8" i="203" s="1"/>
  <c r="P8" i="203"/>
  <c r="H9" i="203"/>
  <c r="N9" i="203"/>
  <c r="D14" i="203"/>
  <c r="D16" i="203"/>
  <c r="I17" i="203"/>
  <c r="O17" i="203"/>
  <c r="D28" i="203"/>
  <c r="I29" i="203"/>
  <c r="Q29" i="203" s="1"/>
  <c r="O29" i="203"/>
  <c r="D31" i="203"/>
  <c r="I32" i="203"/>
  <c r="Q32" i="203" s="1"/>
  <c r="R32" i="203" s="1"/>
  <c r="O32" i="203"/>
  <c r="K59" i="203"/>
  <c r="D97" i="203"/>
  <c r="D92" i="203" s="1"/>
  <c r="I3" i="203"/>
  <c r="O3" i="203"/>
  <c r="K5" i="203"/>
  <c r="I6" i="203"/>
  <c r="O6" i="203"/>
  <c r="K8" i="203"/>
  <c r="I9" i="203"/>
  <c r="Q9" i="203" s="1"/>
  <c r="O9" i="203"/>
  <c r="J17" i="203"/>
  <c r="P17" i="203"/>
  <c r="J29" i="203"/>
  <c r="P29" i="203"/>
  <c r="R42" i="203"/>
  <c r="I42" i="203"/>
  <c r="I45" i="203" s="1"/>
  <c r="J3" i="203"/>
  <c r="P3" i="203"/>
  <c r="F5" i="203"/>
  <c r="Q5" i="203" s="1"/>
  <c r="L5" i="203"/>
  <c r="J6" i="203"/>
  <c r="P6" i="203"/>
  <c r="J9" i="203"/>
  <c r="P9" i="203"/>
  <c r="K17" i="203"/>
  <c r="Q17" i="203" s="1"/>
  <c r="R17" i="203" s="1"/>
  <c r="D25" i="203"/>
  <c r="K29" i="203"/>
  <c r="K32" i="203"/>
  <c r="R43" i="203"/>
  <c r="K3" i="203"/>
  <c r="K6" i="203"/>
  <c r="Q6" i="203" s="1"/>
  <c r="K9" i="203"/>
  <c r="L16" i="202"/>
  <c r="F16" i="202"/>
  <c r="O16" i="202"/>
  <c r="I16" i="202"/>
  <c r="K16" i="202"/>
  <c r="J16" i="202"/>
  <c r="H16" i="202"/>
  <c r="P16" i="202"/>
  <c r="G16" i="202"/>
  <c r="M16" i="202"/>
  <c r="P10" i="202"/>
  <c r="J10" i="202"/>
  <c r="I10" i="202"/>
  <c r="O10" i="202"/>
  <c r="H10" i="202"/>
  <c r="N10" i="202"/>
  <c r="G10" i="202"/>
  <c r="M10" i="202"/>
  <c r="F10" i="202"/>
  <c r="L14" i="202"/>
  <c r="F14" i="202"/>
  <c r="O14" i="202"/>
  <c r="I14" i="202"/>
  <c r="K14" i="202"/>
  <c r="J14" i="202"/>
  <c r="Q14" i="202" s="1"/>
  <c r="R14" i="202" s="1"/>
  <c r="H14" i="202"/>
  <c r="P14" i="202"/>
  <c r="G14" i="202"/>
  <c r="N16" i="202"/>
  <c r="F82" i="202"/>
  <c r="R82" i="202" s="1"/>
  <c r="F11" i="202"/>
  <c r="R11" i="202" s="1"/>
  <c r="P31" i="202"/>
  <c r="J31" i="202"/>
  <c r="N31" i="202"/>
  <c r="G31" i="202"/>
  <c r="K31" i="202"/>
  <c r="M31" i="202"/>
  <c r="F31" i="202"/>
  <c r="Q31" i="202" s="1"/>
  <c r="L31" i="202"/>
  <c r="I31" i="202"/>
  <c r="H31" i="202"/>
  <c r="O31" i="202"/>
  <c r="J50" i="202"/>
  <c r="N50" i="202"/>
  <c r="G50" i="202"/>
  <c r="L50" i="202"/>
  <c r="H50" i="202"/>
  <c r="F50" i="202"/>
  <c r="M50" i="202"/>
  <c r="K50" i="202"/>
  <c r="I50" i="202"/>
  <c r="N58" i="202"/>
  <c r="H58" i="202"/>
  <c r="K58" i="202"/>
  <c r="L58" i="202"/>
  <c r="P58" i="202"/>
  <c r="G58" i="202"/>
  <c r="O58" i="202"/>
  <c r="F58" i="202"/>
  <c r="Q58" i="202" s="1"/>
  <c r="M58" i="202"/>
  <c r="J58" i="202"/>
  <c r="I58" i="202"/>
  <c r="J64" i="202"/>
  <c r="I64" i="202"/>
  <c r="L64" i="202"/>
  <c r="G64" i="202"/>
  <c r="N64" i="202"/>
  <c r="R64" i="202" s="1"/>
  <c r="F64" i="202"/>
  <c r="O64" i="202" s="1"/>
  <c r="M64" i="202"/>
  <c r="K64" i="202"/>
  <c r="H64" i="202"/>
  <c r="L44" i="202"/>
  <c r="L45" i="202" s="1"/>
  <c r="R44" i="202"/>
  <c r="R68" i="202"/>
  <c r="F68" i="202"/>
  <c r="D7" i="202"/>
  <c r="D8" i="202"/>
  <c r="D9" i="202"/>
  <c r="G28" i="202"/>
  <c r="D32" i="202"/>
  <c r="N46" i="202"/>
  <c r="N47" i="202" s="1"/>
  <c r="L59" i="202"/>
  <c r="F59" i="202"/>
  <c r="R59" i="202" s="1"/>
  <c r="K59" i="202"/>
  <c r="O59" i="202"/>
  <c r="G59" i="202"/>
  <c r="J59" i="202"/>
  <c r="D104" i="202"/>
  <c r="D94" i="202" s="1"/>
  <c r="D98" i="202"/>
  <c r="D92" i="202" s="1"/>
  <c r="D89" i="202"/>
  <c r="D81" i="202"/>
  <c r="D79" i="202"/>
  <c r="D77" i="202"/>
  <c r="D62" i="202"/>
  <c r="D102" i="202"/>
  <c r="D93" i="202" s="1"/>
  <c r="D65" i="202"/>
  <c r="D63" i="202"/>
  <c r="D60" i="202"/>
  <c r="D52" i="202"/>
  <c r="D49" i="202"/>
  <c r="D42" i="202"/>
  <c r="D103" i="202"/>
  <c r="D73" i="202"/>
  <c r="D69" i="202"/>
  <c r="D66" i="202"/>
  <c r="D56" i="202"/>
  <c r="D107" i="202"/>
  <c r="D95" i="202" s="1"/>
  <c r="D99" i="202"/>
  <c r="D72" i="202"/>
  <c r="D57" i="202"/>
  <c r="D51" i="202"/>
  <c r="D27" i="202"/>
  <c r="D26" i="202"/>
  <c r="D24" i="202"/>
  <c r="D13" i="202"/>
  <c r="D12" i="202"/>
  <c r="D4" i="202"/>
  <c r="D5" i="202"/>
  <c r="D6" i="202"/>
  <c r="H28" i="202"/>
  <c r="D29" i="202"/>
  <c r="I59" i="202"/>
  <c r="D61" i="202"/>
  <c r="D80" i="202"/>
  <c r="D90" i="202"/>
  <c r="D101" i="202"/>
  <c r="O28" i="202"/>
  <c r="D2" i="202"/>
  <c r="D3" i="202"/>
  <c r="D15" i="202"/>
  <c r="D17" i="202"/>
  <c r="D33" i="202"/>
  <c r="D54" i="202"/>
  <c r="M59" i="202"/>
  <c r="D71" i="202"/>
  <c r="D75" i="202"/>
  <c r="D91" i="202"/>
  <c r="D105" i="202"/>
  <c r="P28" i="202"/>
  <c r="J28" i="202"/>
  <c r="M28" i="202"/>
  <c r="F28" i="202"/>
  <c r="I28" i="202"/>
  <c r="K46" i="202"/>
  <c r="K47" i="202" s="1"/>
  <c r="D47" i="202"/>
  <c r="F46" i="202"/>
  <c r="F47" i="202" s="1"/>
  <c r="Q59" i="202"/>
  <c r="L28" i="202"/>
  <c r="D30" i="202"/>
  <c r="D36" i="202"/>
  <c r="D43" i="202"/>
  <c r="D53" i="202"/>
  <c r="D55" i="202"/>
  <c r="N59" i="202"/>
  <c r="D67" i="202"/>
  <c r="D74" i="202"/>
  <c r="D88" i="202"/>
  <c r="D106" i="202"/>
  <c r="N59" i="201"/>
  <c r="H59" i="201"/>
  <c r="M59" i="201"/>
  <c r="G59" i="201"/>
  <c r="R59" i="201" s="1"/>
  <c r="I59" i="201"/>
  <c r="P59" i="201"/>
  <c r="F59" i="201"/>
  <c r="Q59" i="201" s="1"/>
  <c r="K59" i="201"/>
  <c r="O59" i="201"/>
  <c r="L59" i="201"/>
  <c r="M30" i="201"/>
  <c r="G30" i="201"/>
  <c r="L30" i="201"/>
  <c r="F30" i="201"/>
  <c r="K30" i="201"/>
  <c r="J30" i="201"/>
  <c r="I30" i="201"/>
  <c r="Q30" i="201" s="1"/>
  <c r="J59" i="201"/>
  <c r="F6" i="201"/>
  <c r="N13" i="201"/>
  <c r="H13" i="201"/>
  <c r="M13" i="201"/>
  <c r="G13" i="201"/>
  <c r="L13" i="201"/>
  <c r="F13" i="201"/>
  <c r="I26" i="201"/>
  <c r="H30" i="201"/>
  <c r="I13" i="201"/>
  <c r="N30" i="201"/>
  <c r="O61" i="201"/>
  <c r="I61" i="201"/>
  <c r="N61" i="201"/>
  <c r="H61" i="201"/>
  <c r="J61" i="201"/>
  <c r="G61" i="201"/>
  <c r="Q61" i="201" s="1"/>
  <c r="M61" i="201"/>
  <c r="L61" i="201"/>
  <c r="K61" i="201"/>
  <c r="F61" i="201"/>
  <c r="R61" i="201" s="1"/>
  <c r="F89" i="201"/>
  <c r="L89" i="201" s="1"/>
  <c r="R89" i="201" s="1"/>
  <c r="F36" i="201"/>
  <c r="R36" i="201" s="1"/>
  <c r="O6" i="201"/>
  <c r="I6" i="201"/>
  <c r="N6" i="201"/>
  <c r="H6" i="201"/>
  <c r="Q6" i="201" s="1"/>
  <c r="M6" i="201"/>
  <c r="G6" i="201"/>
  <c r="O26" i="201"/>
  <c r="H26" i="201"/>
  <c r="N26" i="201"/>
  <c r="F26" i="201"/>
  <c r="M26" i="201"/>
  <c r="K26" i="201"/>
  <c r="J26" i="201"/>
  <c r="L36" i="201"/>
  <c r="N12" i="201"/>
  <c r="H12" i="201"/>
  <c r="M12" i="201"/>
  <c r="G12" i="201"/>
  <c r="L12" i="201"/>
  <c r="F12" i="201"/>
  <c r="O3" i="201"/>
  <c r="I3" i="201"/>
  <c r="N3" i="201"/>
  <c r="H3" i="201"/>
  <c r="M3" i="201"/>
  <c r="G3" i="201"/>
  <c r="K6" i="201"/>
  <c r="O9" i="201"/>
  <c r="I9" i="201"/>
  <c r="N9" i="201"/>
  <c r="H9" i="201"/>
  <c r="Q9" i="201" s="1"/>
  <c r="M9" i="201"/>
  <c r="G9" i="201"/>
  <c r="J12" i="201"/>
  <c r="J13" i="201"/>
  <c r="Q13" i="201" s="1"/>
  <c r="Q26" i="201"/>
  <c r="O30" i="201"/>
  <c r="P32" i="201"/>
  <c r="O32" i="201"/>
  <c r="I32" i="201"/>
  <c r="N32" i="201"/>
  <c r="H32" i="201"/>
  <c r="K32" i="201"/>
  <c r="J32" i="201"/>
  <c r="G32" i="201"/>
  <c r="R42" i="201"/>
  <c r="I42" i="201"/>
  <c r="I45" i="201" s="1"/>
  <c r="P61" i="201"/>
  <c r="F24" i="201"/>
  <c r="F63" i="201"/>
  <c r="R63" i="201" s="1"/>
  <c r="F3" i="201"/>
  <c r="L6" i="201"/>
  <c r="K12" i="201"/>
  <c r="K13" i="201"/>
  <c r="R26" i="201"/>
  <c r="P30" i="201"/>
  <c r="I62" i="201"/>
  <c r="N62" i="201" s="1"/>
  <c r="R62" i="201" s="1"/>
  <c r="I74" i="201"/>
  <c r="N74" i="201"/>
  <c r="H74" i="201"/>
  <c r="K74" i="201"/>
  <c r="J74" i="201"/>
  <c r="G74" i="201"/>
  <c r="O74" i="201" s="1"/>
  <c r="R74" i="201" s="1"/>
  <c r="M74" i="201"/>
  <c r="F74" i="201"/>
  <c r="L74" i="201"/>
  <c r="H94" i="201"/>
  <c r="D4" i="201"/>
  <c r="D7" i="201"/>
  <c r="D10" i="201"/>
  <c r="D15" i="201"/>
  <c r="D17" i="201"/>
  <c r="D27" i="201"/>
  <c r="D29" i="201"/>
  <c r="D106" i="201"/>
  <c r="D100" i="201"/>
  <c r="D91" i="201"/>
  <c r="D88" i="201"/>
  <c r="D43" i="201"/>
  <c r="D105" i="201"/>
  <c r="D99" i="201"/>
  <c r="D71" i="201"/>
  <c r="D69" i="201"/>
  <c r="D67" i="201"/>
  <c r="D66" i="201"/>
  <c r="D65" i="201"/>
  <c r="D64" i="201"/>
  <c r="D60" i="201"/>
  <c r="D57" i="201"/>
  <c r="D54" i="201"/>
  <c r="D53" i="201"/>
  <c r="D101" i="201"/>
  <c r="D73" i="201"/>
  <c r="D68" i="201"/>
  <c r="D98" i="201"/>
  <c r="D90" i="201"/>
  <c r="D80" i="201"/>
  <c r="D58" i="201"/>
  <c r="D56" i="201"/>
  <c r="D52" i="201"/>
  <c r="D49" i="201"/>
  <c r="D46" i="201"/>
  <c r="D31" i="201"/>
  <c r="D28" i="201"/>
  <c r="D16" i="201"/>
  <c r="D14" i="201"/>
  <c r="D107" i="201"/>
  <c r="D95" i="201" s="1"/>
  <c r="D97" i="201"/>
  <c r="D92" i="201" s="1"/>
  <c r="D79" i="201"/>
  <c r="D77" i="201"/>
  <c r="D75" i="201"/>
  <c r="D72" i="201"/>
  <c r="D33" i="201"/>
  <c r="D50" i="201"/>
  <c r="D51" i="201"/>
  <c r="D55" i="201"/>
  <c r="D81" i="201"/>
  <c r="D2" i="201"/>
  <c r="D5" i="201"/>
  <c r="D25" i="201" s="1"/>
  <c r="D8" i="201"/>
  <c r="D11" i="201"/>
  <c r="D44" i="201"/>
  <c r="D82" i="201"/>
  <c r="D102" i="201"/>
  <c r="D93" i="201" s="1"/>
  <c r="D102" i="200"/>
  <c r="D90" i="200"/>
  <c r="D75" i="200"/>
  <c r="D74" i="200"/>
  <c r="D73" i="200"/>
  <c r="D72" i="200"/>
  <c r="D68" i="200"/>
  <c r="D63" i="200"/>
  <c r="D61" i="200"/>
  <c r="D46" i="200"/>
  <c r="D106" i="200"/>
  <c r="D100" i="200"/>
  <c r="D91" i="200"/>
  <c r="D88" i="200"/>
  <c r="D43" i="200"/>
  <c r="D101" i="200"/>
  <c r="D32" i="200"/>
  <c r="D29" i="200"/>
  <c r="D17" i="200"/>
  <c r="D15" i="200"/>
  <c r="D107" i="200"/>
  <c r="D95" i="200" s="1"/>
  <c r="D98" i="200"/>
  <c r="D55" i="200"/>
  <c r="D104" i="200"/>
  <c r="D94" i="200" s="1"/>
  <c r="D65" i="200"/>
  <c r="D64" i="200"/>
  <c r="D56" i="200"/>
  <c r="D54" i="200"/>
  <c r="D42" i="200"/>
  <c r="D28" i="200"/>
  <c r="D27" i="200"/>
  <c r="D16" i="200"/>
  <c r="D10" i="200"/>
  <c r="D7" i="200"/>
  <c r="D4" i="200"/>
  <c r="D103" i="200"/>
  <c r="D79" i="200"/>
  <c r="D66" i="200"/>
  <c r="D31" i="200"/>
  <c r="D30" i="200"/>
  <c r="D24" i="200"/>
  <c r="D12" i="200"/>
  <c r="D99" i="200"/>
  <c r="D89" i="200"/>
  <c r="D67" i="200"/>
  <c r="D49" i="200"/>
  <c r="D44" i="200"/>
  <c r="D36" i="200"/>
  <c r="D9" i="200"/>
  <c r="D6" i="200"/>
  <c r="D3" i="200"/>
  <c r="D82" i="200"/>
  <c r="D77" i="200"/>
  <c r="D62" i="200"/>
  <c r="D80" i="200"/>
  <c r="D69" i="200"/>
  <c r="D59" i="200"/>
  <c r="D57" i="200"/>
  <c r="D53" i="200"/>
  <c r="D81" i="200"/>
  <c r="D51" i="200"/>
  <c r="D26" i="200"/>
  <c r="D8" i="200"/>
  <c r="D60" i="200"/>
  <c r="D52" i="200"/>
  <c r="D33" i="200"/>
  <c r="D11" i="200"/>
  <c r="D5" i="200"/>
  <c r="D2" i="200"/>
  <c r="D58" i="200"/>
  <c r="D13" i="200"/>
  <c r="D71" i="200"/>
  <c r="D97" i="200"/>
  <c r="D14" i="200"/>
  <c r="D50" i="200"/>
  <c r="D105" i="200"/>
  <c r="R40" i="200"/>
  <c r="F15" i="199"/>
  <c r="L15" i="199"/>
  <c r="R15" i="199" s="1"/>
  <c r="O8" i="199"/>
  <c r="I8" i="199"/>
  <c r="N8" i="199"/>
  <c r="H8" i="199"/>
  <c r="M8" i="199"/>
  <c r="G8" i="199"/>
  <c r="Q8" i="199" s="1"/>
  <c r="L8" i="199"/>
  <c r="F8" i="199"/>
  <c r="F14" i="199"/>
  <c r="J8" i="199"/>
  <c r="O54" i="199"/>
  <c r="D64" i="199"/>
  <c r="M66" i="199"/>
  <c r="D100" i="199"/>
  <c r="N14" i="199"/>
  <c r="H14" i="199"/>
  <c r="K14" i="199"/>
  <c r="J14" i="199"/>
  <c r="P14" i="199"/>
  <c r="I14" i="199"/>
  <c r="O14" i="199"/>
  <c r="G14" i="199"/>
  <c r="Q14" i="199" s="1"/>
  <c r="R14" i="199" s="1"/>
  <c r="I42" i="199"/>
  <c r="I45" i="199" s="1"/>
  <c r="R42" i="199"/>
  <c r="F54" i="199"/>
  <c r="Q54" i="199" s="1"/>
  <c r="K8" i="199"/>
  <c r="R11" i="199"/>
  <c r="F11" i="199"/>
  <c r="M14" i="199"/>
  <c r="D33" i="199"/>
  <c r="D101" i="199"/>
  <c r="N66" i="199"/>
  <c r="H66" i="199"/>
  <c r="J66" i="199"/>
  <c r="L66" i="199"/>
  <c r="K66" i="199"/>
  <c r="I66" i="199"/>
  <c r="O66" i="199" s="1"/>
  <c r="G66" i="199"/>
  <c r="F66" i="199"/>
  <c r="D6" i="199"/>
  <c r="P8" i="199"/>
  <c r="N54" i="199"/>
  <c r="H54" i="199"/>
  <c r="R54" i="199" s="1"/>
  <c r="P54" i="199"/>
  <c r="J54" i="199"/>
  <c r="I54" i="199"/>
  <c r="M54" i="199"/>
  <c r="L54" i="199"/>
  <c r="K54" i="199"/>
  <c r="G54" i="199"/>
  <c r="D102" i="199"/>
  <c r="D93" i="199" s="1"/>
  <c r="D90" i="199"/>
  <c r="D75" i="199"/>
  <c r="D74" i="199"/>
  <c r="D73" i="199"/>
  <c r="D72" i="199"/>
  <c r="D68" i="199"/>
  <c r="D63" i="199"/>
  <c r="D61" i="199"/>
  <c r="D46" i="199"/>
  <c r="D104" i="199"/>
  <c r="D94" i="199" s="1"/>
  <c r="D98" i="199"/>
  <c r="D89" i="199"/>
  <c r="D81" i="199"/>
  <c r="D79" i="199"/>
  <c r="D77" i="199"/>
  <c r="D62" i="199"/>
  <c r="D106" i="199"/>
  <c r="D97" i="199"/>
  <c r="D80" i="199"/>
  <c r="D99" i="199"/>
  <c r="D69" i="199"/>
  <c r="D60" i="199"/>
  <c r="D57" i="199"/>
  <c r="D53" i="199"/>
  <c r="D52" i="199"/>
  <c r="D36" i="199"/>
  <c r="D26" i="199"/>
  <c r="D10" i="199"/>
  <c r="D7" i="199"/>
  <c r="D107" i="199"/>
  <c r="D95" i="199" s="1"/>
  <c r="D56" i="199"/>
  <c r="D51" i="199"/>
  <c r="D44" i="199"/>
  <c r="D45" i="199" s="1"/>
  <c r="D13" i="199"/>
  <c r="D12" i="199"/>
  <c r="D105" i="199"/>
  <c r="D91" i="199"/>
  <c r="D71" i="199"/>
  <c r="D59" i="199"/>
  <c r="D50" i="199"/>
  <c r="D49" i="199"/>
  <c r="D29" i="199"/>
  <c r="D28" i="199"/>
  <c r="D27" i="199"/>
  <c r="D17" i="199"/>
  <c r="D16" i="199"/>
  <c r="D9" i="199"/>
  <c r="D103" i="199"/>
  <c r="D88" i="199"/>
  <c r="D82" i="199"/>
  <c r="D67" i="199"/>
  <c r="D58" i="199"/>
  <c r="D55" i="199"/>
  <c r="D43" i="199"/>
  <c r="D32" i="199"/>
  <c r="D31" i="199"/>
  <c r="D30" i="199"/>
  <c r="D24" i="199"/>
  <c r="D3" i="199"/>
  <c r="D4" i="199"/>
  <c r="D5" i="199"/>
  <c r="D65" i="199"/>
  <c r="M75" i="198"/>
  <c r="G75" i="198"/>
  <c r="L75" i="198"/>
  <c r="F75" i="198"/>
  <c r="O75" i="198" s="1"/>
  <c r="H75" i="198"/>
  <c r="J75" i="198"/>
  <c r="K75" i="198"/>
  <c r="N75" i="198"/>
  <c r="I75" i="198"/>
  <c r="O13" i="198"/>
  <c r="I13" i="198"/>
  <c r="L13" i="198"/>
  <c r="F13" i="198"/>
  <c r="R63" i="198"/>
  <c r="F63" i="198"/>
  <c r="R71" i="198"/>
  <c r="I73" i="198"/>
  <c r="D9" i="198"/>
  <c r="G13" i="198"/>
  <c r="P13" i="198"/>
  <c r="G32" i="198"/>
  <c r="D36" i="198"/>
  <c r="F57" i="198"/>
  <c r="D64" i="198"/>
  <c r="D72" i="198"/>
  <c r="D76" i="198" s="1"/>
  <c r="M73" i="198"/>
  <c r="G73" i="198"/>
  <c r="L73" i="198"/>
  <c r="F73" i="198"/>
  <c r="O73" i="198" s="1"/>
  <c r="N73" i="198"/>
  <c r="K73" i="198"/>
  <c r="H73" i="198"/>
  <c r="N13" i="198"/>
  <c r="D87" i="198"/>
  <c r="F88" i="198"/>
  <c r="D11" i="198"/>
  <c r="H13" i="198"/>
  <c r="D33" i="198"/>
  <c r="D55" i="198"/>
  <c r="H57" i="198"/>
  <c r="D67" i="198"/>
  <c r="O32" i="198"/>
  <c r="I32" i="198"/>
  <c r="Q32" i="198" s="1"/>
  <c r="M32" i="198"/>
  <c r="F32" i="198"/>
  <c r="J32" i="198"/>
  <c r="P32" i="198"/>
  <c r="D104" i="198"/>
  <c r="D94" i="198" s="1"/>
  <c r="D98" i="198"/>
  <c r="D89" i="198"/>
  <c r="D81" i="198"/>
  <c r="D79" i="198"/>
  <c r="D77" i="198"/>
  <c r="D62" i="198"/>
  <c r="D103" i="198"/>
  <c r="D97" i="198"/>
  <c r="D59" i="198"/>
  <c r="D56" i="198"/>
  <c r="D44" i="198"/>
  <c r="D42" i="198"/>
  <c r="D107" i="198"/>
  <c r="D95" i="198" s="1"/>
  <c r="D99" i="198"/>
  <c r="D80" i="198"/>
  <c r="D65" i="198"/>
  <c r="D60" i="198"/>
  <c r="D58" i="198"/>
  <c r="D52" i="198"/>
  <c r="D49" i="198"/>
  <c r="D46" i="198"/>
  <c r="D31" i="198"/>
  <c r="D28" i="198"/>
  <c r="D16" i="198"/>
  <c r="D14" i="198"/>
  <c r="D100" i="198"/>
  <c r="D68" i="198"/>
  <c r="D51" i="198"/>
  <c r="D30" i="198"/>
  <c r="D29" i="198"/>
  <c r="D24" i="198"/>
  <c r="D17" i="198"/>
  <c r="D105" i="198"/>
  <c r="D91" i="198"/>
  <c r="D82" i="198"/>
  <c r="D74" i="198"/>
  <c r="D66" i="198"/>
  <c r="D61" i="198"/>
  <c r="D43" i="198"/>
  <c r="D26" i="198"/>
  <c r="D15" i="198"/>
  <c r="D10" i="198"/>
  <c r="D7" i="198"/>
  <c r="D4" i="198"/>
  <c r="D5" i="198"/>
  <c r="D6" i="198"/>
  <c r="J13" i="198"/>
  <c r="D27" i="198"/>
  <c r="K32" i="198"/>
  <c r="D50" i="198"/>
  <c r="D54" i="198"/>
  <c r="D90" i="198"/>
  <c r="D101" i="198"/>
  <c r="P57" i="198"/>
  <c r="J57" i="198"/>
  <c r="O57" i="198"/>
  <c r="I57" i="198"/>
  <c r="K57" i="198"/>
  <c r="M57" i="198"/>
  <c r="G57" i="198"/>
  <c r="D2" i="198"/>
  <c r="D3" i="198"/>
  <c r="D8" i="198"/>
  <c r="D12" i="198"/>
  <c r="K13" i="198"/>
  <c r="L32" i="198"/>
  <c r="D53" i="198"/>
  <c r="N57" i="198"/>
  <c r="D69" i="198"/>
  <c r="D102" i="198"/>
  <c r="D93" i="198" s="1"/>
  <c r="P16" i="197"/>
  <c r="L16" i="197"/>
  <c r="F16" i="197"/>
  <c r="I16" i="197"/>
  <c r="O16" i="197"/>
  <c r="H16" i="197"/>
  <c r="Q16" i="197" s="1"/>
  <c r="N16" i="197"/>
  <c r="G16" i="197"/>
  <c r="K16" i="197"/>
  <c r="J16" i="197"/>
  <c r="L33" i="197"/>
  <c r="M33" i="197"/>
  <c r="Q33" i="197" s="1"/>
  <c r="F33" i="197"/>
  <c r="O33" i="197"/>
  <c r="H33" i="197"/>
  <c r="J33" i="197"/>
  <c r="I33" i="197"/>
  <c r="G33" i="197"/>
  <c r="N33" i="197"/>
  <c r="K33" i="197"/>
  <c r="H67" i="197"/>
  <c r="R67" i="197" s="1"/>
  <c r="M16" i="197"/>
  <c r="P57" i="197"/>
  <c r="J57" i="197"/>
  <c r="K57" i="197"/>
  <c r="M57" i="197"/>
  <c r="F57" i="197"/>
  <c r="I57" i="197"/>
  <c r="H57" i="197"/>
  <c r="G57" i="197"/>
  <c r="N57" i="197"/>
  <c r="L57" i="197"/>
  <c r="J72" i="197"/>
  <c r="M72" i="197"/>
  <c r="G72" i="197"/>
  <c r="L72" i="197"/>
  <c r="F72" i="197"/>
  <c r="K72" i="197"/>
  <c r="I72" i="197"/>
  <c r="H72" i="197"/>
  <c r="N72" i="197"/>
  <c r="J53" i="197"/>
  <c r="N53" i="197"/>
  <c r="G53" i="197"/>
  <c r="I53" i="197"/>
  <c r="K53" i="197"/>
  <c r="H53" i="197"/>
  <c r="F53" i="197"/>
  <c r="M53" i="197"/>
  <c r="L53" i="197"/>
  <c r="O6" i="197"/>
  <c r="I6" i="197"/>
  <c r="L6" i="197"/>
  <c r="M7" i="197"/>
  <c r="G7" i="197"/>
  <c r="L7" i="197"/>
  <c r="L15" i="197"/>
  <c r="N17" i="197"/>
  <c r="H17" i="197"/>
  <c r="P17" i="197"/>
  <c r="J17" i="197"/>
  <c r="M17" i="197"/>
  <c r="L27" i="197"/>
  <c r="F27" i="197"/>
  <c r="N27" i="197"/>
  <c r="H27" i="197"/>
  <c r="O27" i="197"/>
  <c r="N29" i="197"/>
  <c r="H29" i="197"/>
  <c r="P29" i="197"/>
  <c r="J29" i="197"/>
  <c r="M29" i="197"/>
  <c r="D37" i="197"/>
  <c r="J50" i="197"/>
  <c r="N50" i="197"/>
  <c r="G50" i="197"/>
  <c r="I50" i="197"/>
  <c r="O50" i="197"/>
  <c r="J75" i="197"/>
  <c r="M75" i="197"/>
  <c r="G75" i="197"/>
  <c r="L75" i="197"/>
  <c r="F75" i="197"/>
  <c r="D107" i="197"/>
  <c r="D95" i="197" s="1"/>
  <c r="D101" i="197"/>
  <c r="D82" i="197"/>
  <c r="D80" i="197"/>
  <c r="D104" i="197"/>
  <c r="D94" i="197" s="1"/>
  <c r="D98" i="197"/>
  <c r="D89" i="197"/>
  <c r="D81" i="197"/>
  <c r="D79" i="197"/>
  <c r="D77" i="197"/>
  <c r="D62" i="197"/>
  <c r="D102" i="197"/>
  <c r="D93" i="197" s="1"/>
  <c r="D59" i="197"/>
  <c r="D52" i="197"/>
  <c r="D49" i="197"/>
  <c r="D42" i="197"/>
  <c r="D105" i="197"/>
  <c r="D56" i="197"/>
  <c r="D55" i="197"/>
  <c r="D54" i="197"/>
  <c r="D51" i="197"/>
  <c r="D46" i="197"/>
  <c r="D43" i="197"/>
  <c r="D11" i="197"/>
  <c r="D8" i="197"/>
  <c r="D5" i="197"/>
  <c r="D2" i="197"/>
  <c r="D3" i="197"/>
  <c r="D4" i="197"/>
  <c r="F6" i="197"/>
  <c r="Q6" i="197" s="1"/>
  <c r="M6" i="197"/>
  <c r="F7" i="197"/>
  <c r="Q7" i="197" s="1"/>
  <c r="N7" i="197"/>
  <c r="G9" i="197"/>
  <c r="Q9" i="197" s="1"/>
  <c r="H10" i="197"/>
  <c r="D12" i="197"/>
  <c r="G13" i="197"/>
  <c r="H14" i="197"/>
  <c r="R15" i="197"/>
  <c r="F17" i="197"/>
  <c r="O17" i="197"/>
  <c r="K26" i="197"/>
  <c r="G27" i="197"/>
  <c r="P27" i="197"/>
  <c r="F29" i="197"/>
  <c r="O29" i="197"/>
  <c r="J30" i="197"/>
  <c r="D31" i="197"/>
  <c r="I32" i="197"/>
  <c r="F50" i="197"/>
  <c r="R50" i="197" s="1"/>
  <c r="D61" i="197"/>
  <c r="D71" i="197"/>
  <c r="D73" i="197"/>
  <c r="D74" i="197"/>
  <c r="H75" i="197"/>
  <c r="O75" i="197" s="1"/>
  <c r="D88" i="197"/>
  <c r="D97" i="197"/>
  <c r="H6" i="197"/>
  <c r="P6" i="197"/>
  <c r="I7" i="197"/>
  <c r="P7" i="197"/>
  <c r="I17" i="197"/>
  <c r="J27" i="197"/>
  <c r="P28" i="197"/>
  <c r="J28" i="197"/>
  <c r="L28" i="197"/>
  <c r="F28" i="197"/>
  <c r="N28" i="197"/>
  <c r="I29" i="197"/>
  <c r="L44" i="197"/>
  <c r="L45" i="197" s="1"/>
  <c r="K50" i="197"/>
  <c r="F63" i="197"/>
  <c r="R63" i="197" s="1"/>
  <c r="M65" i="197"/>
  <c r="G65" i="197"/>
  <c r="J65" i="197"/>
  <c r="I65" i="197"/>
  <c r="L65" i="197"/>
  <c r="M66" i="197"/>
  <c r="G66" i="197"/>
  <c r="J66" i="197"/>
  <c r="F66" i="197"/>
  <c r="I66" i="197"/>
  <c r="R68" i="197"/>
  <c r="K75" i="197"/>
  <c r="J6" i="197"/>
  <c r="J7" i="197"/>
  <c r="F24" i="197"/>
  <c r="N26" i="197"/>
  <c r="F26" i="197"/>
  <c r="P26" i="197"/>
  <c r="I26" i="197"/>
  <c r="Q26" i="197"/>
  <c r="K27" i="197"/>
  <c r="K29" i="197"/>
  <c r="L30" i="197"/>
  <c r="F30" i="197"/>
  <c r="N30" i="197"/>
  <c r="H30" i="197"/>
  <c r="O30" i="197"/>
  <c r="N32" i="197"/>
  <c r="H32" i="197"/>
  <c r="P32" i="197"/>
  <c r="J32" i="197"/>
  <c r="M32" i="197"/>
  <c r="F36" i="197"/>
  <c r="R36" i="197" s="1"/>
  <c r="L50" i="197"/>
  <c r="N58" i="197"/>
  <c r="H58" i="197"/>
  <c r="K58" i="197"/>
  <c r="M58" i="197"/>
  <c r="F58" i="197"/>
  <c r="P58" i="197"/>
  <c r="M64" i="197"/>
  <c r="G64" i="197"/>
  <c r="J64" i="197"/>
  <c r="L64" i="197"/>
  <c r="F64" i="197"/>
  <c r="O64" i="197" s="1"/>
  <c r="F65" i="197"/>
  <c r="H66" i="197"/>
  <c r="F68" i="197"/>
  <c r="N75" i="197"/>
  <c r="Q90" i="197"/>
  <c r="K17" i="197"/>
  <c r="K6" i="197"/>
  <c r="K7" i="197"/>
  <c r="O9" i="197"/>
  <c r="I9" i="197"/>
  <c r="L9" i="197"/>
  <c r="M10" i="197"/>
  <c r="G10" i="197"/>
  <c r="L10" i="197"/>
  <c r="N13" i="197"/>
  <c r="Q13" i="197" s="1"/>
  <c r="H13" i="197"/>
  <c r="L13" i="197"/>
  <c r="L14" i="197"/>
  <c r="F14" i="197"/>
  <c r="M14" i="197"/>
  <c r="L17" i="197"/>
  <c r="H26" i="197"/>
  <c r="M27" i="197"/>
  <c r="H28" i="197"/>
  <c r="Q28" i="197" s="1"/>
  <c r="L29" i="197"/>
  <c r="G30" i="197"/>
  <c r="P30" i="197"/>
  <c r="F32" i="197"/>
  <c r="O32" i="197"/>
  <c r="L36" i="197"/>
  <c r="M50" i="197"/>
  <c r="G58" i="197"/>
  <c r="R60" i="197"/>
  <c r="H64" i="197"/>
  <c r="H65" i="197"/>
  <c r="K66" i="197"/>
  <c r="F69" i="197"/>
  <c r="L69" i="197" s="1"/>
  <c r="L90" i="197"/>
  <c r="R90" i="197" s="1"/>
  <c r="P16" i="196"/>
  <c r="J16" i="196"/>
  <c r="O16" i="196"/>
  <c r="I16" i="196"/>
  <c r="L16" i="196"/>
  <c r="K16" i="196"/>
  <c r="M3" i="196"/>
  <c r="G3" i="196"/>
  <c r="L3" i="196"/>
  <c r="F3" i="196"/>
  <c r="O3" i="196"/>
  <c r="D105" i="196"/>
  <c r="D99" i="196"/>
  <c r="D71" i="196"/>
  <c r="D69" i="196"/>
  <c r="D67" i="196"/>
  <c r="D66" i="196"/>
  <c r="D65" i="196"/>
  <c r="D64" i="196"/>
  <c r="D60" i="196"/>
  <c r="D57" i="196"/>
  <c r="D54" i="196"/>
  <c r="D53" i="196"/>
  <c r="D52" i="196"/>
  <c r="D51" i="196"/>
  <c r="D50" i="196"/>
  <c r="D49" i="196"/>
  <c r="D104" i="196"/>
  <c r="D94" i="196" s="1"/>
  <c r="D98" i="196"/>
  <c r="D89" i="196"/>
  <c r="D81" i="196"/>
  <c r="D79" i="196"/>
  <c r="D77" i="196"/>
  <c r="D62" i="196"/>
  <c r="D101" i="196"/>
  <c r="D73" i="196"/>
  <c r="D68" i="196"/>
  <c r="D43" i="196"/>
  <c r="D100" i="196"/>
  <c r="D90" i="196"/>
  <c r="D88" i="196"/>
  <c r="D80" i="196"/>
  <c r="D58" i="196"/>
  <c r="D56" i="196"/>
  <c r="D46" i="196"/>
  <c r="D42" i="196"/>
  <c r="D36" i="196"/>
  <c r="D33" i="196"/>
  <c r="D30" i="196"/>
  <c r="D27" i="196"/>
  <c r="D26" i="196"/>
  <c r="D24" i="196"/>
  <c r="D103" i="196"/>
  <c r="D82" i="196"/>
  <c r="D59" i="196"/>
  <c r="D10" i="196"/>
  <c r="D7" i="196"/>
  <c r="D4" i="196"/>
  <c r="D97" i="196"/>
  <c r="D102" i="196"/>
  <c r="D93" i="196" s="1"/>
  <c r="D44" i="196"/>
  <c r="D31" i="196"/>
  <c r="D29" i="196"/>
  <c r="D17" i="196"/>
  <c r="D15" i="196"/>
  <c r="D13" i="196"/>
  <c r="D12" i="196"/>
  <c r="H3" i="196"/>
  <c r="P5" i="196"/>
  <c r="D74" i="196"/>
  <c r="D11" i="196"/>
  <c r="D55" i="196"/>
  <c r="L61" i="196"/>
  <c r="D106" i="196"/>
  <c r="J3" i="196"/>
  <c r="J5" i="196"/>
  <c r="Q5" i="196" s="1"/>
  <c r="D14" i="196"/>
  <c r="M16" i="196"/>
  <c r="D32" i="196"/>
  <c r="D107" i="196"/>
  <c r="D95" i="196" s="1"/>
  <c r="N61" i="196"/>
  <c r="H61" i="196"/>
  <c r="M61" i="196"/>
  <c r="G61" i="196"/>
  <c r="R61" i="196" s="1"/>
  <c r="K61" i="196"/>
  <c r="J61" i="196"/>
  <c r="P61" i="196"/>
  <c r="O61" i="196"/>
  <c r="N75" i="196"/>
  <c r="H75" i="196"/>
  <c r="M75" i="196"/>
  <c r="G75" i="196"/>
  <c r="I75" i="196"/>
  <c r="F75" i="196"/>
  <c r="R75" i="196" s="1"/>
  <c r="O5" i="196"/>
  <c r="I5" i="196"/>
  <c r="N5" i="196"/>
  <c r="H5" i="196"/>
  <c r="M5" i="196"/>
  <c r="F16" i="196"/>
  <c r="Q16" i="196" s="1"/>
  <c r="F61" i="196"/>
  <c r="Q61" i="196" s="1"/>
  <c r="F63" i="196"/>
  <c r="R63" i="196" s="1"/>
  <c r="J75" i="196"/>
  <c r="P3" i="196"/>
  <c r="F5" i="196"/>
  <c r="G16" i="196"/>
  <c r="D28" i="196"/>
  <c r="I61" i="196"/>
  <c r="D72" i="196"/>
  <c r="K75" i="196"/>
  <c r="O75" i="196" s="1"/>
  <c r="D2" i="196"/>
  <c r="I3" i="196"/>
  <c r="G5" i="196"/>
  <c r="D9" i="196"/>
  <c r="H16" i="196"/>
  <c r="K3" i="196"/>
  <c r="K5" i="196"/>
  <c r="D6" i="196"/>
  <c r="D8" i="196"/>
  <c r="N16" i="196"/>
  <c r="J50" i="195"/>
  <c r="N50" i="195"/>
  <c r="G50" i="195"/>
  <c r="L50" i="195"/>
  <c r="H50" i="195"/>
  <c r="M50" i="195"/>
  <c r="K50" i="195"/>
  <c r="I50" i="195"/>
  <c r="F50" i="195"/>
  <c r="J64" i="195"/>
  <c r="I64" i="195"/>
  <c r="L64" i="195"/>
  <c r="G64" i="195"/>
  <c r="N64" i="195"/>
  <c r="M64" i="195"/>
  <c r="K64" i="195"/>
  <c r="H64" i="195"/>
  <c r="F64" i="195"/>
  <c r="P31" i="195"/>
  <c r="J31" i="195"/>
  <c r="N31" i="195"/>
  <c r="G31" i="195"/>
  <c r="K31" i="195"/>
  <c r="M31" i="195"/>
  <c r="L31" i="195"/>
  <c r="I31" i="195"/>
  <c r="H31" i="195"/>
  <c r="F31" i="195"/>
  <c r="F82" i="195"/>
  <c r="R82" i="195" s="1"/>
  <c r="N58" i="195"/>
  <c r="H58" i="195"/>
  <c r="K58" i="195"/>
  <c r="L58" i="195"/>
  <c r="P58" i="195"/>
  <c r="G58" i="195"/>
  <c r="O58" i="195"/>
  <c r="M58" i="195"/>
  <c r="J58" i="195"/>
  <c r="I58" i="195"/>
  <c r="F58" i="195"/>
  <c r="Q58" i="195" s="1"/>
  <c r="L14" i="195"/>
  <c r="F14" i="195"/>
  <c r="R14" i="195" s="1"/>
  <c r="O14" i="195"/>
  <c r="I14" i="195"/>
  <c r="N14" i="195"/>
  <c r="D16" i="195"/>
  <c r="D28" i="195"/>
  <c r="D44" i="195"/>
  <c r="D46" i="195"/>
  <c r="D59" i="195"/>
  <c r="D68" i="195"/>
  <c r="D97" i="195"/>
  <c r="D7" i="195"/>
  <c r="D8" i="195"/>
  <c r="D9" i="195"/>
  <c r="F10" i="195"/>
  <c r="M10" i="195"/>
  <c r="F11" i="195"/>
  <c r="R11" i="195" s="1"/>
  <c r="G14" i="195"/>
  <c r="P14" i="195"/>
  <c r="D32" i="195"/>
  <c r="D104" i="195"/>
  <c r="D94" i="195" s="1"/>
  <c r="D98" i="195"/>
  <c r="D89" i="195"/>
  <c r="D81" i="195"/>
  <c r="D79" i="195"/>
  <c r="D77" i="195"/>
  <c r="D62" i="195"/>
  <c r="D102" i="195"/>
  <c r="D65" i="195"/>
  <c r="D63" i="195"/>
  <c r="D60" i="195"/>
  <c r="D52" i="195"/>
  <c r="D49" i="195"/>
  <c r="D42" i="195"/>
  <c r="D103" i="195"/>
  <c r="D73" i="195"/>
  <c r="D69" i="195"/>
  <c r="D66" i="195"/>
  <c r="D56" i="195"/>
  <c r="D107" i="195"/>
  <c r="D95" i="195" s="1"/>
  <c r="D99" i="195"/>
  <c r="D72" i="195"/>
  <c r="D57" i="195"/>
  <c r="D51" i="195"/>
  <c r="D27" i="195"/>
  <c r="D26" i="195"/>
  <c r="D24" i="195"/>
  <c r="D13" i="195"/>
  <c r="D12" i="195"/>
  <c r="D4" i="195"/>
  <c r="D5" i="195"/>
  <c r="D6" i="195"/>
  <c r="G10" i="195"/>
  <c r="H14" i="195"/>
  <c r="D29" i="195"/>
  <c r="D61" i="195"/>
  <c r="D80" i="195"/>
  <c r="D90" i="195"/>
  <c r="D101" i="195"/>
  <c r="P10" i="195"/>
  <c r="J10" i="195"/>
  <c r="L10" i="195"/>
  <c r="D2" i="195"/>
  <c r="D3" i="195"/>
  <c r="H10" i="195"/>
  <c r="O10" i="195"/>
  <c r="Q10" i="195" s="1"/>
  <c r="J14" i="195"/>
  <c r="D15" i="195"/>
  <c r="D17" i="195"/>
  <c r="D33" i="195"/>
  <c r="D54" i="195"/>
  <c r="D71" i="195"/>
  <c r="D75" i="195"/>
  <c r="D91" i="195"/>
  <c r="D105" i="195"/>
  <c r="I10" i="195"/>
  <c r="K14" i="195"/>
  <c r="Q14" i="195" s="1"/>
  <c r="D30" i="195"/>
  <c r="D36" i="195"/>
  <c r="D43" i="195"/>
  <c r="D53" i="195"/>
  <c r="D55" i="195"/>
  <c r="D67" i="195"/>
  <c r="D74" i="195"/>
  <c r="D88" i="195"/>
  <c r="D106" i="195"/>
  <c r="N27" i="194"/>
  <c r="H27" i="194"/>
  <c r="L27" i="194"/>
  <c r="F27" i="194"/>
  <c r="I27" i="194"/>
  <c r="P27" i="194"/>
  <c r="G27" i="194"/>
  <c r="O27" i="194"/>
  <c r="M27" i="194"/>
  <c r="K27" i="194"/>
  <c r="Q27" i="194" s="1"/>
  <c r="J27" i="194"/>
  <c r="L24" i="194"/>
  <c r="R24" i="194" s="1"/>
  <c r="L16" i="194"/>
  <c r="F16" i="194"/>
  <c r="P16" i="194"/>
  <c r="J16" i="194"/>
  <c r="N16" i="194"/>
  <c r="P54" i="194"/>
  <c r="J54" i="194"/>
  <c r="K54" i="194"/>
  <c r="I54" i="194"/>
  <c r="H54" i="194"/>
  <c r="O54" i="194"/>
  <c r="F54" i="194"/>
  <c r="Q54" i="194" s="1"/>
  <c r="R67" i="194"/>
  <c r="N12" i="194"/>
  <c r="H12" i="194"/>
  <c r="L12" i="194"/>
  <c r="F12" i="194"/>
  <c r="G14" i="194"/>
  <c r="O14" i="194"/>
  <c r="G16" i="194"/>
  <c r="O16" i="194"/>
  <c r="I3" i="194"/>
  <c r="P3" i="194"/>
  <c r="G12" i="194"/>
  <c r="O12" i="194" s="1"/>
  <c r="H14" i="194"/>
  <c r="H16" i="194"/>
  <c r="H26" i="194"/>
  <c r="H28" i="194"/>
  <c r="D30" i="194"/>
  <c r="D32" i="194"/>
  <c r="D36" i="194"/>
  <c r="I50" i="194"/>
  <c r="D53" i="194"/>
  <c r="L54" i="194"/>
  <c r="L55" i="194"/>
  <c r="D71" i="194"/>
  <c r="L14" i="194"/>
  <c r="F14" i="194"/>
  <c r="Q14" i="194" s="1"/>
  <c r="P14" i="194"/>
  <c r="J14" i="194"/>
  <c r="F24" i="194"/>
  <c r="J66" i="194"/>
  <c r="H66" i="194"/>
  <c r="N66" i="194"/>
  <c r="G66" i="194"/>
  <c r="O66" i="194" s="1"/>
  <c r="F66" i="194"/>
  <c r="M66" i="194"/>
  <c r="J3" i="194"/>
  <c r="I12" i="194"/>
  <c r="D13" i="194"/>
  <c r="I14" i="194"/>
  <c r="D15" i="194"/>
  <c r="I16" i="194"/>
  <c r="D17" i="194"/>
  <c r="M54" i="194"/>
  <c r="O55" i="194"/>
  <c r="K66" i="194"/>
  <c r="F3" i="194"/>
  <c r="Q3" i="194" s="1"/>
  <c r="N3" i="194"/>
  <c r="N14" i="194"/>
  <c r="P28" i="194"/>
  <c r="J28" i="194"/>
  <c r="M28" i="194"/>
  <c r="F28" i="194"/>
  <c r="K28" i="194"/>
  <c r="O28" i="194"/>
  <c r="J50" i="194"/>
  <c r="H50" i="194"/>
  <c r="N50" i="194"/>
  <c r="G50" i="194"/>
  <c r="O50" i="194" s="1"/>
  <c r="M50" i="194"/>
  <c r="K50" i="194"/>
  <c r="G55" i="194"/>
  <c r="Q90" i="194"/>
  <c r="L90" i="194"/>
  <c r="R90" i="194" s="1"/>
  <c r="H3" i="194"/>
  <c r="O3" i="194"/>
  <c r="P26" i="194"/>
  <c r="I26" i="194"/>
  <c r="N26" i="194"/>
  <c r="Q26" i="194" s="1"/>
  <c r="F26" i="194"/>
  <c r="G28" i="194"/>
  <c r="R43" i="194"/>
  <c r="F50" i="194"/>
  <c r="R50" i="194" s="1"/>
  <c r="G54" i="194"/>
  <c r="R68" i="194"/>
  <c r="F68" i="194"/>
  <c r="D104" i="194"/>
  <c r="D94" i="194" s="1"/>
  <c r="D98" i="194"/>
  <c r="D89" i="194"/>
  <c r="D81" i="194"/>
  <c r="D79" i="194"/>
  <c r="D77" i="194"/>
  <c r="D62" i="194"/>
  <c r="D103" i="194"/>
  <c r="D75" i="194"/>
  <c r="D72" i="194"/>
  <c r="D69" i="194"/>
  <c r="D59" i="194"/>
  <c r="D58" i="194"/>
  <c r="D57" i="194"/>
  <c r="D31" i="194"/>
  <c r="D37" i="194" s="1"/>
  <c r="D102" i="194"/>
  <c r="D93" i="194" s="1"/>
  <c r="D65" i="194"/>
  <c r="D63" i="194"/>
  <c r="D60" i="194"/>
  <c r="D52" i="194"/>
  <c r="D49" i="194"/>
  <c r="D42" i="194"/>
  <c r="D107" i="194"/>
  <c r="D95" i="194" s="1"/>
  <c r="D97" i="194"/>
  <c r="D92" i="194" s="1"/>
  <c r="D44" i="194"/>
  <c r="D33" i="194"/>
  <c r="D11" i="194"/>
  <c r="D8" i="194"/>
  <c r="D105" i="194"/>
  <c r="D91" i="194"/>
  <c r="D88" i="194"/>
  <c r="D82" i="194"/>
  <c r="D74" i="194"/>
  <c r="D73" i="194"/>
  <c r="D61" i="194"/>
  <c r="D46" i="194"/>
  <c r="D29" i="194"/>
  <c r="D10" i="194"/>
  <c r="D7" i="194"/>
  <c r="D4" i="194"/>
  <c r="D25" i="194" s="1"/>
  <c r="K3" i="194"/>
  <c r="D5" i="194"/>
  <c r="D6" i="194"/>
  <c r="D9" i="194"/>
  <c r="J12" i="194"/>
  <c r="K14" i="194"/>
  <c r="K16" i="194"/>
  <c r="K26" i="194"/>
  <c r="L28" i="194"/>
  <c r="D51" i="194"/>
  <c r="N54" i="194"/>
  <c r="D56" i="194"/>
  <c r="D64" i="194"/>
  <c r="L66" i="194"/>
  <c r="D99" i="194"/>
  <c r="M3" i="194"/>
  <c r="G3" i="194"/>
  <c r="L3" i="194"/>
  <c r="M14" i="194"/>
  <c r="M16" i="194"/>
  <c r="N28" i="194"/>
  <c r="N55" i="194"/>
  <c r="H55" i="194"/>
  <c r="K55" i="194"/>
  <c r="J55" i="194"/>
  <c r="P55" i="194"/>
  <c r="F55" i="194"/>
  <c r="Q55" i="194" s="1"/>
  <c r="M55" i="194"/>
  <c r="R55" i="194" s="1"/>
  <c r="R80" i="194"/>
  <c r="K16" i="193"/>
  <c r="N16" i="193"/>
  <c r="G16" i="193"/>
  <c r="M16" i="193"/>
  <c r="F16" i="193"/>
  <c r="Q16" i="193" s="1"/>
  <c r="O16" i="193"/>
  <c r="J16" i="193"/>
  <c r="L16" i="193"/>
  <c r="H16" i="193"/>
  <c r="I16" i="193"/>
  <c r="P16" i="193"/>
  <c r="O13" i="193"/>
  <c r="I13" i="193"/>
  <c r="N13" i="193"/>
  <c r="H13" i="193"/>
  <c r="J13" i="193"/>
  <c r="F13" i="193"/>
  <c r="Q13" i="193" s="1"/>
  <c r="G13" i="193"/>
  <c r="P13" i="193"/>
  <c r="L13" i="193"/>
  <c r="L44" i="193"/>
  <c r="L45" i="193" s="1"/>
  <c r="R44" i="193"/>
  <c r="D7" i="193"/>
  <c r="K13" i="193"/>
  <c r="M30" i="193"/>
  <c r="G30" i="193"/>
  <c r="R30" i="193" s="1"/>
  <c r="O30" i="193"/>
  <c r="H30" i="193"/>
  <c r="N30" i="193"/>
  <c r="F30" i="193"/>
  <c r="K30" i="193"/>
  <c r="I30" i="193"/>
  <c r="J30" i="193"/>
  <c r="P30" i="193"/>
  <c r="I12" i="193"/>
  <c r="N12" i="193"/>
  <c r="H12" i="193"/>
  <c r="L12" i="193"/>
  <c r="K12" i="193"/>
  <c r="J12" i="193"/>
  <c r="F12" i="193"/>
  <c r="M14" i="193"/>
  <c r="G14" i="193"/>
  <c r="L14" i="193"/>
  <c r="F14" i="193"/>
  <c r="N14" i="193"/>
  <c r="J14" i="193"/>
  <c r="K14" i="193"/>
  <c r="P14" i="193"/>
  <c r="H14" i="193"/>
  <c r="L30" i="193"/>
  <c r="D102" i="193"/>
  <c r="D93" i="193" s="1"/>
  <c r="D90" i="193"/>
  <c r="D107" i="193"/>
  <c r="D95" i="193" s="1"/>
  <c r="D101" i="193"/>
  <c r="D82" i="193"/>
  <c r="D80" i="193"/>
  <c r="D104" i="193"/>
  <c r="D94" i="193" s="1"/>
  <c r="D98" i="193"/>
  <c r="D89" i="193"/>
  <c r="D81" i="193"/>
  <c r="D79" i="193"/>
  <c r="D77" i="193"/>
  <c r="D62" i="193"/>
  <c r="D105" i="193"/>
  <c r="D56" i="193"/>
  <c r="D55" i="193"/>
  <c r="D54" i="193"/>
  <c r="D51" i="193"/>
  <c r="D46" i="193"/>
  <c r="D43" i="193"/>
  <c r="D103" i="193"/>
  <c r="D74" i="193"/>
  <c r="D71" i="193"/>
  <c r="D69" i="193"/>
  <c r="D66" i="193"/>
  <c r="D63" i="193"/>
  <c r="D61" i="193"/>
  <c r="D59" i="193"/>
  <c r="D58" i="193"/>
  <c r="D57" i="193"/>
  <c r="D31" i="193"/>
  <c r="D28" i="193"/>
  <c r="D97" i="193"/>
  <c r="D91" i="193"/>
  <c r="D75" i="193"/>
  <c r="D60" i="193"/>
  <c r="D15" i="193"/>
  <c r="D50" i="193"/>
  <c r="D49" i="193"/>
  <c r="D42" i="193"/>
  <c r="D27" i="193"/>
  <c r="D11" i="193"/>
  <c r="D8" i="193"/>
  <c r="D5" i="193"/>
  <c r="D73" i="193"/>
  <c r="D67" i="193"/>
  <c r="D65" i="193"/>
  <c r="D32" i="193"/>
  <c r="D6" i="193"/>
  <c r="D4" i="193"/>
  <c r="D88" i="193"/>
  <c r="D24" i="193"/>
  <c r="D2" i="193"/>
  <c r="D106" i="193"/>
  <c r="D9" i="193"/>
  <c r="D99" i="193"/>
  <c r="D72" i="193"/>
  <c r="D68" i="193"/>
  <c r="D64" i="193"/>
  <c r="D36" i="193"/>
  <c r="D33" i="193"/>
  <c r="D26" i="193"/>
  <c r="D10" i="193"/>
  <c r="G12" i="193"/>
  <c r="I14" i="193"/>
  <c r="D17" i="193"/>
  <c r="Q30" i="193"/>
  <c r="J52" i="193"/>
  <c r="N52" i="193"/>
  <c r="G52" i="193"/>
  <c r="M52" i="193"/>
  <c r="F52" i="193"/>
  <c r="L52" i="193"/>
  <c r="K52" i="193"/>
  <c r="H52" i="193"/>
  <c r="I52" i="193"/>
  <c r="J53" i="193"/>
  <c r="I53" i="193"/>
  <c r="H53" i="193"/>
  <c r="M53" i="193"/>
  <c r="L53" i="193"/>
  <c r="R53" i="193" s="1"/>
  <c r="N53" i="193"/>
  <c r="K53" i="193"/>
  <c r="F53" i="193"/>
  <c r="O53" i="193" s="1"/>
  <c r="D3" i="193"/>
  <c r="M12" i="193"/>
  <c r="O14" i="193"/>
  <c r="D29" i="193"/>
  <c r="R40" i="193"/>
  <c r="D100" i="193"/>
  <c r="F36" i="192"/>
  <c r="L36" i="192" s="1"/>
  <c r="R36" i="192" s="1"/>
  <c r="N4" i="192"/>
  <c r="H4" i="192"/>
  <c r="L4" i="192"/>
  <c r="L5" i="192"/>
  <c r="F5" i="192"/>
  <c r="Q5" i="192" s="1"/>
  <c r="M5" i="192"/>
  <c r="F6" i="192"/>
  <c r="Q6" i="192" s="1"/>
  <c r="M6" i="192"/>
  <c r="F7" i="192"/>
  <c r="P7" i="192"/>
  <c r="F9" i="192"/>
  <c r="N9" i="192"/>
  <c r="J10" i="192"/>
  <c r="K12" i="192"/>
  <c r="K14" i="192"/>
  <c r="K16" i="192"/>
  <c r="K29" i="192"/>
  <c r="H30" i="192"/>
  <c r="F32" i="192"/>
  <c r="H33" i="192"/>
  <c r="K53" i="192"/>
  <c r="F71" i="192"/>
  <c r="R71" i="192" s="1"/>
  <c r="D104" i="192"/>
  <c r="D94" i="192" s="1"/>
  <c r="D98" i="192"/>
  <c r="D89" i="192"/>
  <c r="D81" i="192"/>
  <c r="D79" i="192"/>
  <c r="D77" i="192"/>
  <c r="D62" i="192"/>
  <c r="D103" i="192"/>
  <c r="D75" i="192"/>
  <c r="D72" i="192"/>
  <c r="D69" i="192"/>
  <c r="D59" i="192"/>
  <c r="D58" i="192"/>
  <c r="D57" i="192"/>
  <c r="D31" i="192"/>
  <c r="D28" i="192"/>
  <c r="D102" i="192"/>
  <c r="D65" i="192"/>
  <c r="D63" i="192"/>
  <c r="D60" i="192"/>
  <c r="D52" i="192"/>
  <c r="D49" i="192"/>
  <c r="D42" i="192"/>
  <c r="D106" i="192"/>
  <c r="D67" i="192"/>
  <c r="D66" i="192"/>
  <c r="D55" i="192"/>
  <c r="D17" i="192"/>
  <c r="D15" i="192"/>
  <c r="D105" i="192"/>
  <c r="D91" i="192"/>
  <c r="D88" i="192"/>
  <c r="D82" i="192"/>
  <c r="D74" i="192"/>
  <c r="D73" i="192"/>
  <c r="D76" i="192" s="1"/>
  <c r="D61" i="192"/>
  <c r="D46" i="192"/>
  <c r="D11" i="192"/>
  <c r="D8" i="192"/>
  <c r="D25" i="192" s="1"/>
  <c r="H3" i="192"/>
  <c r="F4" i="192"/>
  <c r="M4" i="192"/>
  <c r="G5" i="192"/>
  <c r="N5" i="192"/>
  <c r="G6" i="192"/>
  <c r="R6" i="192" s="1"/>
  <c r="N6" i="192"/>
  <c r="I7" i="192"/>
  <c r="G9" i="192"/>
  <c r="L12" i="192"/>
  <c r="J13" i="192"/>
  <c r="Q13" i="192" s="1"/>
  <c r="J27" i="192"/>
  <c r="L29" i="192"/>
  <c r="K30" i="192"/>
  <c r="K32" i="192"/>
  <c r="D51" i="192"/>
  <c r="L53" i="192"/>
  <c r="D56" i="192"/>
  <c r="D64" i="192"/>
  <c r="D97" i="192"/>
  <c r="P9" i="192"/>
  <c r="J9" i="192"/>
  <c r="O9" i="192"/>
  <c r="I9" i="192"/>
  <c r="M9" i="192"/>
  <c r="L33" i="192"/>
  <c r="N33" i="192"/>
  <c r="G33" i="192"/>
  <c r="M33" i="192"/>
  <c r="F33" i="192"/>
  <c r="O33" i="192"/>
  <c r="K33" i="192"/>
  <c r="M14" i="192"/>
  <c r="G14" i="192"/>
  <c r="L14" i="192"/>
  <c r="F14" i="192"/>
  <c r="M16" i="192"/>
  <c r="G16" i="192"/>
  <c r="Q16" i="192" s="1"/>
  <c r="L16" i="192"/>
  <c r="F16" i="192"/>
  <c r="O16" i="192"/>
  <c r="J26" i="192"/>
  <c r="P26" i="192"/>
  <c r="I26" i="192"/>
  <c r="O26" i="192"/>
  <c r="N30" i="192"/>
  <c r="J33" i="192"/>
  <c r="N7" i="192"/>
  <c r="H7" i="192"/>
  <c r="M7" i="192"/>
  <c r="G7" i="192"/>
  <c r="Q7" i="192" s="1"/>
  <c r="O7" i="192"/>
  <c r="R7" i="192" s="1"/>
  <c r="O32" i="192"/>
  <c r="I32" i="192"/>
  <c r="N32" i="192"/>
  <c r="H32" i="192"/>
  <c r="J32" i="192"/>
  <c r="G32" i="192"/>
  <c r="Q32" i="192" s="1"/>
  <c r="H6" i="192"/>
  <c r="O6" i="192"/>
  <c r="H9" i="192"/>
  <c r="I4" i="192"/>
  <c r="P4" i="192"/>
  <c r="I6" i="192"/>
  <c r="K7" i="192"/>
  <c r="K9" i="192"/>
  <c r="N10" i="192"/>
  <c r="H10" i="192"/>
  <c r="M10" i="192"/>
  <c r="G10" i="192"/>
  <c r="O10" i="192"/>
  <c r="F12" i="192"/>
  <c r="H14" i="192"/>
  <c r="P14" i="192"/>
  <c r="H16" i="192"/>
  <c r="P16" i="192"/>
  <c r="R16" i="192" s="1"/>
  <c r="F24" i="192"/>
  <c r="O29" i="192"/>
  <c r="I29" i="192"/>
  <c r="P29" i="192"/>
  <c r="H29" i="192"/>
  <c r="N29" i="192"/>
  <c r="G29" i="192"/>
  <c r="M32" i="192"/>
  <c r="P33" i="192"/>
  <c r="F43" i="192"/>
  <c r="F45" i="192" s="1"/>
  <c r="J50" i="192"/>
  <c r="H50" i="192"/>
  <c r="N50" i="192"/>
  <c r="G50" i="192"/>
  <c r="L50" i="192"/>
  <c r="K50" i="192"/>
  <c r="P54" i="192"/>
  <c r="J54" i="192"/>
  <c r="K54" i="192"/>
  <c r="I54" i="192"/>
  <c r="G54" i="192"/>
  <c r="O54" i="192"/>
  <c r="F54" i="192"/>
  <c r="F80" i="192"/>
  <c r="R80" i="192" s="1"/>
  <c r="P6" i="192"/>
  <c r="J6" i="192"/>
  <c r="L6" i="192"/>
  <c r="M30" i="192"/>
  <c r="G30" i="192"/>
  <c r="L30" i="192"/>
  <c r="F30" i="192"/>
  <c r="Q30" i="192" s="1"/>
  <c r="J30" i="192"/>
  <c r="I30" i="192"/>
  <c r="J53" i="192"/>
  <c r="H53" i="192"/>
  <c r="N53" i="192"/>
  <c r="G53" i="192"/>
  <c r="I53" i="192"/>
  <c r="F53" i="192"/>
  <c r="I12" i="192"/>
  <c r="N12" i="192"/>
  <c r="H12" i="192"/>
  <c r="M12" i="192"/>
  <c r="O14" i="192"/>
  <c r="K3" i="192"/>
  <c r="J4" i="192"/>
  <c r="J5" i="192"/>
  <c r="K6" i="192"/>
  <c r="L7" i="192"/>
  <c r="L9" i="192"/>
  <c r="F10" i="192"/>
  <c r="P10" i="192"/>
  <c r="G12" i="192"/>
  <c r="O12" i="192" s="1"/>
  <c r="O13" i="192"/>
  <c r="I13" i="192"/>
  <c r="N13" i="192"/>
  <c r="H13" i="192"/>
  <c r="M13" i="192"/>
  <c r="I14" i="192"/>
  <c r="I16" i="192"/>
  <c r="L24" i="192"/>
  <c r="R24" i="192" s="1"/>
  <c r="H26" i="192"/>
  <c r="O27" i="192"/>
  <c r="Q27" i="192" s="1"/>
  <c r="I27" i="192"/>
  <c r="N27" i="192"/>
  <c r="H27" i="192"/>
  <c r="R27" i="192" s="1"/>
  <c r="M27" i="192"/>
  <c r="F29" i="192"/>
  <c r="Q29" i="192" s="1"/>
  <c r="R29" i="192" s="1"/>
  <c r="P30" i="192"/>
  <c r="P32" i="192"/>
  <c r="L44" i="192"/>
  <c r="L45" i="192" s="1"/>
  <c r="R44" i="192"/>
  <c r="F50" i="192"/>
  <c r="H54" i="192"/>
  <c r="F68" i="192"/>
  <c r="R68" i="192" s="1"/>
  <c r="Q90" i="192"/>
  <c r="L90" i="192"/>
  <c r="R90" i="192" s="1"/>
  <c r="J12" i="191"/>
  <c r="K12" i="191"/>
  <c r="I12" i="191"/>
  <c r="H12" i="191"/>
  <c r="O12" i="191" s="1"/>
  <c r="N12" i="191"/>
  <c r="G12" i="191"/>
  <c r="M12" i="191"/>
  <c r="F12" i="191"/>
  <c r="D104" i="191"/>
  <c r="D94" i="191" s="1"/>
  <c r="D98" i="191"/>
  <c r="D89" i="191"/>
  <c r="D81" i="191"/>
  <c r="D79" i="191"/>
  <c r="D77" i="191"/>
  <c r="D62" i="191"/>
  <c r="D101" i="191"/>
  <c r="D90" i="191"/>
  <c r="D73" i="191"/>
  <c r="D68" i="191"/>
  <c r="D44" i="191"/>
  <c r="D36" i="191"/>
  <c r="D33" i="191"/>
  <c r="D30" i="191"/>
  <c r="D27" i="191"/>
  <c r="D100" i="191"/>
  <c r="D91" i="191"/>
  <c r="D82" i="191"/>
  <c r="D63" i="191"/>
  <c r="D61" i="191"/>
  <c r="D59" i="191"/>
  <c r="D52" i="191"/>
  <c r="D43" i="191"/>
  <c r="D107" i="191"/>
  <c r="D95" i="191" s="1"/>
  <c r="D99" i="191"/>
  <c r="D75" i="191"/>
  <c r="D54" i="191"/>
  <c r="D49" i="191"/>
  <c r="D46" i="191"/>
  <c r="D26" i="191"/>
  <c r="D24" i="191"/>
  <c r="D13" i="191"/>
  <c r="D106" i="191"/>
  <c r="D97" i="191"/>
  <c r="D88" i="191"/>
  <c r="D72" i="191"/>
  <c r="D65" i="191"/>
  <c r="D57" i="191"/>
  <c r="D51" i="191"/>
  <c r="D42" i="191"/>
  <c r="D9" i="191"/>
  <c r="D6" i="191"/>
  <c r="D3" i="191"/>
  <c r="D102" i="191"/>
  <c r="D80" i="191"/>
  <c r="D60" i="191"/>
  <c r="D55" i="191"/>
  <c r="D14" i="191"/>
  <c r="D8" i="191"/>
  <c r="D7" i="191"/>
  <c r="D71" i="191"/>
  <c r="D17" i="191"/>
  <c r="D11" i="191"/>
  <c r="D10" i="191"/>
  <c r="D69" i="191"/>
  <c r="D66" i="191"/>
  <c r="D56" i="191"/>
  <c r="D74" i="191"/>
  <c r="D67" i="191"/>
  <c r="D53" i="191"/>
  <c r="D16" i="191"/>
  <c r="D105" i="191"/>
  <c r="D64" i="191"/>
  <c r="D58" i="191"/>
  <c r="D50" i="191"/>
  <c r="D29" i="191"/>
  <c r="D28" i="191"/>
  <c r="D15" i="191"/>
  <c r="D5" i="191"/>
  <c r="L12" i="191"/>
  <c r="D31" i="191"/>
  <c r="R40" i="191"/>
  <c r="D2" i="191"/>
  <c r="D32" i="191"/>
  <c r="D4" i="191"/>
  <c r="D103" i="191"/>
  <c r="O94" i="190"/>
  <c r="H94" i="190"/>
  <c r="R94" i="190" s="1"/>
  <c r="D2" i="190"/>
  <c r="D8" i="190"/>
  <c r="D97" i="190"/>
  <c r="D92" i="190" s="1"/>
  <c r="D29" i="190"/>
  <c r="D59" i="190"/>
  <c r="D15" i="190"/>
  <c r="D32" i="190"/>
  <c r="D103" i="190"/>
  <c r="D17" i="190"/>
  <c r="D4" i="190"/>
  <c r="D77" i="190"/>
  <c r="D10" i="190"/>
  <c r="D79" i="190"/>
  <c r="D89" i="190"/>
  <c r="D102" i="190"/>
  <c r="D90" i="190"/>
  <c r="D75" i="190"/>
  <c r="D74" i="190"/>
  <c r="D73" i="190"/>
  <c r="D72" i="190"/>
  <c r="D68" i="190"/>
  <c r="D63" i="190"/>
  <c r="D61" i="190"/>
  <c r="D107" i="190"/>
  <c r="D95" i="190" s="1"/>
  <c r="D101" i="190"/>
  <c r="D82" i="190"/>
  <c r="D80" i="190"/>
  <c r="D58" i="190"/>
  <c r="D55" i="190"/>
  <c r="D106" i="190"/>
  <c r="D100" i="190"/>
  <c r="D91" i="190"/>
  <c r="D88" i="190"/>
  <c r="D43" i="190"/>
  <c r="D105" i="190"/>
  <c r="D99" i="190"/>
  <c r="D71" i="190"/>
  <c r="D69" i="190"/>
  <c r="D67" i="190"/>
  <c r="D66" i="190"/>
  <c r="D65" i="190"/>
  <c r="D64" i="190"/>
  <c r="D60" i="190"/>
  <c r="D57" i="190"/>
  <c r="D54" i="190"/>
  <c r="D53" i="190"/>
  <c r="D52" i="190"/>
  <c r="D51" i="190"/>
  <c r="D50" i="190"/>
  <c r="D49" i="190"/>
  <c r="D36" i="190"/>
  <c r="D98" i="190"/>
  <c r="D42" i="190"/>
  <c r="D31" i="190"/>
  <c r="D28" i="190"/>
  <c r="D16" i="190"/>
  <c r="D14" i="190"/>
  <c r="D81" i="190"/>
  <c r="D62" i="190"/>
  <c r="D33" i="190"/>
  <c r="D30" i="190"/>
  <c r="D27" i="190"/>
  <c r="D26" i="190"/>
  <c r="D24" i="190"/>
  <c r="D13" i="190"/>
  <c r="D12" i="190"/>
  <c r="D56" i="190"/>
  <c r="D44" i="190"/>
  <c r="D9" i="190"/>
  <c r="D6" i="190"/>
  <c r="D3" i="190"/>
  <c r="D46" i="190"/>
  <c r="D5" i="190"/>
  <c r="D7" i="190"/>
  <c r="D11" i="190"/>
  <c r="F88" i="189"/>
  <c r="L8" i="189"/>
  <c r="F8" i="189"/>
  <c r="O8" i="189"/>
  <c r="I8" i="189"/>
  <c r="N8" i="189"/>
  <c r="N12" i="189"/>
  <c r="P26" i="189"/>
  <c r="G8" i="189"/>
  <c r="P8" i="189"/>
  <c r="G12" i="189"/>
  <c r="L24" i="189"/>
  <c r="H26" i="189"/>
  <c r="G32" i="189"/>
  <c r="F51" i="189"/>
  <c r="O51" i="189" s="1"/>
  <c r="D55" i="189"/>
  <c r="G56" i="189"/>
  <c r="D67" i="189"/>
  <c r="D80" i="189"/>
  <c r="D103" i="189"/>
  <c r="H8" i="189"/>
  <c r="H12" i="189"/>
  <c r="D13" i="189"/>
  <c r="R24" i="189"/>
  <c r="I26" i="189"/>
  <c r="D27" i="189"/>
  <c r="I32" i="189"/>
  <c r="D33" i="189"/>
  <c r="D36" i="189"/>
  <c r="D50" i="189"/>
  <c r="H51" i="189"/>
  <c r="D74" i="189"/>
  <c r="D91" i="189"/>
  <c r="L56" i="189"/>
  <c r="F56" i="189"/>
  <c r="R56" i="189" s="1"/>
  <c r="K56" i="189"/>
  <c r="Q56" i="189"/>
  <c r="J56" i="189"/>
  <c r="H56" i="189"/>
  <c r="N56" i="189"/>
  <c r="J8" i="189"/>
  <c r="D9" i="189"/>
  <c r="J12" i="189"/>
  <c r="R12" i="189" s="1"/>
  <c r="K26" i="189"/>
  <c r="K32" i="189"/>
  <c r="M56" i="189"/>
  <c r="D66" i="189"/>
  <c r="D68" i="189"/>
  <c r="D82" i="189"/>
  <c r="J26" i="189"/>
  <c r="N26" i="189"/>
  <c r="F26" i="189"/>
  <c r="J51" i="189"/>
  <c r="K51" i="189"/>
  <c r="I51" i="189"/>
  <c r="G51" i="189"/>
  <c r="M51" i="189"/>
  <c r="D6" i="189"/>
  <c r="K8" i="189"/>
  <c r="M26" i="189"/>
  <c r="D31" i="189"/>
  <c r="N51" i="189"/>
  <c r="O56" i="189"/>
  <c r="D61" i="189"/>
  <c r="D71" i="189"/>
  <c r="D73" i="189"/>
  <c r="I12" i="189"/>
  <c r="L12" i="189"/>
  <c r="F12" i="189"/>
  <c r="O12" i="189" s="1"/>
  <c r="N32" i="189"/>
  <c r="H32" i="189"/>
  <c r="J32" i="189"/>
  <c r="M32" i="189"/>
  <c r="F32" i="189"/>
  <c r="Q32" i="189" s="1"/>
  <c r="P32" i="189"/>
  <c r="D102" i="189"/>
  <c r="D104" i="189"/>
  <c r="D94" i="189" s="1"/>
  <c r="D98" i="189"/>
  <c r="D89" i="189"/>
  <c r="D81" i="189"/>
  <c r="D79" i="189"/>
  <c r="D77" i="189"/>
  <c r="D62" i="189"/>
  <c r="D107" i="189"/>
  <c r="D95" i="189" s="1"/>
  <c r="D99" i="189"/>
  <c r="D75" i="189"/>
  <c r="D72" i="189"/>
  <c r="D69" i="189"/>
  <c r="D59" i="189"/>
  <c r="D58" i="189"/>
  <c r="D57" i="189"/>
  <c r="D106" i="189"/>
  <c r="D97" i="189"/>
  <c r="D92" i="189" s="1"/>
  <c r="D65" i="189"/>
  <c r="D63" i="189"/>
  <c r="D60" i="189"/>
  <c r="D52" i="189"/>
  <c r="D49" i="189"/>
  <c r="D42" i="189"/>
  <c r="D105" i="189"/>
  <c r="D90" i="189"/>
  <c r="D64" i="189"/>
  <c r="D54" i="189"/>
  <c r="D53" i="189"/>
  <c r="D43" i="189"/>
  <c r="D17" i="189"/>
  <c r="D15" i="189"/>
  <c r="D100" i="189"/>
  <c r="D44" i="189"/>
  <c r="D30" i="189"/>
  <c r="D29" i="189"/>
  <c r="D28" i="189"/>
  <c r="D10" i="189"/>
  <c r="D7" i="189"/>
  <c r="D4" i="189"/>
  <c r="D5" i="189"/>
  <c r="D11" i="189"/>
  <c r="D2" i="189"/>
  <c r="D3" i="189"/>
  <c r="M8" i="189"/>
  <c r="M12" i="189"/>
  <c r="D14" i="189"/>
  <c r="D16" i="189"/>
  <c r="O26" i="189"/>
  <c r="O32" i="189"/>
  <c r="D46" i="189"/>
  <c r="P56" i="189"/>
  <c r="K26" i="188"/>
  <c r="Q26" i="188"/>
  <c r="J26" i="188"/>
  <c r="O26" i="188"/>
  <c r="K27" i="188"/>
  <c r="N28" i="188"/>
  <c r="H28" i="188"/>
  <c r="M28" i="188"/>
  <c r="G28" i="188"/>
  <c r="O28" i="188"/>
  <c r="P30" i="188"/>
  <c r="J30" i="188"/>
  <c r="O30" i="188"/>
  <c r="I30" i="188"/>
  <c r="Q30" i="188" s="1"/>
  <c r="M30" i="188"/>
  <c r="L36" i="188"/>
  <c r="M49" i="188"/>
  <c r="G49" i="188"/>
  <c r="J49" i="188"/>
  <c r="L49" i="188"/>
  <c r="K49" i="188"/>
  <c r="M50" i="188"/>
  <c r="G50" i="188"/>
  <c r="J50" i="188"/>
  <c r="I50" i="188"/>
  <c r="H50" i="188"/>
  <c r="P61" i="188"/>
  <c r="J61" i="188"/>
  <c r="M61" i="188"/>
  <c r="G61" i="188"/>
  <c r="I61" i="188"/>
  <c r="H61" i="188"/>
  <c r="N65" i="188"/>
  <c r="N66" i="188"/>
  <c r="J73" i="188"/>
  <c r="M73" i="188"/>
  <c r="G73" i="188"/>
  <c r="L73" i="188"/>
  <c r="K73" i="188"/>
  <c r="J74" i="188"/>
  <c r="M74" i="188"/>
  <c r="G74" i="188"/>
  <c r="R74" i="188" s="1"/>
  <c r="I74" i="188"/>
  <c r="H74" i="188"/>
  <c r="I6" i="188"/>
  <c r="J7" i="188"/>
  <c r="J8" i="188"/>
  <c r="K9" i="188"/>
  <c r="K10" i="188"/>
  <c r="L13" i="188"/>
  <c r="F14" i="188"/>
  <c r="Q14" i="188" s="1"/>
  <c r="F16" i="188"/>
  <c r="P16" i="188"/>
  <c r="F24" i="188"/>
  <c r="L24" i="188" s="1"/>
  <c r="F26" i="188"/>
  <c r="P26" i="188"/>
  <c r="F28" i="188"/>
  <c r="Q28" i="188" s="1"/>
  <c r="P28" i="188"/>
  <c r="F30" i="188"/>
  <c r="N30" i="188"/>
  <c r="F36" i="188"/>
  <c r="D44" i="188"/>
  <c r="D46" i="188"/>
  <c r="F49" i="188"/>
  <c r="F50" i="188"/>
  <c r="F61" i="188"/>
  <c r="Q61" i="188" s="1"/>
  <c r="F71" i="188"/>
  <c r="R71" i="188" s="1"/>
  <c r="F73" i="188"/>
  <c r="F74" i="188"/>
  <c r="D90" i="188"/>
  <c r="N14" i="188"/>
  <c r="H14" i="188"/>
  <c r="M14" i="188"/>
  <c r="G14" i="188"/>
  <c r="O14" i="188"/>
  <c r="O16" i="188"/>
  <c r="P27" i="188"/>
  <c r="J27" i="188"/>
  <c r="O27" i="188"/>
  <c r="I27" i="188"/>
  <c r="M27" i="188"/>
  <c r="I28" i="188"/>
  <c r="G30" i="188"/>
  <c r="R36" i="188"/>
  <c r="H49" i="188"/>
  <c r="M65" i="188"/>
  <c r="G65" i="188"/>
  <c r="J65" i="188"/>
  <c r="L65" i="188"/>
  <c r="K65" i="188"/>
  <c r="P6" i="188"/>
  <c r="J6" i="188"/>
  <c r="L6" i="188"/>
  <c r="L8" i="188"/>
  <c r="F8" i="188"/>
  <c r="M8" i="188"/>
  <c r="F9" i="188"/>
  <c r="M9" i="188"/>
  <c r="M10" i="188"/>
  <c r="N13" i="188"/>
  <c r="F27" i="188"/>
  <c r="Q27" i="188" s="1"/>
  <c r="J28" i="188"/>
  <c r="L50" i="188"/>
  <c r="L61" i="188"/>
  <c r="F65" i="188"/>
  <c r="O65" i="188" s="1"/>
  <c r="L74" i="188"/>
  <c r="D102" i="188"/>
  <c r="D107" i="188"/>
  <c r="D95" i="188" s="1"/>
  <c r="D101" i="188"/>
  <c r="D82" i="188"/>
  <c r="D80" i="188"/>
  <c r="D58" i="188"/>
  <c r="D55" i="188"/>
  <c r="D104" i="188"/>
  <c r="D94" i="188" s="1"/>
  <c r="D98" i="188"/>
  <c r="D89" i="188"/>
  <c r="D81" i="188"/>
  <c r="D79" i="188"/>
  <c r="D77" i="188"/>
  <c r="D62" i="188"/>
  <c r="D106" i="188"/>
  <c r="D56" i="188"/>
  <c r="D43" i="188"/>
  <c r="D105" i="188"/>
  <c r="D91" i="188"/>
  <c r="D75" i="188"/>
  <c r="D72" i="188"/>
  <c r="D67" i="188"/>
  <c r="D64" i="188"/>
  <c r="D54" i="188"/>
  <c r="D51" i="188"/>
  <c r="D32" i="188"/>
  <c r="D29" i="188"/>
  <c r="D37" i="188" s="1"/>
  <c r="D17" i="188"/>
  <c r="D15" i="188"/>
  <c r="D3" i="188"/>
  <c r="D4" i="188"/>
  <c r="D5" i="188"/>
  <c r="F6" i="188"/>
  <c r="Q6" i="188" s="1"/>
  <c r="M6" i="188"/>
  <c r="F7" i="188"/>
  <c r="G8" i="188"/>
  <c r="Q8" i="188" s="1"/>
  <c r="N8" i="188"/>
  <c r="G9" i="188"/>
  <c r="G10" i="188"/>
  <c r="D12" i="188"/>
  <c r="G13" i="188"/>
  <c r="Q13" i="188" s="1"/>
  <c r="K14" i="188"/>
  <c r="M26" i="188"/>
  <c r="G27" i="188"/>
  <c r="K28" i="188"/>
  <c r="K30" i="188"/>
  <c r="D31" i="188"/>
  <c r="D33" i="188"/>
  <c r="R40" i="188"/>
  <c r="N49" i="188"/>
  <c r="N50" i="188"/>
  <c r="D52" i="188"/>
  <c r="D53" i="188"/>
  <c r="D57" i="188"/>
  <c r="D60" i="188"/>
  <c r="N61" i="188"/>
  <c r="H65" i="188"/>
  <c r="D69" i="188"/>
  <c r="N73" i="188"/>
  <c r="N74" i="188"/>
  <c r="D76" i="188"/>
  <c r="D88" i="188"/>
  <c r="D97" i="188"/>
  <c r="N16" i="188"/>
  <c r="H16" i="188"/>
  <c r="M16" i="188"/>
  <c r="G16" i="188"/>
  <c r="R16" i="188" s="1"/>
  <c r="P9" i="188"/>
  <c r="J9" i="188"/>
  <c r="L9" i="188"/>
  <c r="N10" i="188"/>
  <c r="H10" i="188"/>
  <c r="L10" i="188"/>
  <c r="P13" i="188"/>
  <c r="J13" i="188"/>
  <c r="O13" i="188"/>
  <c r="I13" i="188"/>
  <c r="M13" i="188"/>
  <c r="I14" i="188"/>
  <c r="I16" i="188"/>
  <c r="Q16" i="188"/>
  <c r="H26" i="188"/>
  <c r="R63" i="188"/>
  <c r="M66" i="188"/>
  <c r="G66" i="188"/>
  <c r="J66" i="188"/>
  <c r="I66" i="188"/>
  <c r="H66" i="188"/>
  <c r="N7" i="188"/>
  <c r="H7" i="188"/>
  <c r="L7" i="188"/>
  <c r="F10" i="188"/>
  <c r="R11" i="188"/>
  <c r="F13" i="188"/>
  <c r="J14" i="188"/>
  <c r="J16" i="188"/>
  <c r="I26" i="188"/>
  <c r="N27" i="188"/>
  <c r="H30" i="188"/>
  <c r="R30" i="188" s="1"/>
  <c r="I49" i="188"/>
  <c r="F63" i="188"/>
  <c r="F66" i="188"/>
  <c r="O66" i="188" s="1"/>
  <c r="F68" i="188"/>
  <c r="R68" i="188" s="1"/>
  <c r="I73" i="188"/>
  <c r="D2" i="188"/>
  <c r="G6" i="188"/>
  <c r="N6" i="188"/>
  <c r="G7" i="188"/>
  <c r="O7" i="188"/>
  <c r="H8" i="188"/>
  <c r="O8" i="188"/>
  <c r="H9" i="188"/>
  <c r="O9" i="188"/>
  <c r="I10" i="188"/>
  <c r="P10" i="188"/>
  <c r="H13" i="188"/>
  <c r="L14" i="188"/>
  <c r="L16" i="188"/>
  <c r="N26" i="188"/>
  <c r="H27" i="188"/>
  <c r="L28" i="188"/>
  <c r="L30" i="188"/>
  <c r="D42" i="188"/>
  <c r="O50" i="188"/>
  <c r="R50" i="188" s="1"/>
  <c r="D59" i="188"/>
  <c r="O61" i="188"/>
  <c r="I65" i="188"/>
  <c r="L66" i="188"/>
  <c r="O74" i="188"/>
  <c r="D99" i="188"/>
  <c r="D104" i="187"/>
  <c r="D94" i="187" s="1"/>
  <c r="D98" i="187"/>
  <c r="D89" i="187"/>
  <c r="D81" i="187"/>
  <c r="D79" i="187"/>
  <c r="D77" i="187"/>
  <c r="D62" i="187"/>
  <c r="D103" i="187"/>
  <c r="D75" i="187"/>
  <c r="D72" i="187"/>
  <c r="D69" i="187"/>
  <c r="D59" i="187"/>
  <c r="D58" i="187"/>
  <c r="D57" i="187"/>
  <c r="D31" i="187"/>
  <c r="D28" i="187"/>
  <c r="D102" i="187"/>
  <c r="D65" i="187"/>
  <c r="D63" i="187"/>
  <c r="D60" i="187"/>
  <c r="D52" i="187"/>
  <c r="D49" i="187"/>
  <c r="D42" i="187"/>
  <c r="D99" i="187"/>
  <c r="D80" i="187"/>
  <c r="D71" i="187"/>
  <c r="D56" i="187"/>
  <c r="D51" i="187"/>
  <c r="D50" i="187"/>
  <c r="D16" i="187"/>
  <c r="D14" i="187"/>
  <c r="D105" i="187"/>
  <c r="D91" i="187"/>
  <c r="D88" i="187"/>
  <c r="D82" i="187"/>
  <c r="D74" i="187"/>
  <c r="D73" i="187"/>
  <c r="D61" i="187"/>
  <c r="D46" i="187"/>
  <c r="D29" i="187"/>
  <c r="D9" i="187"/>
  <c r="D6" i="187"/>
  <c r="D3" i="187"/>
  <c r="D101" i="187"/>
  <c r="D90" i="187"/>
  <c r="D68" i="187"/>
  <c r="D66" i="187"/>
  <c r="D11" i="187"/>
  <c r="D100" i="187"/>
  <c r="D54" i="187"/>
  <c r="D43" i="187"/>
  <c r="D17" i="187"/>
  <c r="D15" i="187"/>
  <c r="D7" i="187"/>
  <c r="D97" i="187"/>
  <c r="D67" i="187"/>
  <c r="D55" i="187"/>
  <c r="D27" i="187"/>
  <c r="D13" i="187"/>
  <c r="D64" i="187"/>
  <c r="D33" i="187"/>
  <c r="D10" i="187"/>
  <c r="D107" i="187"/>
  <c r="D95" i="187" s="1"/>
  <c r="D36" i="187"/>
  <c r="D32" i="187"/>
  <c r="D30" i="187"/>
  <c r="D26" i="187"/>
  <c r="D24" i="187"/>
  <c r="D12" i="187"/>
  <c r="D8" i="187"/>
  <c r="D2" i="187"/>
  <c r="D106" i="187"/>
  <c r="D53" i="187"/>
  <c r="D44" i="187"/>
  <c r="D4" i="187"/>
  <c r="D5" i="187"/>
  <c r="R40" i="187"/>
  <c r="O3" i="186"/>
  <c r="I3" i="186"/>
  <c r="N3" i="186"/>
  <c r="H3" i="186"/>
  <c r="M3" i="186"/>
  <c r="G3" i="186"/>
  <c r="L3" i="186"/>
  <c r="F3" i="186"/>
  <c r="I62" i="186"/>
  <c r="N62" i="186" s="1"/>
  <c r="F81" i="186"/>
  <c r="R81" i="186" s="1"/>
  <c r="O6" i="186"/>
  <c r="I6" i="186"/>
  <c r="N6" i="186"/>
  <c r="H6" i="186"/>
  <c r="L6" i="186"/>
  <c r="F6" i="186"/>
  <c r="Q6" i="186" s="1"/>
  <c r="M6" i="186"/>
  <c r="G6" i="186"/>
  <c r="P26" i="186"/>
  <c r="I26" i="186"/>
  <c r="O26" i="186"/>
  <c r="H26" i="186"/>
  <c r="M26" i="186"/>
  <c r="K26" i="186"/>
  <c r="F26" i="186"/>
  <c r="J26" i="186"/>
  <c r="N30" i="186"/>
  <c r="H30" i="186"/>
  <c r="M30" i="186"/>
  <c r="G30" i="186"/>
  <c r="K30" i="186"/>
  <c r="J30" i="186"/>
  <c r="I30" i="186"/>
  <c r="P30" i="186"/>
  <c r="F30" i="186"/>
  <c r="L32" i="186"/>
  <c r="P32" i="186"/>
  <c r="J32" i="186"/>
  <c r="I32" i="186"/>
  <c r="K32" i="186"/>
  <c r="H32" i="186"/>
  <c r="G32" i="186"/>
  <c r="O32" i="186"/>
  <c r="F32" i="186"/>
  <c r="K6" i="186"/>
  <c r="N49" i="186"/>
  <c r="H49" i="186"/>
  <c r="L49" i="186"/>
  <c r="F49" i="186"/>
  <c r="O49" i="186" s="1"/>
  <c r="I49" i="186"/>
  <c r="G49" i="186"/>
  <c r="M49" i="186"/>
  <c r="K49" i="186"/>
  <c r="J49" i="186"/>
  <c r="F24" i="186"/>
  <c r="O30" i="186"/>
  <c r="N32" i="186"/>
  <c r="P6" i="186"/>
  <c r="N12" i="186"/>
  <c r="M12" i="186"/>
  <c r="G12" i="186"/>
  <c r="K12" i="186"/>
  <c r="J12" i="186"/>
  <c r="H12" i="186"/>
  <c r="I12" i="186"/>
  <c r="Q5" i="186"/>
  <c r="F12" i="186"/>
  <c r="L12" i="186"/>
  <c r="D4" i="186"/>
  <c r="I5" i="186"/>
  <c r="R5" i="186" s="1"/>
  <c r="O5" i="186"/>
  <c r="D7" i="186"/>
  <c r="D11" i="186"/>
  <c r="D13" i="186"/>
  <c r="D15" i="186"/>
  <c r="D17" i="186"/>
  <c r="D27" i="186"/>
  <c r="D29" i="186"/>
  <c r="D42" i="186"/>
  <c r="D54" i="186"/>
  <c r="D56" i="186"/>
  <c r="D64" i="186"/>
  <c r="D65" i="186"/>
  <c r="R40" i="186"/>
  <c r="R67" i="186"/>
  <c r="H77" i="186"/>
  <c r="N77" i="186" s="1"/>
  <c r="D102" i="186"/>
  <c r="D93" i="186" s="1"/>
  <c r="D90" i="186"/>
  <c r="D75" i="186"/>
  <c r="D74" i="186"/>
  <c r="D73" i="186"/>
  <c r="D72" i="186"/>
  <c r="D68" i="186"/>
  <c r="D63" i="186"/>
  <c r="D61" i="186"/>
  <c r="D46" i="186"/>
  <c r="D107" i="186"/>
  <c r="D95" i="186" s="1"/>
  <c r="D101" i="186"/>
  <c r="D82" i="186"/>
  <c r="D80" i="186"/>
  <c r="D106" i="186"/>
  <c r="D100" i="186"/>
  <c r="D91" i="186"/>
  <c r="D88" i="186"/>
  <c r="D43" i="186"/>
  <c r="D104" i="186"/>
  <c r="D94" i="186" s="1"/>
  <c r="D89" i="186"/>
  <c r="D71" i="186"/>
  <c r="D69" i="186"/>
  <c r="D66" i="186"/>
  <c r="D59" i="186"/>
  <c r="D57" i="186"/>
  <c r="D53" i="186"/>
  <c r="D50" i="186"/>
  <c r="D44" i="186"/>
  <c r="D33" i="186"/>
  <c r="D103" i="186"/>
  <c r="D79" i="186"/>
  <c r="D55" i="186"/>
  <c r="D31" i="186"/>
  <c r="D28" i="186"/>
  <c r="D16" i="186"/>
  <c r="D14" i="186"/>
  <c r="J5" i="186"/>
  <c r="P5" i="186"/>
  <c r="D8" i="186"/>
  <c r="D9" i="186"/>
  <c r="D10" i="186"/>
  <c r="D36" i="186"/>
  <c r="D58" i="186"/>
  <c r="D97" i="186"/>
  <c r="K5" i="186"/>
  <c r="D51" i="186"/>
  <c r="D52" i="186"/>
  <c r="D60" i="186"/>
  <c r="D98" i="186"/>
  <c r="D107" i="185"/>
  <c r="D95" i="185" s="1"/>
  <c r="D101" i="185"/>
  <c r="D82" i="185"/>
  <c r="D80" i="185"/>
  <c r="D58" i="185"/>
  <c r="D55" i="185"/>
  <c r="D105" i="185"/>
  <c r="D99" i="185"/>
  <c r="D71" i="185"/>
  <c r="D69" i="185"/>
  <c r="D67" i="185"/>
  <c r="D66" i="185"/>
  <c r="D65" i="185"/>
  <c r="D64" i="185"/>
  <c r="D60" i="185"/>
  <c r="D57" i="185"/>
  <c r="D54" i="185"/>
  <c r="D53" i="185"/>
  <c r="D52" i="185"/>
  <c r="D51" i="185"/>
  <c r="D50" i="185"/>
  <c r="D49" i="185"/>
  <c r="D104" i="185"/>
  <c r="D94" i="185" s="1"/>
  <c r="D98" i="185"/>
  <c r="D89" i="185"/>
  <c r="D81" i="185"/>
  <c r="D79" i="185"/>
  <c r="D77" i="185"/>
  <c r="D62" i="185"/>
  <c r="D103" i="185"/>
  <c r="D59" i="185"/>
  <c r="D44" i="185"/>
  <c r="D36" i="185"/>
  <c r="D31" i="185"/>
  <c r="D28" i="185"/>
  <c r="D16" i="185"/>
  <c r="D14" i="185"/>
  <c r="D102" i="185"/>
  <c r="D63" i="185"/>
  <c r="D46" i="185"/>
  <c r="D10" i="185"/>
  <c r="D100" i="185"/>
  <c r="D91" i="185"/>
  <c r="D88" i="185"/>
  <c r="D43" i="185"/>
  <c r="D33" i="185"/>
  <c r="D30" i="185"/>
  <c r="D27" i="185"/>
  <c r="D26" i="185"/>
  <c r="D24" i="185"/>
  <c r="D13" i="185"/>
  <c r="D12" i="185"/>
  <c r="D75" i="185"/>
  <c r="D73" i="185"/>
  <c r="D61" i="185"/>
  <c r="D42" i="185"/>
  <c r="D8" i="185"/>
  <c r="D4" i="185"/>
  <c r="D7" i="185"/>
  <c r="D56" i="185"/>
  <c r="D29" i="185"/>
  <c r="D17" i="185"/>
  <c r="D6" i="185"/>
  <c r="D3" i="185"/>
  <c r="D5" i="185"/>
  <c r="D32" i="185"/>
  <c r="D90" i="185"/>
  <c r="D74" i="185"/>
  <c r="D72" i="185"/>
  <c r="D68" i="185"/>
  <c r="D11" i="185"/>
  <c r="D106" i="185"/>
  <c r="D9" i="185"/>
  <c r="D2" i="185"/>
  <c r="D97" i="185"/>
  <c r="D15" i="185"/>
  <c r="N5" i="184"/>
  <c r="H5" i="184"/>
  <c r="M5" i="184"/>
  <c r="G5" i="184"/>
  <c r="L5" i="184"/>
  <c r="F5" i="184"/>
  <c r="P5" i="184"/>
  <c r="J5" i="184"/>
  <c r="K10" i="184"/>
  <c r="K5" i="184"/>
  <c r="N8" i="184"/>
  <c r="H8" i="184"/>
  <c r="M8" i="184"/>
  <c r="G8" i="184"/>
  <c r="L8" i="184"/>
  <c r="F8" i="184"/>
  <c r="P8" i="184"/>
  <c r="J8" i="184"/>
  <c r="M10" i="184"/>
  <c r="P4" i="184"/>
  <c r="J4" i="184"/>
  <c r="O4" i="184"/>
  <c r="I4" i="184"/>
  <c r="N4" i="184"/>
  <c r="H4" i="184"/>
  <c r="L4" i="184"/>
  <c r="F4" i="184"/>
  <c r="I5" i="184"/>
  <c r="K4" i="184"/>
  <c r="O5" i="184"/>
  <c r="P7" i="184"/>
  <c r="J7" i="184"/>
  <c r="O7" i="184"/>
  <c r="I7" i="184"/>
  <c r="N7" i="184"/>
  <c r="H7" i="184"/>
  <c r="L7" i="184"/>
  <c r="F7" i="184"/>
  <c r="I8" i="184"/>
  <c r="F11" i="184"/>
  <c r="R11" i="184" s="1"/>
  <c r="P10" i="184"/>
  <c r="J10" i="184"/>
  <c r="O10" i="184"/>
  <c r="I10" i="184"/>
  <c r="N10" i="184"/>
  <c r="H10" i="184"/>
  <c r="L10" i="184"/>
  <c r="F10" i="184"/>
  <c r="Q10" i="184" s="1"/>
  <c r="R10" i="184" s="1"/>
  <c r="D105" i="184"/>
  <c r="D99" i="184"/>
  <c r="D71" i="184"/>
  <c r="D69" i="184"/>
  <c r="D67" i="184"/>
  <c r="D66" i="184"/>
  <c r="D65" i="184"/>
  <c r="D64" i="184"/>
  <c r="D60" i="184"/>
  <c r="D57" i="184"/>
  <c r="D54" i="184"/>
  <c r="D53" i="184"/>
  <c r="D52" i="184"/>
  <c r="D51" i="184"/>
  <c r="D50" i="184"/>
  <c r="D49" i="184"/>
  <c r="D36" i="184"/>
  <c r="D106" i="184"/>
  <c r="D98" i="184"/>
  <c r="D79" i="184"/>
  <c r="D56" i="184"/>
  <c r="D55" i="184"/>
  <c r="D32" i="184"/>
  <c r="D29" i="184"/>
  <c r="D104" i="184"/>
  <c r="D94" i="184" s="1"/>
  <c r="D97" i="184"/>
  <c r="D91" i="184"/>
  <c r="D89" i="184"/>
  <c r="D81" i="184"/>
  <c r="D75" i="184"/>
  <c r="D72" i="184"/>
  <c r="D59" i="184"/>
  <c r="D58" i="184"/>
  <c r="D46" i="184"/>
  <c r="D103" i="184"/>
  <c r="D63" i="184"/>
  <c r="D43" i="184"/>
  <c r="D31" i="184"/>
  <c r="D28" i="184"/>
  <c r="D102" i="184"/>
  <c r="D93" i="184" s="1"/>
  <c r="D77" i="184"/>
  <c r="D73" i="184"/>
  <c r="D68" i="184"/>
  <c r="D14" i="184"/>
  <c r="D16" i="184"/>
  <c r="D30" i="184"/>
  <c r="D62" i="184"/>
  <c r="D90" i="184"/>
  <c r="D101" i="184"/>
  <c r="D15" i="184"/>
  <c r="D17" i="184"/>
  <c r="D42" i="184"/>
  <c r="D61" i="184"/>
  <c r="D74" i="184"/>
  <c r="D80" i="184"/>
  <c r="M33" i="184"/>
  <c r="G33" i="184"/>
  <c r="Q33" i="184" s="1"/>
  <c r="K33" i="184"/>
  <c r="J33" i="184"/>
  <c r="P33" i="184"/>
  <c r="I33" i="184"/>
  <c r="O33" i="184"/>
  <c r="H33" i="184"/>
  <c r="D3" i="184"/>
  <c r="D6" i="184"/>
  <c r="D9" i="184"/>
  <c r="L33" i="184"/>
  <c r="D44" i="184"/>
  <c r="D82" i="184"/>
  <c r="D88" i="184"/>
  <c r="D12" i="184"/>
  <c r="D13" i="184"/>
  <c r="D24" i="184"/>
  <c r="D26" i="184"/>
  <c r="D27" i="184"/>
  <c r="N33" i="184"/>
  <c r="P4" i="183"/>
  <c r="J4" i="183"/>
  <c r="K4" i="183"/>
  <c r="I4" i="183"/>
  <c r="N4" i="183"/>
  <c r="L17" i="183"/>
  <c r="H3" i="183"/>
  <c r="F4" i="183"/>
  <c r="Q4" i="183" s="1"/>
  <c r="R4" i="183" s="1"/>
  <c r="O4" i="183"/>
  <c r="I6" i="183"/>
  <c r="N17" i="183"/>
  <c r="P28" i="183"/>
  <c r="J28" i="183"/>
  <c r="I28" i="183"/>
  <c r="M28" i="183"/>
  <c r="F28" i="183"/>
  <c r="Q28" i="183" s="1"/>
  <c r="N28" i="183"/>
  <c r="K28" i="183"/>
  <c r="H28" i="183"/>
  <c r="D102" i="183"/>
  <c r="D90" i="183"/>
  <c r="D104" i="183"/>
  <c r="D94" i="183" s="1"/>
  <c r="D98" i="183"/>
  <c r="D89" i="183"/>
  <c r="D81" i="183"/>
  <c r="D79" i="183"/>
  <c r="D77" i="183"/>
  <c r="D62" i="183"/>
  <c r="D106" i="183"/>
  <c r="D97" i="183"/>
  <c r="D65" i="183"/>
  <c r="D63" i="183"/>
  <c r="D60" i="183"/>
  <c r="D52" i="183"/>
  <c r="D49" i="183"/>
  <c r="D42" i="183"/>
  <c r="D99" i="183"/>
  <c r="D72" i="183"/>
  <c r="D57" i="183"/>
  <c r="D51" i="183"/>
  <c r="D11" i="183"/>
  <c r="D103" i="183"/>
  <c r="D88" i="183"/>
  <c r="D73" i="183"/>
  <c r="D69" i="183"/>
  <c r="D66" i="183"/>
  <c r="D56" i="183"/>
  <c r="D27" i="183"/>
  <c r="D26" i="183"/>
  <c r="D24" i="183"/>
  <c r="D13" i="183"/>
  <c r="D12" i="183"/>
  <c r="D101" i="183"/>
  <c r="D68" i="183"/>
  <c r="D59" i="183"/>
  <c r="D46" i="183"/>
  <c r="D44" i="183"/>
  <c r="D100" i="183"/>
  <c r="D82" i="183"/>
  <c r="D64" i="183"/>
  <c r="D58" i="183"/>
  <c r="D50" i="183"/>
  <c r="D31" i="183"/>
  <c r="D74" i="183"/>
  <c r="D67" i="183"/>
  <c r="D55" i="183"/>
  <c r="D53" i="183"/>
  <c r="D43" i="183"/>
  <c r="D36" i="183"/>
  <c r="D75" i="183"/>
  <c r="D71" i="183"/>
  <c r="D54" i="183"/>
  <c r="D33" i="183"/>
  <c r="D9" i="183"/>
  <c r="D8" i="183"/>
  <c r="D7" i="183"/>
  <c r="D107" i="183"/>
  <c r="D95" i="183" s="1"/>
  <c r="D80" i="183"/>
  <c r="D61" i="183"/>
  <c r="D29" i="183"/>
  <c r="D16" i="183"/>
  <c r="D14" i="183"/>
  <c r="D10" i="183"/>
  <c r="D105" i="183"/>
  <c r="D91" i="183"/>
  <c r="K3" i="183"/>
  <c r="G4" i="183"/>
  <c r="D5" i="183"/>
  <c r="F15" i="183"/>
  <c r="L15" i="183" s="1"/>
  <c r="G28" i="183"/>
  <c r="P17" i="183"/>
  <c r="J17" i="183"/>
  <c r="M17" i="183"/>
  <c r="G17" i="183"/>
  <c r="K17" i="183"/>
  <c r="I17" i="183"/>
  <c r="L30" i="183"/>
  <c r="F30" i="183"/>
  <c r="Q30" i="183" s="1"/>
  <c r="J30" i="183"/>
  <c r="N30" i="183"/>
  <c r="G30" i="183"/>
  <c r="H30" i="183"/>
  <c r="O30" i="183"/>
  <c r="M30" i="183"/>
  <c r="L4" i="183"/>
  <c r="L6" i="183"/>
  <c r="F6" i="183"/>
  <c r="Q6" i="183" s="1"/>
  <c r="K6" i="183"/>
  <c r="J6" i="183"/>
  <c r="O6" i="183"/>
  <c r="F17" i="183"/>
  <c r="O28" i="183"/>
  <c r="I30" i="183"/>
  <c r="L3" i="183"/>
  <c r="F3" i="183"/>
  <c r="J3" i="183"/>
  <c r="P3" i="183"/>
  <c r="I3" i="183"/>
  <c r="O3" i="183"/>
  <c r="M4" i="183"/>
  <c r="H17" i="183"/>
  <c r="D25" i="183"/>
  <c r="K30" i="183"/>
  <c r="N32" i="183"/>
  <c r="H32" i="183"/>
  <c r="K32" i="183"/>
  <c r="O32" i="183"/>
  <c r="G32" i="183"/>
  <c r="L32" i="183"/>
  <c r="J32" i="183"/>
  <c r="I32" i="183"/>
  <c r="F32" i="183"/>
  <c r="Q32" i="183" s="1"/>
  <c r="J50" i="182"/>
  <c r="I50" i="182"/>
  <c r="N50" i="182"/>
  <c r="G50" i="182"/>
  <c r="F50" i="182"/>
  <c r="M50" i="182"/>
  <c r="H50" i="182"/>
  <c r="L50" i="182"/>
  <c r="K50" i="182"/>
  <c r="M74" i="182"/>
  <c r="G74" i="182"/>
  <c r="K74" i="182"/>
  <c r="I74" i="182"/>
  <c r="L74" i="182"/>
  <c r="H74" i="182"/>
  <c r="N74" i="182"/>
  <c r="J74" i="182"/>
  <c r="F74" i="182"/>
  <c r="K9" i="182"/>
  <c r="O30" i="182"/>
  <c r="M75" i="182"/>
  <c r="G75" i="182"/>
  <c r="N75" i="182"/>
  <c r="F75" i="182"/>
  <c r="K75" i="182"/>
  <c r="O75" i="182" s="1"/>
  <c r="J75" i="182"/>
  <c r="H75" i="182"/>
  <c r="L75" i="182"/>
  <c r="F88" i="182"/>
  <c r="D102" i="182"/>
  <c r="D104" i="182"/>
  <c r="D94" i="182" s="1"/>
  <c r="D98" i="182"/>
  <c r="D89" i="182"/>
  <c r="D81" i="182"/>
  <c r="D79" i="182"/>
  <c r="D77" i="182"/>
  <c r="D62" i="182"/>
  <c r="D101" i="182"/>
  <c r="D91" i="182"/>
  <c r="D67" i="182"/>
  <c r="D64" i="182"/>
  <c r="D56" i="182"/>
  <c r="D55" i="182"/>
  <c r="D54" i="182"/>
  <c r="D51" i="182"/>
  <c r="D107" i="182"/>
  <c r="D95" i="182" s="1"/>
  <c r="D99" i="182"/>
  <c r="D65" i="182"/>
  <c r="D63" i="182"/>
  <c r="D60" i="182"/>
  <c r="D52" i="182"/>
  <c r="D49" i="182"/>
  <c r="D42" i="182"/>
  <c r="D103" i="182"/>
  <c r="D80" i="182"/>
  <c r="D68" i="182"/>
  <c r="D44" i="182"/>
  <c r="D33" i="182"/>
  <c r="D32" i="182"/>
  <c r="D31" i="182"/>
  <c r="D27" i="182"/>
  <c r="D26" i="182"/>
  <c r="D24" i="182"/>
  <c r="D13" i="182"/>
  <c r="D12" i="182"/>
  <c r="D97" i="182"/>
  <c r="D36" i="182"/>
  <c r="D17" i="182"/>
  <c r="D15" i="182"/>
  <c r="D29" i="182"/>
  <c r="D10" i="182"/>
  <c r="D8" i="182"/>
  <c r="D72" i="182"/>
  <c r="D58" i="182"/>
  <c r="D57" i="182"/>
  <c r="D16" i="182"/>
  <c r="D14" i="182"/>
  <c r="D66" i="182"/>
  <c r="D53" i="182"/>
  <c r="D106" i="182"/>
  <c r="D90" i="182"/>
  <c r="D82" i="182"/>
  <c r="D73" i="182"/>
  <c r="D71" i="182"/>
  <c r="D61" i="182"/>
  <c r="D59" i="182"/>
  <c r="D46" i="182"/>
  <c r="D28" i="182"/>
  <c r="D11" i="182"/>
  <c r="D105" i="182"/>
  <c r="D69" i="182"/>
  <c r="D43" i="182"/>
  <c r="D6" i="182"/>
  <c r="D7" i="182"/>
  <c r="R40" i="182"/>
  <c r="I75" i="182"/>
  <c r="L9" i="182"/>
  <c r="F9" i="182"/>
  <c r="P9" i="182"/>
  <c r="J9" i="182"/>
  <c r="I9" i="182"/>
  <c r="H9" i="182"/>
  <c r="O9" i="182"/>
  <c r="G9" i="182"/>
  <c r="P3" i="182"/>
  <c r="J3" i="182"/>
  <c r="O3" i="182"/>
  <c r="H3" i="182"/>
  <c r="N3" i="182"/>
  <c r="G3" i="182"/>
  <c r="M3" i="182"/>
  <c r="F3" i="182"/>
  <c r="N4" i="182"/>
  <c r="H4" i="182"/>
  <c r="P4" i="182"/>
  <c r="I4" i="182"/>
  <c r="O4" i="182"/>
  <c r="G4" i="182"/>
  <c r="M4" i="182"/>
  <c r="F4" i="182"/>
  <c r="L5" i="182"/>
  <c r="F5" i="182"/>
  <c r="P5" i="182"/>
  <c r="I5" i="182"/>
  <c r="O5" i="182"/>
  <c r="H5" i="182"/>
  <c r="N5" i="182"/>
  <c r="G5" i="182"/>
  <c r="N9" i="182"/>
  <c r="L30" i="182"/>
  <c r="F30" i="182"/>
  <c r="Q30" i="182" s="1"/>
  <c r="K30" i="182"/>
  <c r="P30" i="182"/>
  <c r="I30" i="182"/>
  <c r="M30" i="182"/>
  <c r="G30" i="182"/>
  <c r="J30" i="182"/>
  <c r="H30" i="182"/>
  <c r="I3" i="182"/>
  <c r="J4" i="182"/>
  <c r="M8" i="181"/>
  <c r="G8" i="181"/>
  <c r="O8" i="181"/>
  <c r="H8" i="181"/>
  <c r="N8" i="181"/>
  <c r="F8" i="181"/>
  <c r="Q8" i="181" s="1"/>
  <c r="D76" i="181"/>
  <c r="F71" i="181"/>
  <c r="K7" i="181"/>
  <c r="I8" i="181"/>
  <c r="L10" i="181"/>
  <c r="M13" i="181"/>
  <c r="G13" i="181"/>
  <c r="P13" i="181"/>
  <c r="J13" i="181"/>
  <c r="I13" i="181"/>
  <c r="Q13" i="181"/>
  <c r="H13" i="181"/>
  <c r="M17" i="181"/>
  <c r="O31" i="181"/>
  <c r="I31" i="181"/>
  <c r="K31" i="181"/>
  <c r="N31" i="181"/>
  <c r="G31" i="181"/>
  <c r="L31" i="181"/>
  <c r="J31" i="181"/>
  <c r="H31" i="181"/>
  <c r="Q31" i="181" s="1"/>
  <c r="J53" i="181"/>
  <c r="M53" i="181"/>
  <c r="F53" i="181"/>
  <c r="K53" i="181"/>
  <c r="O53" i="181"/>
  <c r="G53" i="181"/>
  <c r="R53" i="181" s="1"/>
  <c r="L53" i="181"/>
  <c r="I53" i="181"/>
  <c r="H53" i="181"/>
  <c r="N55" i="181"/>
  <c r="H55" i="181"/>
  <c r="P55" i="181"/>
  <c r="I55" i="181"/>
  <c r="K55" i="181"/>
  <c r="O55" i="181"/>
  <c r="F55" i="181"/>
  <c r="L55" i="181"/>
  <c r="J55" i="181"/>
  <c r="G55" i="181"/>
  <c r="H67" i="181"/>
  <c r="R67" i="181" s="1"/>
  <c r="J8" i="181"/>
  <c r="M10" i="181"/>
  <c r="F13" i="181"/>
  <c r="R13" i="181" s="1"/>
  <c r="F15" i="181"/>
  <c r="O28" i="181"/>
  <c r="I28" i="181"/>
  <c r="J28" i="181"/>
  <c r="M28" i="181"/>
  <c r="F28" i="181"/>
  <c r="Q28" i="181" s="1"/>
  <c r="K28" i="181"/>
  <c r="H28" i="181"/>
  <c r="G28" i="181"/>
  <c r="F31" i="181"/>
  <c r="K46" i="181"/>
  <c r="K47" i="181" s="1"/>
  <c r="R46" i="181"/>
  <c r="N46" i="181"/>
  <c r="N47" i="181" s="1"/>
  <c r="D47" i="181"/>
  <c r="F46" i="181"/>
  <c r="F47" i="181" s="1"/>
  <c r="N53" i="181"/>
  <c r="M55" i="181"/>
  <c r="P54" i="181"/>
  <c r="J54" i="181"/>
  <c r="O54" i="181"/>
  <c r="H54" i="181"/>
  <c r="Q54" i="181"/>
  <c r="G54" i="181"/>
  <c r="L54" i="181"/>
  <c r="M54" i="181"/>
  <c r="K54" i="181"/>
  <c r="I54" i="181"/>
  <c r="K8" i="181"/>
  <c r="O7" i="181"/>
  <c r="I7" i="181"/>
  <c r="N7" i="181"/>
  <c r="G7" i="181"/>
  <c r="M7" i="181"/>
  <c r="F7" i="181"/>
  <c r="L8" i="181"/>
  <c r="F10" i="181"/>
  <c r="L13" i="181"/>
  <c r="F24" i="181"/>
  <c r="J52" i="181"/>
  <c r="K52" i="181"/>
  <c r="N52" i="181"/>
  <c r="F52" i="181"/>
  <c r="I52" i="181"/>
  <c r="L52" i="181"/>
  <c r="H52" i="181"/>
  <c r="G52" i="181"/>
  <c r="F54" i="181"/>
  <c r="F63" i="181"/>
  <c r="R63" i="181" s="1"/>
  <c r="O10" i="181"/>
  <c r="I10" i="181"/>
  <c r="P10" i="181"/>
  <c r="H10" i="181"/>
  <c r="N10" i="181"/>
  <c r="G10" i="181"/>
  <c r="Q10" i="181" s="1"/>
  <c r="O17" i="181"/>
  <c r="I17" i="181"/>
  <c r="L17" i="181"/>
  <c r="F17" i="181"/>
  <c r="Q17" i="181" s="1"/>
  <c r="H17" i="181"/>
  <c r="P17" i="181"/>
  <c r="G17" i="181"/>
  <c r="R43" i="181"/>
  <c r="H7" i="181"/>
  <c r="P8" i="181"/>
  <c r="J10" i="181"/>
  <c r="R11" i="181"/>
  <c r="N13" i="181"/>
  <c r="J17" i="181"/>
  <c r="M52" i="181"/>
  <c r="N54" i="181"/>
  <c r="M61" i="181"/>
  <c r="G61" i="181"/>
  <c r="O61" i="181"/>
  <c r="H61" i="181"/>
  <c r="P61" i="181"/>
  <c r="F61" i="181"/>
  <c r="K61" i="181"/>
  <c r="N61" i="181"/>
  <c r="L61" i="181"/>
  <c r="M74" i="181"/>
  <c r="G74" i="181"/>
  <c r="H74" i="181"/>
  <c r="K74" i="181"/>
  <c r="F74" i="181"/>
  <c r="O74" i="181" s="1"/>
  <c r="F75" i="181"/>
  <c r="D104" i="181"/>
  <c r="D94" i="181" s="1"/>
  <c r="D98" i="181"/>
  <c r="D89" i="181"/>
  <c r="D81" i="181"/>
  <c r="D79" i="181"/>
  <c r="D77" i="181"/>
  <c r="D62" i="181"/>
  <c r="D101" i="181"/>
  <c r="D90" i="181"/>
  <c r="D73" i="181"/>
  <c r="D68" i="181"/>
  <c r="D44" i="181"/>
  <c r="D36" i="181"/>
  <c r="D33" i="181"/>
  <c r="D30" i="181"/>
  <c r="D27" i="181"/>
  <c r="D102" i="181"/>
  <c r="D69" i="181"/>
  <c r="D66" i="181"/>
  <c r="D56" i="181"/>
  <c r="D16" i="181"/>
  <c r="D14" i="181"/>
  <c r="D106" i="181"/>
  <c r="D97" i="181"/>
  <c r="D92" i="181" s="1"/>
  <c r="D88" i="181"/>
  <c r="D72" i="181"/>
  <c r="D65" i="181"/>
  <c r="D57" i="181"/>
  <c r="D51" i="181"/>
  <c r="D42" i="181"/>
  <c r="D9" i="181"/>
  <c r="D6" i="181"/>
  <c r="D3" i="181"/>
  <c r="D4" i="181"/>
  <c r="D5" i="181"/>
  <c r="D12" i="181"/>
  <c r="N26" i="181"/>
  <c r="D32" i="181"/>
  <c r="D49" i="181"/>
  <c r="D50" i="181"/>
  <c r="D58" i="181"/>
  <c r="D64" i="181"/>
  <c r="I74" i="181"/>
  <c r="I75" i="181"/>
  <c r="D82" i="181"/>
  <c r="D2" i="181"/>
  <c r="D29" i="181"/>
  <c r="D59" i="181"/>
  <c r="D60" i="181"/>
  <c r="J74" i="181"/>
  <c r="K75" i="181"/>
  <c r="D99" i="181"/>
  <c r="M26" i="181"/>
  <c r="P26" i="181"/>
  <c r="H26" i="181"/>
  <c r="K26" i="181"/>
  <c r="L74" i="181"/>
  <c r="M75" i="181"/>
  <c r="G75" i="181"/>
  <c r="J75" i="181"/>
  <c r="H75" i="181"/>
  <c r="L75" i="181"/>
  <c r="R80" i="181"/>
  <c r="G37" i="180"/>
  <c r="N58" i="180"/>
  <c r="H58" i="180"/>
  <c r="Q58" i="180" s="1"/>
  <c r="R58" i="180" s="1"/>
  <c r="M58" i="180"/>
  <c r="F58" i="180"/>
  <c r="L58" i="180"/>
  <c r="I58" i="180"/>
  <c r="P58" i="180"/>
  <c r="G58" i="180"/>
  <c r="I5" i="180"/>
  <c r="I12" i="180"/>
  <c r="H17" i="180"/>
  <c r="P17" i="180"/>
  <c r="I30" i="180"/>
  <c r="F49" i="180"/>
  <c r="H53" i="180"/>
  <c r="J58" i="180"/>
  <c r="J3" i="180"/>
  <c r="J4" i="180"/>
  <c r="K5" i="180"/>
  <c r="K6" i="180"/>
  <c r="P8" i="180"/>
  <c r="J8" i="180"/>
  <c r="L8" i="180"/>
  <c r="N9" i="180"/>
  <c r="H9" i="180"/>
  <c r="L9" i="180"/>
  <c r="L10" i="180"/>
  <c r="F10" i="180"/>
  <c r="Q10" i="180" s="1"/>
  <c r="M10" i="180"/>
  <c r="F11" i="180"/>
  <c r="R11" i="180" s="1"/>
  <c r="J12" i="180"/>
  <c r="M13" i="180"/>
  <c r="G13" i="180"/>
  <c r="L13" i="180"/>
  <c r="F15" i="180"/>
  <c r="J17" i="180"/>
  <c r="J30" i="180"/>
  <c r="L31" i="180"/>
  <c r="F31" i="180"/>
  <c r="O31" i="180"/>
  <c r="H31" i="180"/>
  <c r="N31" i="180"/>
  <c r="G31" i="180"/>
  <c r="R31" i="180" s="1"/>
  <c r="Q31" i="180"/>
  <c r="J52" i="180"/>
  <c r="N52" i="180"/>
  <c r="G52" i="180"/>
  <c r="F52" i="180"/>
  <c r="K52" i="180"/>
  <c r="I52" i="180"/>
  <c r="K53" i="180"/>
  <c r="K58" i="180"/>
  <c r="J49" i="180"/>
  <c r="N49" i="180"/>
  <c r="G49" i="180"/>
  <c r="H49" i="180"/>
  <c r="L49" i="180"/>
  <c r="K49" i="180"/>
  <c r="P5" i="180"/>
  <c r="J5" i="180"/>
  <c r="L5" i="180"/>
  <c r="N6" i="180"/>
  <c r="H6" i="180"/>
  <c r="L6" i="180"/>
  <c r="L7" i="180"/>
  <c r="F7" i="180"/>
  <c r="M7" i="180"/>
  <c r="L15" i="180"/>
  <c r="R15" i="180" s="1"/>
  <c r="K17" i="180"/>
  <c r="P26" i="180"/>
  <c r="I26" i="180"/>
  <c r="M26" i="180"/>
  <c r="K26" i="180"/>
  <c r="K37" i="180" s="1"/>
  <c r="M49" i="180"/>
  <c r="O58" i="180"/>
  <c r="N30" i="180"/>
  <c r="H30" i="180"/>
  <c r="Q30" i="180" s="1"/>
  <c r="O30" i="180"/>
  <c r="G30" i="180"/>
  <c r="R30" i="180" s="1"/>
  <c r="M30" i="180"/>
  <c r="F30" i="180"/>
  <c r="N3" i="180"/>
  <c r="H3" i="180"/>
  <c r="L3" i="180"/>
  <c r="M6" i="180"/>
  <c r="L24" i="180"/>
  <c r="F26" i="180"/>
  <c r="F37" i="180" s="1"/>
  <c r="P29" i="180"/>
  <c r="J29" i="180"/>
  <c r="J37" i="180" s="1"/>
  <c r="N29" i="180"/>
  <c r="G29" i="180"/>
  <c r="M29" i="180"/>
  <c r="F29" i="180"/>
  <c r="L30" i="180"/>
  <c r="F36" i="180"/>
  <c r="L44" i="180"/>
  <c r="L45" i="180" s="1"/>
  <c r="J53" i="180"/>
  <c r="I53" i="180"/>
  <c r="R53" i="180" s="1"/>
  <c r="L53" i="180"/>
  <c r="G53" i="180"/>
  <c r="O53" i="180" s="1"/>
  <c r="N53" i="180"/>
  <c r="F53" i="180"/>
  <c r="R71" i="180"/>
  <c r="L4" i="180"/>
  <c r="F4" i="180"/>
  <c r="M4" i="180"/>
  <c r="F5" i="180"/>
  <c r="Q5" i="180" s="1"/>
  <c r="M5" i="180"/>
  <c r="F6" i="180"/>
  <c r="M12" i="180"/>
  <c r="G12" i="180"/>
  <c r="L12" i="180"/>
  <c r="O17" i="180"/>
  <c r="I17" i="180"/>
  <c r="L17" i="180"/>
  <c r="F3" i="180"/>
  <c r="M3" i="180"/>
  <c r="G4" i="180"/>
  <c r="N4" i="180"/>
  <c r="G5" i="180"/>
  <c r="N5" i="180"/>
  <c r="G6" i="180"/>
  <c r="O6" i="180"/>
  <c r="H7" i="180"/>
  <c r="O7" i="180"/>
  <c r="F12" i="180"/>
  <c r="O12" i="180" s="1"/>
  <c r="N12" i="180"/>
  <c r="F17" i="180"/>
  <c r="Q17" i="180" s="1"/>
  <c r="M17" i="180"/>
  <c r="F24" i="180"/>
  <c r="R24" i="180" s="1"/>
  <c r="H26" i="180"/>
  <c r="H29" i="180"/>
  <c r="P30" i="180"/>
  <c r="D37" i="180"/>
  <c r="K74" i="180"/>
  <c r="M74" i="180"/>
  <c r="G74" i="180"/>
  <c r="L74" i="180"/>
  <c r="N74" i="180"/>
  <c r="J74" i="180"/>
  <c r="I74" i="180"/>
  <c r="H74" i="180"/>
  <c r="F74" i="180"/>
  <c r="N27" i="180"/>
  <c r="N37" i="180" s="1"/>
  <c r="H27" i="180"/>
  <c r="L27" i="180"/>
  <c r="L28" i="180"/>
  <c r="F28" i="180"/>
  <c r="M28" i="180"/>
  <c r="G32" i="180"/>
  <c r="N32" i="180"/>
  <c r="G33" i="180"/>
  <c r="P33" i="180"/>
  <c r="G50" i="180"/>
  <c r="J59" i="180"/>
  <c r="J61" i="180"/>
  <c r="H66" i="180"/>
  <c r="R69" i="180"/>
  <c r="J73" i="180"/>
  <c r="D102" i="180"/>
  <c r="D93" i="180" s="1"/>
  <c r="D90" i="180"/>
  <c r="D75" i="180"/>
  <c r="D104" i="180"/>
  <c r="D94" i="180" s="1"/>
  <c r="D98" i="180"/>
  <c r="D89" i="180"/>
  <c r="D81" i="180"/>
  <c r="D79" i="180"/>
  <c r="D77" i="180"/>
  <c r="D62" i="180"/>
  <c r="D106" i="180"/>
  <c r="D97" i="180"/>
  <c r="D92" i="180" s="1"/>
  <c r="D80" i="180"/>
  <c r="D67" i="180"/>
  <c r="D64" i="180"/>
  <c r="D56" i="180"/>
  <c r="D55" i="180"/>
  <c r="D54" i="180"/>
  <c r="D51" i="180"/>
  <c r="D70" i="180" s="1"/>
  <c r="D46" i="180"/>
  <c r="D43" i="180"/>
  <c r="D14" i="180"/>
  <c r="D16" i="180"/>
  <c r="F27" i="180"/>
  <c r="M27" i="180"/>
  <c r="G28" i="180"/>
  <c r="N28" i="180"/>
  <c r="H32" i="180"/>
  <c r="I33" i="180"/>
  <c r="D42" i="180"/>
  <c r="D57" i="180"/>
  <c r="K59" i="180"/>
  <c r="F60" i="180"/>
  <c r="R60" i="180" s="1"/>
  <c r="D65" i="180"/>
  <c r="D72" i="180"/>
  <c r="D82" i="180"/>
  <c r="D88" i="180"/>
  <c r="D103" i="180"/>
  <c r="M61" i="180"/>
  <c r="G61" i="180"/>
  <c r="K61" i="180"/>
  <c r="N61" i="180"/>
  <c r="D109" i="180"/>
  <c r="L59" i="180"/>
  <c r="F59" i="180"/>
  <c r="N59" i="180"/>
  <c r="G59" i="180"/>
  <c r="O59" i="180"/>
  <c r="F61" i="180"/>
  <c r="O61" i="180"/>
  <c r="J66" i="180"/>
  <c r="I66" i="180"/>
  <c r="M66" i="180"/>
  <c r="F68" i="180"/>
  <c r="R68" i="180" s="1"/>
  <c r="M73" i="180"/>
  <c r="G73" i="180"/>
  <c r="I73" i="180"/>
  <c r="N73" i="180"/>
  <c r="P32" i="180"/>
  <c r="J32" i="180"/>
  <c r="L32" i="180"/>
  <c r="L33" i="180"/>
  <c r="O33" i="180"/>
  <c r="O37" i="180" s="1"/>
  <c r="H33" i="180"/>
  <c r="M33" i="180"/>
  <c r="J50" i="180"/>
  <c r="I50" i="180"/>
  <c r="O50" i="180" s="1"/>
  <c r="R50" i="180" s="1"/>
  <c r="M50" i="180"/>
  <c r="H59" i="180"/>
  <c r="P59" i="180"/>
  <c r="H61" i="180"/>
  <c r="P61" i="180"/>
  <c r="F63" i="180"/>
  <c r="R63" i="180" s="1"/>
  <c r="F66" i="180"/>
  <c r="N66" i="180"/>
  <c r="D76" i="180"/>
  <c r="F73" i="180"/>
  <c r="O73" i="180" s="1"/>
  <c r="O7" i="179"/>
  <c r="I7" i="179"/>
  <c r="K7" i="179"/>
  <c r="J7" i="179"/>
  <c r="N7" i="179"/>
  <c r="P31" i="179"/>
  <c r="J31" i="179"/>
  <c r="N31" i="179"/>
  <c r="G31" i="179"/>
  <c r="M31" i="179"/>
  <c r="F31" i="179"/>
  <c r="I31" i="179"/>
  <c r="Q31" i="179" s="1"/>
  <c r="L31" i="179"/>
  <c r="K31" i="179"/>
  <c r="H31" i="179"/>
  <c r="N58" i="179"/>
  <c r="H58" i="179"/>
  <c r="K58" i="179"/>
  <c r="L58" i="179"/>
  <c r="J58" i="179"/>
  <c r="O58" i="179"/>
  <c r="F58" i="179"/>
  <c r="Q58" i="179"/>
  <c r="R58" i="179" s="1"/>
  <c r="P58" i="179"/>
  <c r="M58" i="179"/>
  <c r="M8" i="179"/>
  <c r="G8" i="179"/>
  <c r="K8" i="179"/>
  <c r="J8" i="179"/>
  <c r="O8" i="179"/>
  <c r="K17" i="179"/>
  <c r="O27" i="179"/>
  <c r="O31" i="179"/>
  <c r="R40" i="179"/>
  <c r="H50" i="179"/>
  <c r="G58" i="179"/>
  <c r="D104" i="179"/>
  <c r="D94" i="179" s="1"/>
  <c r="D98" i="179"/>
  <c r="D89" i="179"/>
  <c r="D81" i="179"/>
  <c r="D79" i="179"/>
  <c r="D77" i="179"/>
  <c r="D62" i="179"/>
  <c r="D102" i="179"/>
  <c r="D93" i="179" s="1"/>
  <c r="D65" i="179"/>
  <c r="D63" i="179"/>
  <c r="D60" i="179"/>
  <c r="D52" i="179"/>
  <c r="D49" i="179"/>
  <c r="D42" i="179"/>
  <c r="D103" i="179"/>
  <c r="D73" i="179"/>
  <c r="D69" i="179"/>
  <c r="D66" i="179"/>
  <c r="D56" i="179"/>
  <c r="D101" i="179"/>
  <c r="D82" i="179"/>
  <c r="D68" i="179"/>
  <c r="D61" i="179"/>
  <c r="D59" i="179"/>
  <c r="D46" i="179"/>
  <c r="D30" i="179"/>
  <c r="D29" i="179"/>
  <c r="D28" i="179"/>
  <c r="D106" i="179"/>
  <c r="D97" i="179"/>
  <c r="D90" i="179"/>
  <c r="D88" i="179"/>
  <c r="D74" i="179"/>
  <c r="D67" i="179"/>
  <c r="D55" i="179"/>
  <c r="D53" i="179"/>
  <c r="D36" i="179"/>
  <c r="D9" i="179"/>
  <c r="D6" i="179"/>
  <c r="D3" i="179"/>
  <c r="D107" i="179"/>
  <c r="D95" i="179" s="1"/>
  <c r="D75" i="179"/>
  <c r="D54" i="179"/>
  <c r="D43" i="179"/>
  <c r="D16" i="179"/>
  <c r="D14" i="179"/>
  <c r="D13" i="179"/>
  <c r="D11" i="179"/>
  <c r="D10" i="179"/>
  <c r="D105" i="179"/>
  <c r="D80" i="179"/>
  <c r="D72" i="179"/>
  <c r="D51" i="179"/>
  <c r="D24" i="179"/>
  <c r="D100" i="179"/>
  <c r="D71" i="179"/>
  <c r="G4" i="179"/>
  <c r="Q4" i="179" s="1"/>
  <c r="D5" i="179"/>
  <c r="H7" i="179"/>
  <c r="F8" i="179"/>
  <c r="Q8" i="179" s="1"/>
  <c r="P8" i="179"/>
  <c r="D12" i="179"/>
  <c r="M17" i="179"/>
  <c r="D26" i="179"/>
  <c r="I58" i="179"/>
  <c r="D2" i="179"/>
  <c r="K4" i="179"/>
  <c r="L7" i="179"/>
  <c r="H8" i="179"/>
  <c r="D32" i="179"/>
  <c r="D44" i="179"/>
  <c r="D64" i="179"/>
  <c r="L4" i="179"/>
  <c r="M7" i="179"/>
  <c r="I8" i="179"/>
  <c r="D57" i="179"/>
  <c r="N27" i="179"/>
  <c r="H27" i="179"/>
  <c r="M27" i="179"/>
  <c r="G27" i="179"/>
  <c r="P27" i="179"/>
  <c r="J27" i="179"/>
  <c r="L27" i="179"/>
  <c r="K27" i="179"/>
  <c r="I27" i="179"/>
  <c r="P17" i="179"/>
  <c r="J17" i="179"/>
  <c r="O17" i="179"/>
  <c r="L17" i="179"/>
  <c r="F17" i="179"/>
  <c r="I17" i="179"/>
  <c r="H17" i="179"/>
  <c r="G17" i="179"/>
  <c r="Q17" i="179" s="1"/>
  <c r="F27" i="179"/>
  <c r="Q27" i="179" s="1"/>
  <c r="L33" i="179"/>
  <c r="M33" i="179"/>
  <c r="F33" i="179"/>
  <c r="Q33" i="179" s="1"/>
  <c r="P33" i="179"/>
  <c r="H33" i="179"/>
  <c r="O33" i="179"/>
  <c r="G33" i="179"/>
  <c r="J33" i="179"/>
  <c r="N33" i="179"/>
  <c r="K33" i="179"/>
  <c r="I33" i="179"/>
  <c r="F4" i="179"/>
  <c r="R4" i="179" s="1"/>
  <c r="G7" i="179"/>
  <c r="F15" i="179"/>
  <c r="L15" i="179" s="1"/>
  <c r="R15" i="179" s="1"/>
  <c r="O4" i="179"/>
  <c r="I4" i="179"/>
  <c r="J4" i="179"/>
  <c r="P4" i="179"/>
  <c r="H4" i="179"/>
  <c r="N4" i="179"/>
  <c r="F7" i="179"/>
  <c r="Q7" i="179" s="1"/>
  <c r="R7" i="179" s="1"/>
  <c r="P7" i="179"/>
  <c r="J50" i="179"/>
  <c r="N50" i="179"/>
  <c r="G50" i="179"/>
  <c r="L50" i="179"/>
  <c r="K50" i="179"/>
  <c r="F50" i="179"/>
  <c r="M50" i="179"/>
  <c r="M3" i="178"/>
  <c r="G3" i="178"/>
  <c r="Q3" i="178" s="1"/>
  <c r="J3" i="178"/>
  <c r="L3" i="178"/>
  <c r="K3" i="178"/>
  <c r="I3" i="178"/>
  <c r="P3" i="178"/>
  <c r="H3" i="178"/>
  <c r="O3" i="178"/>
  <c r="F3" i="178"/>
  <c r="N3" i="178"/>
  <c r="F11" i="178"/>
  <c r="R11" i="178" s="1"/>
  <c r="L30" i="178"/>
  <c r="F30" i="178"/>
  <c r="K30" i="178"/>
  <c r="J30" i="178"/>
  <c r="P30" i="178"/>
  <c r="I30" i="178"/>
  <c r="M30" i="178"/>
  <c r="H30" i="178"/>
  <c r="Q30" i="178" s="1"/>
  <c r="N30" i="178"/>
  <c r="G30" i="178"/>
  <c r="O30" i="178"/>
  <c r="D16" i="178"/>
  <c r="D29" i="178"/>
  <c r="D2" i="178"/>
  <c r="D12" i="178"/>
  <c r="D14" i="178"/>
  <c r="D102" i="178"/>
  <c r="D90" i="178"/>
  <c r="D75" i="178"/>
  <c r="D74" i="178"/>
  <c r="D73" i="178"/>
  <c r="D72" i="178"/>
  <c r="D68" i="178"/>
  <c r="D63" i="178"/>
  <c r="D61" i="178"/>
  <c r="D46" i="178"/>
  <c r="D107" i="178"/>
  <c r="D95" i="178" s="1"/>
  <c r="D101" i="178"/>
  <c r="D82" i="178"/>
  <c r="D80" i="178"/>
  <c r="D58" i="178"/>
  <c r="D55" i="178"/>
  <c r="D106" i="178"/>
  <c r="D100" i="178"/>
  <c r="D91" i="178"/>
  <c r="D88" i="178"/>
  <c r="D43" i="178"/>
  <c r="D105" i="178"/>
  <c r="D99" i="178"/>
  <c r="D71" i="178"/>
  <c r="D69" i="178"/>
  <c r="D67" i="178"/>
  <c r="D66" i="178"/>
  <c r="D65" i="178"/>
  <c r="D64" i="178"/>
  <c r="D60" i="178"/>
  <c r="D57" i="178"/>
  <c r="D54" i="178"/>
  <c r="D53" i="178"/>
  <c r="D52" i="178"/>
  <c r="D51" i="178"/>
  <c r="D50" i="178"/>
  <c r="D49" i="178"/>
  <c r="D36" i="178"/>
  <c r="D104" i="178"/>
  <c r="D94" i="178" s="1"/>
  <c r="D98" i="178"/>
  <c r="D89" i="178"/>
  <c r="D81" i="178"/>
  <c r="D79" i="178"/>
  <c r="D77" i="178"/>
  <c r="D62" i="178"/>
  <c r="D97" i="178"/>
  <c r="D10" i="178"/>
  <c r="D7" i="178"/>
  <c r="D4" i="178"/>
  <c r="D59" i="178"/>
  <c r="D44" i="178"/>
  <c r="D33" i="178"/>
  <c r="D32" i="178"/>
  <c r="D31" i="178"/>
  <c r="D103" i="178"/>
  <c r="D42" i="178"/>
  <c r="D13" i="178"/>
  <c r="D9" i="178"/>
  <c r="D8" i="178"/>
  <c r="D56" i="178"/>
  <c r="D26" i="178"/>
  <c r="D15" i="178"/>
  <c r="D5" i="178"/>
  <c r="D17" i="178"/>
  <c r="D27" i="178"/>
  <c r="D6" i="178"/>
  <c r="D25" i="178" s="1"/>
  <c r="D24" i="178"/>
  <c r="D28" i="178"/>
  <c r="D104" i="177"/>
  <c r="D94" i="177" s="1"/>
  <c r="D98" i="177"/>
  <c r="D89" i="177"/>
  <c r="D81" i="177"/>
  <c r="D79" i="177"/>
  <c r="D77" i="177"/>
  <c r="D62" i="177"/>
  <c r="D101" i="177"/>
  <c r="D90" i="177"/>
  <c r="D73" i="177"/>
  <c r="D68" i="177"/>
  <c r="D44" i="177"/>
  <c r="D36" i="177"/>
  <c r="D33" i="177"/>
  <c r="D30" i="177"/>
  <c r="D27" i="177"/>
  <c r="D102" i="177"/>
  <c r="D100" i="177"/>
  <c r="D91" i="177"/>
  <c r="D82" i="177"/>
  <c r="D106" i="177"/>
  <c r="D97" i="177"/>
  <c r="D92" i="177" s="1"/>
  <c r="D88" i="177"/>
  <c r="D72" i="177"/>
  <c r="D65" i="177"/>
  <c r="D57" i="177"/>
  <c r="D51" i="177"/>
  <c r="D42" i="177"/>
  <c r="D9" i="177"/>
  <c r="D6" i="177"/>
  <c r="D3" i="177"/>
  <c r="D105" i="177"/>
  <c r="D74" i="177"/>
  <c r="D67" i="177"/>
  <c r="D60" i="177"/>
  <c r="D55" i="177"/>
  <c r="D53" i="177"/>
  <c r="F7" i="177"/>
  <c r="F8" i="177"/>
  <c r="N8" i="177"/>
  <c r="D2" i="177"/>
  <c r="G7" i="177"/>
  <c r="N7" i="177"/>
  <c r="O8" i="177"/>
  <c r="D17" i="177"/>
  <c r="D32" i="177"/>
  <c r="H7" i="177"/>
  <c r="P7" i="177"/>
  <c r="I8" i="177"/>
  <c r="P8" i="177"/>
  <c r="D29" i="177"/>
  <c r="D61" i="177"/>
  <c r="J7" i="177"/>
  <c r="J8" i="177"/>
  <c r="D26" i="177"/>
  <c r="D31" i="177"/>
  <c r="D54" i="177"/>
  <c r="D75" i="177"/>
  <c r="D99" i="177"/>
  <c r="K7" i="177"/>
  <c r="K8" i="177"/>
  <c r="D10" i="177"/>
  <c r="D11" i="177"/>
  <c r="D13" i="177"/>
  <c r="D14" i="177"/>
  <c r="D15" i="177"/>
  <c r="D28" i="177"/>
  <c r="D43" i="177"/>
  <c r="D46" i="177"/>
  <c r="D52" i="177"/>
  <c r="D63" i="177"/>
  <c r="D71" i="177"/>
  <c r="D80" i="177"/>
  <c r="D103" i="177"/>
  <c r="M8" i="177"/>
  <c r="G8" i="177"/>
  <c r="D56" i="177"/>
  <c r="D66" i="177"/>
  <c r="D107" i="177"/>
  <c r="D95" i="177" s="1"/>
  <c r="O7" i="177"/>
  <c r="I7" i="177"/>
  <c r="Q7" i="177" s="1"/>
  <c r="L8" i="177"/>
  <c r="D49" i="177"/>
  <c r="D4" i="177"/>
  <c r="D5" i="177"/>
  <c r="M7" i="177"/>
  <c r="D12" i="177"/>
  <c r="D24" i="177"/>
  <c r="D50" i="177"/>
  <c r="D58" i="177"/>
  <c r="D59" i="177"/>
  <c r="D64" i="177"/>
  <c r="L7" i="177"/>
  <c r="H8" i="177"/>
  <c r="D16" i="177"/>
  <c r="D69" i="177"/>
  <c r="P8" i="176"/>
  <c r="J8" i="176"/>
  <c r="K8" i="176"/>
  <c r="I8" i="176"/>
  <c r="P5" i="176"/>
  <c r="J5" i="176"/>
  <c r="I5" i="176"/>
  <c r="O5" i="176"/>
  <c r="H5" i="176"/>
  <c r="N5" i="176"/>
  <c r="F8" i="176"/>
  <c r="O8" i="176"/>
  <c r="D102" i="176"/>
  <c r="D93" i="176" s="1"/>
  <c r="D104" i="176"/>
  <c r="D94" i="176" s="1"/>
  <c r="D98" i="176"/>
  <c r="D89" i="176"/>
  <c r="D81" i="176"/>
  <c r="D79" i="176"/>
  <c r="D77" i="176"/>
  <c r="D62" i="176"/>
  <c r="D107" i="176"/>
  <c r="D95" i="176" s="1"/>
  <c r="D99" i="176"/>
  <c r="D65" i="176"/>
  <c r="D63" i="176"/>
  <c r="D60" i="176"/>
  <c r="D52" i="176"/>
  <c r="D49" i="176"/>
  <c r="D42" i="176"/>
  <c r="D106" i="176"/>
  <c r="D97" i="176"/>
  <c r="D90" i="176"/>
  <c r="D73" i="176"/>
  <c r="D68" i="176"/>
  <c r="D44" i="176"/>
  <c r="D36" i="176"/>
  <c r="D33" i="176"/>
  <c r="D30" i="176"/>
  <c r="D100" i="176"/>
  <c r="D80" i="176"/>
  <c r="D71" i="176"/>
  <c r="D56" i="176"/>
  <c r="D51" i="176"/>
  <c r="D50" i="176"/>
  <c r="D43" i="176"/>
  <c r="D31" i="176"/>
  <c r="D29" i="176"/>
  <c r="D16" i="176"/>
  <c r="D14" i="176"/>
  <c r="D103" i="176"/>
  <c r="D91" i="176"/>
  <c r="D61" i="176"/>
  <c r="D24" i="176"/>
  <c r="D17" i="176"/>
  <c r="D101" i="176"/>
  <c r="D32" i="176"/>
  <c r="D66" i="176"/>
  <c r="D64" i="176"/>
  <c r="D58" i="176"/>
  <c r="D28" i="176"/>
  <c r="D26" i="176"/>
  <c r="D15" i="176"/>
  <c r="D11" i="176"/>
  <c r="D4" i="176"/>
  <c r="D82" i="176"/>
  <c r="D74" i="176"/>
  <c r="D72" i="176"/>
  <c r="D67" i="176"/>
  <c r="D57" i="176"/>
  <c r="D55" i="176"/>
  <c r="D53" i="176"/>
  <c r="D105" i="176"/>
  <c r="D88" i="176"/>
  <c r="D75" i="176"/>
  <c r="H3" i="176"/>
  <c r="P3" i="176"/>
  <c r="F5" i="176"/>
  <c r="G8" i="176"/>
  <c r="D9" i="176"/>
  <c r="D12" i="176"/>
  <c r="D13" i="176"/>
  <c r="D2" i="176"/>
  <c r="I3" i="176"/>
  <c r="G5" i="176"/>
  <c r="D6" i="176"/>
  <c r="D25" i="176" s="1"/>
  <c r="H8" i="176"/>
  <c r="R40" i="176"/>
  <c r="D46" i="176"/>
  <c r="J3" i="176"/>
  <c r="K5" i="176"/>
  <c r="L8" i="176"/>
  <c r="Q8" i="176" s="1"/>
  <c r="D10" i="176"/>
  <c r="D27" i="176"/>
  <c r="D59" i="176"/>
  <c r="D69" i="176"/>
  <c r="K3" i="176"/>
  <c r="L5" i="176"/>
  <c r="D7" i="176"/>
  <c r="M8" i="176"/>
  <c r="D54" i="176"/>
  <c r="N8" i="176"/>
  <c r="M3" i="176"/>
  <c r="G3" i="176"/>
  <c r="L3" i="176"/>
  <c r="F3" i="176"/>
  <c r="O3" i="176"/>
  <c r="L30" i="175"/>
  <c r="F30" i="175"/>
  <c r="Q30" i="175" s="1"/>
  <c r="K30" i="175"/>
  <c r="J30" i="175"/>
  <c r="O30" i="175"/>
  <c r="M9" i="175"/>
  <c r="G9" i="175"/>
  <c r="L9" i="175"/>
  <c r="F11" i="175"/>
  <c r="R11" i="175" s="1"/>
  <c r="F17" i="175"/>
  <c r="Q17" i="175" s="1"/>
  <c r="P17" i="175"/>
  <c r="G30" i="175"/>
  <c r="P30" i="175"/>
  <c r="D44" i="175"/>
  <c r="F51" i="175"/>
  <c r="F55" i="175"/>
  <c r="G56" i="175"/>
  <c r="R56" i="175" s="1"/>
  <c r="H67" i="175"/>
  <c r="R67" i="175" s="1"/>
  <c r="D5" i="175"/>
  <c r="D6" i="175"/>
  <c r="F8" i="175"/>
  <c r="M8" i="175"/>
  <c r="N9" i="175"/>
  <c r="D14" i="175"/>
  <c r="D16" i="175"/>
  <c r="I17" i="175"/>
  <c r="D28" i="175"/>
  <c r="H30" i="175"/>
  <c r="L51" i="175"/>
  <c r="M56" i="175"/>
  <c r="D2" i="175"/>
  <c r="D3" i="175"/>
  <c r="G8" i="175"/>
  <c r="Q8" i="175" s="1"/>
  <c r="N8" i="175"/>
  <c r="H9" i="175"/>
  <c r="O9" i="175"/>
  <c r="D12" i="175"/>
  <c r="J17" i="175"/>
  <c r="I30" i="175"/>
  <c r="D32" i="175"/>
  <c r="D33" i="175"/>
  <c r="D36" i="175"/>
  <c r="M51" i="175"/>
  <c r="I55" i="175"/>
  <c r="N56" i="175"/>
  <c r="D68" i="175"/>
  <c r="D100" i="175"/>
  <c r="H8" i="175"/>
  <c r="P8" i="175"/>
  <c r="I9" i="175"/>
  <c r="P9" i="175"/>
  <c r="K17" i="175"/>
  <c r="D29" i="175"/>
  <c r="M30" i="175"/>
  <c r="N51" i="175"/>
  <c r="O55" i="175"/>
  <c r="O56" i="175"/>
  <c r="D71" i="175"/>
  <c r="D106" i="175"/>
  <c r="J8" i="175"/>
  <c r="J9" i="175"/>
  <c r="N30" i="175"/>
  <c r="R15" i="175"/>
  <c r="L15" i="175"/>
  <c r="N55" i="175"/>
  <c r="H55" i="175"/>
  <c r="Q55" i="175" s="1"/>
  <c r="K55" i="175"/>
  <c r="J55" i="175"/>
  <c r="M55" i="175"/>
  <c r="L55" i="175"/>
  <c r="N17" i="175"/>
  <c r="H17" i="175"/>
  <c r="M17" i="175"/>
  <c r="R17" i="175" s="1"/>
  <c r="G17" i="175"/>
  <c r="O17" i="175"/>
  <c r="O8" i="175"/>
  <c r="I8" i="175"/>
  <c r="J51" i="175"/>
  <c r="K51" i="175"/>
  <c r="I51" i="175"/>
  <c r="H51" i="175"/>
  <c r="R51" i="175" s="1"/>
  <c r="G51" i="175"/>
  <c r="O51" i="175" s="1"/>
  <c r="L56" i="175"/>
  <c r="F56" i="175"/>
  <c r="K56" i="175"/>
  <c r="Q56" i="175"/>
  <c r="J56" i="175"/>
  <c r="I56" i="175"/>
  <c r="H56" i="175"/>
  <c r="L8" i="175"/>
  <c r="D104" i="175"/>
  <c r="D94" i="175" s="1"/>
  <c r="D98" i="175"/>
  <c r="D89" i="175"/>
  <c r="D81" i="175"/>
  <c r="D79" i="175"/>
  <c r="D77" i="175"/>
  <c r="D62" i="175"/>
  <c r="D103" i="175"/>
  <c r="D75" i="175"/>
  <c r="D72" i="175"/>
  <c r="D69" i="175"/>
  <c r="D59" i="175"/>
  <c r="D58" i="175"/>
  <c r="D57" i="175"/>
  <c r="D102" i="175"/>
  <c r="D93" i="175" s="1"/>
  <c r="D65" i="175"/>
  <c r="D63" i="175"/>
  <c r="D60" i="175"/>
  <c r="D52" i="175"/>
  <c r="D49" i="175"/>
  <c r="D42" i="175"/>
  <c r="D99" i="175"/>
  <c r="D80" i="175"/>
  <c r="D105" i="175"/>
  <c r="D91" i="175"/>
  <c r="D88" i="175"/>
  <c r="D82" i="175"/>
  <c r="D74" i="175"/>
  <c r="D73" i="175"/>
  <c r="D61" i="175"/>
  <c r="D46" i="175"/>
  <c r="D31" i="175"/>
  <c r="D10" i="175"/>
  <c r="D7" i="175"/>
  <c r="D4" i="175"/>
  <c r="D101" i="175"/>
  <c r="D90" i="175"/>
  <c r="D64" i="175"/>
  <c r="D54" i="175"/>
  <c r="D53" i="175"/>
  <c r="D43" i="175"/>
  <c r="D27" i="175"/>
  <c r="D26" i="175"/>
  <c r="D24" i="175"/>
  <c r="D13" i="175"/>
  <c r="F9" i="175"/>
  <c r="D50" i="175"/>
  <c r="G55" i="175"/>
  <c r="D66" i="175"/>
  <c r="D97" i="175"/>
  <c r="D92" i="175" s="1"/>
  <c r="R71" i="174"/>
  <c r="F71" i="174"/>
  <c r="D30" i="174"/>
  <c r="D64" i="174"/>
  <c r="D105" i="174"/>
  <c r="D31" i="174"/>
  <c r="D54" i="174"/>
  <c r="D82" i="174"/>
  <c r="D91" i="174"/>
  <c r="D10" i="174"/>
  <c r="D11" i="174"/>
  <c r="D14" i="174"/>
  <c r="D15" i="174"/>
  <c r="D43" i="174"/>
  <c r="D68" i="174"/>
  <c r="D7" i="174"/>
  <c r="D8" i="174"/>
  <c r="D9" i="174"/>
  <c r="D29" i="174"/>
  <c r="D32" i="174"/>
  <c r="D44" i="174"/>
  <c r="D56" i="174"/>
  <c r="D104" i="174"/>
  <c r="D94" i="174" s="1"/>
  <c r="D98" i="174"/>
  <c r="D89" i="174"/>
  <c r="D81" i="174"/>
  <c r="D79" i="174"/>
  <c r="D77" i="174"/>
  <c r="D62" i="174"/>
  <c r="D102" i="174"/>
  <c r="D65" i="174"/>
  <c r="D63" i="174"/>
  <c r="D60" i="174"/>
  <c r="D52" i="174"/>
  <c r="D49" i="174"/>
  <c r="D42" i="174"/>
  <c r="D103" i="174"/>
  <c r="D73" i="174"/>
  <c r="D69" i="174"/>
  <c r="D66" i="174"/>
  <c r="D107" i="174"/>
  <c r="D95" i="174" s="1"/>
  <c r="D99" i="174"/>
  <c r="D72" i="174"/>
  <c r="D57" i="174"/>
  <c r="D51" i="174"/>
  <c r="D27" i="174"/>
  <c r="D26" i="174"/>
  <c r="D24" i="174"/>
  <c r="D13" i="174"/>
  <c r="D12" i="174"/>
  <c r="D106" i="174"/>
  <c r="D97" i="174"/>
  <c r="D92" i="174" s="1"/>
  <c r="D90" i="174"/>
  <c r="D88" i="174"/>
  <c r="D74" i="174"/>
  <c r="D67" i="174"/>
  <c r="D55" i="174"/>
  <c r="D53" i="174"/>
  <c r="D36" i="174"/>
  <c r="D4" i="174"/>
  <c r="D5" i="174"/>
  <c r="D6" i="174"/>
  <c r="D46" i="174"/>
  <c r="D50" i="174"/>
  <c r="D58" i="174"/>
  <c r="D59" i="174"/>
  <c r="D75" i="174"/>
  <c r="D100" i="174"/>
  <c r="D2" i="174"/>
  <c r="D3" i="174"/>
  <c r="D16" i="174"/>
  <c r="D17" i="174"/>
  <c r="D28" i="174"/>
  <c r="D33" i="174"/>
  <c r="D61" i="174"/>
  <c r="D80" i="174"/>
  <c r="D101" i="174"/>
  <c r="R24" i="173"/>
  <c r="L24" i="173"/>
  <c r="F24" i="173"/>
  <c r="M5" i="173"/>
  <c r="Q5" i="173" s="1"/>
  <c r="G5" i="173"/>
  <c r="P5" i="173"/>
  <c r="J5" i="173"/>
  <c r="O5" i="173"/>
  <c r="I5" i="173"/>
  <c r="G9" i="173"/>
  <c r="H10" i="173"/>
  <c r="N12" i="173"/>
  <c r="H12" i="173"/>
  <c r="K12" i="173"/>
  <c r="O12" i="173"/>
  <c r="G12" i="173"/>
  <c r="M12" i="173"/>
  <c r="F12" i="173"/>
  <c r="G13" i="173"/>
  <c r="H14" i="173"/>
  <c r="O30" i="173"/>
  <c r="I30" i="173"/>
  <c r="N30" i="173"/>
  <c r="H30" i="173"/>
  <c r="L30" i="173"/>
  <c r="M30" i="173"/>
  <c r="J30" i="173"/>
  <c r="G30" i="173"/>
  <c r="F30" i="173"/>
  <c r="L44" i="173"/>
  <c r="L45" i="173" s="1"/>
  <c r="F5" i="173"/>
  <c r="R5" i="173" s="1"/>
  <c r="K9" i="173"/>
  <c r="K10" i="173"/>
  <c r="I12" i="173"/>
  <c r="K13" i="173"/>
  <c r="K14" i="173"/>
  <c r="P17" i="173"/>
  <c r="J17" i="173"/>
  <c r="K17" i="173"/>
  <c r="O17" i="173"/>
  <c r="H17" i="173"/>
  <c r="N17" i="173"/>
  <c r="G17" i="173"/>
  <c r="M17" i="173"/>
  <c r="F17" i="173"/>
  <c r="K30" i="173"/>
  <c r="J52" i="173"/>
  <c r="H52" i="173"/>
  <c r="N52" i="173"/>
  <c r="G52" i="173"/>
  <c r="K52" i="173"/>
  <c r="L52" i="173"/>
  <c r="I52" i="173"/>
  <c r="F52" i="173"/>
  <c r="O52" i="173" s="1"/>
  <c r="H5" i="173"/>
  <c r="L9" i="173"/>
  <c r="L10" i="173"/>
  <c r="R10" i="173" s="1"/>
  <c r="J12" i="173"/>
  <c r="I17" i="173"/>
  <c r="P30" i="173"/>
  <c r="M52" i="173"/>
  <c r="D87" i="173"/>
  <c r="L88" i="173"/>
  <c r="F88" i="173"/>
  <c r="N13" i="173"/>
  <c r="H13" i="173"/>
  <c r="Q13" i="173" s="1"/>
  <c r="M13" i="173"/>
  <c r="F13" i="173"/>
  <c r="J13" i="173"/>
  <c r="P13" i="173"/>
  <c r="I13" i="173"/>
  <c r="L33" i="173"/>
  <c r="P33" i="173"/>
  <c r="I33" i="173"/>
  <c r="O33" i="173"/>
  <c r="H33" i="173"/>
  <c r="F33" i="173"/>
  <c r="N33" i="173"/>
  <c r="K33" i="173"/>
  <c r="J33" i="173"/>
  <c r="G33" i="173"/>
  <c r="J50" i="173"/>
  <c r="K50" i="173"/>
  <c r="I50" i="173"/>
  <c r="M50" i="173"/>
  <c r="N50" i="173"/>
  <c r="H50" i="173"/>
  <c r="G50" i="173"/>
  <c r="F50" i="173"/>
  <c r="M73" i="173"/>
  <c r="G73" i="173"/>
  <c r="J73" i="173"/>
  <c r="I73" i="173"/>
  <c r="H73" i="173"/>
  <c r="N73" i="173"/>
  <c r="L73" i="173"/>
  <c r="K73" i="173"/>
  <c r="F73" i="173"/>
  <c r="O9" i="173"/>
  <c r="I9" i="173"/>
  <c r="M9" i="173"/>
  <c r="F9" i="173"/>
  <c r="Q9" i="173" s="1"/>
  <c r="J9" i="173"/>
  <c r="P9" i="173"/>
  <c r="H9" i="173"/>
  <c r="L14" i="173"/>
  <c r="F14" i="173"/>
  <c r="Q14" i="173" s="1"/>
  <c r="N14" i="173"/>
  <c r="G14" i="173"/>
  <c r="J14" i="173"/>
  <c r="R14" i="173" s="1"/>
  <c r="P14" i="173"/>
  <c r="I14" i="173"/>
  <c r="O10" i="173"/>
  <c r="O13" i="173"/>
  <c r="O14" i="173"/>
  <c r="L15" i="173"/>
  <c r="R15" i="173" s="1"/>
  <c r="M33" i="173"/>
  <c r="L50" i="173"/>
  <c r="M10" i="173"/>
  <c r="G10" i="173"/>
  <c r="N10" i="173"/>
  <c r="F10" i="173"/>
  <c r="Q10" i="173"/>
  <c r="J10" i="173"/>
  <c r="P10" i="173"/>
  <c r="I10" i="173"/>
  <c r="F36" i="173"/>
  <c r="R63" i="173"/>
  <c r="F63" i="173"/>
  <c r="J66" i="173"/>
  <c r="K66" i="173"/>
  <c r="I66" i="173"/>
  <c r="F66" i="173"/>
  <c r="R66" i="173" s="1"/>
  <c r="N66" i="173"/>
  <c r="M66" i="173"/>
  <c r="L66" i="173"/>
  <c r="H66" i="173"/>
  <c r="G66" i="173"/>
  <c r="O66" i="173" s="1"/>
  <c r="G3" i="173"/>
  <c r="M3" i="173"/>
  <c r="K4" i="173"/>
  <c r="Q4" i="173"/>
  <c r="R4" i="173" s="1"/>
  <c r="G6" i="173"/>
  <c r="N6" i="173"/>
  <c r="L16" i="173"/>
  <c r="F16" i="173"/>
  <c r="M16" i="173"/>
  <c r="K27" i="173"/>
  <c r="M28" i="173"/>
  <c r="G28" i="173"/>
  <c r="O28" i="173"/>
  <c r="H28" i="173"/>
  <c r="N28" i="173"/>
  <c r="N31" i="173"/>
  <c r="J49" i="173"/>
  <c r="H49" i="173"/>
  <c r="N49" i="173"/>
  <c r="G49" i="173"/>
  <c r="M49" i="173"/>
  <c r="G53" i="173"/>
  <c r="P57" i="173"/>
  <c r="J57" i="173"/>
  <c r="N57" i="173"/>
  <c r="G57" i="173"/>
  <c r="M57" i="173"/>
  <c r="F57" i="173"/>
  <c r="I57" i="173"/>
  <c r="J65" i="173"/>
  <c r="H65" i="173"/>
  <c r="N65" i="173"/>
  <c r="G65" i="173"/>
  <c r="O65" i="173" s="1"/>
  <c r="F65" i="173"/>
  <c r="R68" i="173"/>
  <c r="M72" i="173"/>
  <c r="G72" i="173"/>
  <c r="H72" i="173"/>
  <c r="O72" i="173" s="1"/>
  <c r="N72" i="173"/>
  <c r="F72" i="173"/>
  <c r="J72" i="173"/>
  <c r="D102" i="173"/>
  <c r="D104" i="173"/>
  <c r="D94" i="173" s="1"/>
  <c r="D98" i="173"/>
  <c r="D89" i="173"/>
  <c r="D81" i="173"/>
  <c r="D79" i="173"/>
  <c r="D77" i="173"/>
  <c r="D62" i="173"/>
  <c r="D107" i="173"/>
  <c r="D95" i="173" s="1"/>
  <c r="D99" i="173"/>
  <c r="D82" i="173"/>
  <c r="D74" i="173"/>
  <c r="D61" i="173"/>
  <c r="D32" i="173"/>
  <c r="D29" i="173"/>
  <c r="D106" i="173"/>
  <c r="D97" i="173"/>
  <c r="D91" i="173"/>
  <c r="D67" i="173"/>
  <c r="D64" i="173"/>
  <c r="D56" i="173"/>
  <c r="D55" i="173"/>
  <c r="D54" i="173"/>
  <c r="D51" i="173"/>
  <c r="D46" i="173"/>
  <c r="D43" i="173"/>
  <c r="D100" i="173"/>
  <c r="D75" i="173"/>
  <c r="D58" i="173"/>
  <c r="D26" i="173"/>
  <c r="D11" i="173"/>
  <c r="D8" i="173"/>
  <c r="H3" i="173"/>
  <c r="F4" i="173"/>
  <c r="L4" i="173"/>
  <c r="H6" i="173"/>
  <c r="I7" i="173"/>
  <c r="G16" i="173"/>
  <c r="N16" i="173"/>
  <c r="F28" i="173"/>
  <c r="P28" i="173"/>
  <c r="D42" i="173"/>
  <c r="F49" i="173"/>
  <c r="H57" i="173"/>
  <c r="D59" i="173"/>
  <c r="D60" i="173"/>
  <c r="I65" i="173"/>
  <c r="F68" i="173"/>
  <c r="I72" i="173"/>
  <c r="O27" i="173"/>
  <c r="I27" i="173"/>
  <c r="N27" i="173"/>
  <c r="G27" i="173"/>
  <c r="M27" i="173"/>
  <c r="M31" i="173"/>
  <c r="G31" i="173"/>
  <c r="L31" i="173"/>
  <c r="F31" i="173"/>
  <c r="R31" i="173" s="1"/>
  <c r="P31" i="173"/>
  <c r="H31" i="173"/>
  <c r="Q31" i="173"/>
  <c r="F69" i="173"/>
  <c r="L69" i="173" s="1"/>
  <c r="K3" i="173"/>
  <c r="I4" i="173"/>
  <c r="O6" i="173"/>
  <c r="I6" i="173"/>
  <c r="L6" i="173"/>
  <c r="M7" i="173"/>
  <c r="G7" i="173"/>
  <c r="Q7" i="173" s="1"/>
  <c r="L7" i="173"/>
  <c r="J16" i="173"/>
  <c r="H27" i="173"/>
  <c r="Q27" i="173"/>
  <c r="K28" i="173"/>
  <c r="J31" i="173"/>
  <c r="J53" i="173"/>
  <c r="O53" i="173" s="1"/>
  <c r="K53" i="173"/>
  <c r="I53" i="173"/>
  <c r="H53" i="173"/>
  <c r="O57" i="173"/>
  <c r="F71" i="173"/>
  <c r="L90" i="173"/>
  <c r="R90" i="173" s="1"/>
  <c r="R12" i="238" l="1"/>
  <c r="R6" i="238"/>
  <c r="F24" i="238"/>
  <c r="L24" i="238" s="1"/>
  <c r="R24" i="238" s="1"/>
  <c r="M9" i="238"/>
  <c r="G9" i="238"/>
  <c r="P9" i="238"/>
  <c r="I9" i="238"/>
  <c r="L9" i="238"/>
  <c r="N9" i="238"/>
  <c r="F9" i="238"/>
  <c r="Q9" i="238" s="1"/>
  <c r="O9" i="238"/>
  <c r="K9" i="238"/>
  <c r="J9" i="238"/>
  <c r="H9" i="238"/>
  <c r="L27" i="238"/>
  <c r="F27" i="238"/>
  <c r="M27" i="238"/>
  <c r="P27" i="238"/>
  <c r="I27" i="238"/>
  <c r="J27" i="238"/>
  <c r="H27" i="238"/>
  <c r="G27" i="238"/>
  <c r="N27" i="238"/>
  <c r="K27" i="238"/>
  <c r="O27" i="238"/>
  <c r="M73" i="238"/>
  <c r="G73" i="238"/>
  <c r="I73" i="238"/>
  <c r="H73" i="238"/>
  <c r="J73" i="238"/>
  <c r="L73" i="238"/>
  <c r="N73" i="238"/>
  <c r="F73" i="238"/>
  <c r="O73" i="238" s="1"/>
  <c r="K73" i="238"/>
  <c r="D87" i="238"/>
  <c r="F88" i="238"/>
  <c r="L88" i="238" s="1"/>
  <c r="L59" i="238"/>
  <c r="F59" i="238"/>
  <c r="N59" i="238"/>
  <c r="G59" i="238"/>
  <c r="M59" i="238"/>
  <c r="O59" i="238"/>
  <c r="P59" i="238"/>
  <c r="I59" i="238"/>
  <c r="K59" i="238"/>
  <c r="J59" i="238"/>
  <c r="H59" i="238"/>
  <c r="K46" i="238"/>
  <c r="K47" i="238" s="1"/>
  <c r="D47" i="238"/>
  <c r="F46" i="238"/>
  <c r="F47" i="238" s="1"/>
  <c r="N46" i="238"/>
  <c r="N47" i="238" s="1"/>
  <c r="H67" i="238"/>
  <c r="R67" i="238" s="1"/>
  <c r="D83" i="238"/>
  <c r="F79" i="238"/>
  <c r="R79" i="238" s="1"/>
  <c r="R53" i="238"/>
  <c r="M74" i="238"/>
  <c r="G74" i="238"/>
  <c r="K74" i="238"/>
  <c r="J74" i="238"/>
  <c r="H74" i="238"/>
  <c r="F74" i="238"/>
  <c r="O74" i="238" s="1"/>
  <c r="R74" i="238" s="1"/>
  <c r="N74" i="238"/>
  <c r="I74" i="238"/>
  <c r="L74" i="238"/>
  <c r="O8" i="238"/>
  <c r="I8" i="238"/>
  <c r="P8" i="238"/>
  <c r="H8" i="238"/>
  <c r="L8" i="238"/>
  <c r="Q8" i="238"/>
  <c r="F8" i="238"/>
  <c r="G8" i="238"/>
  <c r="R8" i="238" s="1"/>
  <c r="N8" i="238"/>
  <c r="M8" i="238"/>
  <c r="J8" i="238"/>
  <c r="K8" i="238"/>
  <c r="M30" i="238"/>
  <c r="G30" i="238"/>
  <c r="L30" i="238"/>
  <c r="N30" i="238"/>
  <c r="I30" i="238"/>
  <c r="F30" i="238"/>
  <c r="R30" i="238" s="1"/>
  <c r="P30" i="238"/>
  <c r="O30" i="238"/>
  <c r="J30" i="238"/>
  <c r="Q30" i="238" s="1"/>
  <c r="H30" i="238"/>
  <c r="K30" i="238"/>
  <c r="R43" i="238"/>
  <c r="F43" i="238"/>
  <c r="F45" i="238" s="1"/>
  <c r="H77" i="238"/>
  <c r="N77" i="238" s="1"/>
  <c r="D76" i="238"/>
  <c r="O12" i="238"/>
  <c r="L33" i="238"/>
  <c r="N33" i="238"/>
  <c r="G33" i="238"/>
  <c r="Q33" i="238" s="1"/>
  <c r="O33" i="238"/>
  <c r="F33" i="238"/>
  <c r="R33" i="238" s="1"/>
  <c r="P33" i="238"/>
  <c r="J33" i="238"/>
  <c r="M33" i="238"/>
  <c r="K33" i="238"/>
  <c r="H33" i="238"/>
  <c r="I33" i="238"/>
  <c r="N93" i="238"/>
  <c r="H93" i="238"/>
  <c r="P93" i="238"/>
  <c r="I93" i="238"/>
  <c r="O93" i="238"/>
  <c r="G93" i="238"/>
  <c r="K93" i="238"/>
  <c r="F93" i="238"/>
  <c r="Q93" i="238" s="1"/>
  <c r="M93" i="238"/>
  <c r="L93" i="238"/>
  <c r="J93" i="238"/>
  <c r="R93" i="238" s="1"/>
  <c r="J51" i="238"/>
  <c r="L51" i="238"/>
  <c r="K51" i="238"/>
  <c r="M51" i="238"/>
  <c r="F51" i="238"/>
  <c r="I51" i="238"/>
  <c r="G51" i="238"/>
  <c r="N51" i="238"/>
  <c r="H51" i="238"/>
  <c r="F81" i="238"/>
  <c r="R81" i="238" s="1"/>
  <c r="D37" i="238"/>
  <c r="N26" i="238"/>
  <c r="F26" i="238"/>
  <c r="F37" i="238" s="1"/>
  <c r="K26" i="238"/>
  <c r="P26" i="238"/>
  <c r="H26" i="238"/>
  <c r="M26" i="238"/>
  <c r="J26" i="238"/>
  <c r="I26" i="238"/>
  <c r="I37" i="238" s="1"/>
  <c r="O26" i="238"/>
  <c r="F80" i="238"/>
  <c r="R80" i="238" s="1"/>
  <c r="F15" i="238"/>
  <c r="R15" i="238" s="1"/>
  <c r="L15" i="238"/>
  <c r="M61" i="238"/>
  <c r="G61" i="238"/>
  <c r="K61" i="238"/>
  <c r="J61" i="238"/>
  <c r="H61" i="238"/>
  <c r="L61" i="238"/>
  <c r="P61" i="238"/>
  <c r="R61" i="238" s="1"/>
  <c r="O61" i="238"/>
  <c r="N61" i="238"/>
  <c r="F61" i="238"/>
  <c r="Q61" i="238" s="1"/>
  <c r="I61" i="238"/>
  <c r="J50" i="238"/>
  <c r="J70" i="238" s="1"/>
  <c r="I50" i="238"/>
  <c r="H50" i="238"/>
  <c r="M50" i="238"/>
  <c r="K50" i="238"/>
  <c r="N50" i="238"/>
  <c r="N70" i="238" s="1"/>
  <c r="L50" i="238"/>
  <c r="F50" i="238"/>
  <c r="O50" i="238" s="1"/>
  <c r="G50" i="238"/>
  <c r="G70" i="238" s="1"/>
  <c r="K7" i="238"/>
  <c r="O7" i="238"/>
  <c r="H7" i="238"/>
  <c r="L7" i="238"/>
  <c r="I7" i="238"/>
  <c r="M7" i="238"/>
  <c r="J7" i="238"/>
  <c r="G7" i="238"/>
  <c r="P7" i="238"/>
  <c r="F7" i="238"/>
  <c r="Q7" i="238" s="1"/>
  <c r="R7" i="238" s="1"/>
  <c r="N7" i="238"/>
  <c r="K28" i="238"/>
  <c r="L28" i="238"/>
  <c r="O28" i="238"/>
  <c r="G28" i="238"/>
  <c r="J28" i="238"/>
  <c r="H28" i="238"/>
  <c r="F28" i="238"/>
  <c r="Q28" i="238" s="1"/>
  <c r="R28" i="238" s="1"/>
  <c r="P28" i="238"/>
  <c r="M28" i="238"/>
  <c r="I28" i="238"/>
  <c r="N28" i="238"/>
  <c r="M72" i="238"/>
  <c r="G72" i="238"/>
  <c r="N72" i="238"/>
  <c r="F72" i="238"/>
  <c r="L72" i="238"/>
  <c r="J72" i="238"/>
  <c r="K72" i="238"/>
  <c r="K76" i="238" s="1"/>
  <c r="I72" i="238"/>
  <c r="H72" i="238"/>
  <c r="P54" i="238"/>
  <c r="J54" i="238"/>
  <c r="L54" i="238"/>
  <c r="K54" i="238"/>
  <c r="K70" i="238" s="1"/>
  <c r="H54" i="238"/>
  <c r="G54" i="238"/>
  <c r="N54" i="238"/>
  <c r="I54" i="238"/>
  <c r="F54" i="238"/>
  <c r="M54" i="238"/>
  <c r="O54" i="238"/>
  <c r="D92" i="238"/>
  <c r="F89" i="238"/>
  <c r="L89" i="238"/>
  <c r="R89" i="238" s="1"/>
  <c r="R16" i="238"/>
  <c r="N17" i="238"/>
  <c r="H17" i="238"/>
  <c r="Q17" i="238" s="1"/>
  <c r="M17" i="238"/>
  <c r="F17" i="238"/>
  <c r="J17" i="238"/>
  <c r="K17" i="238"/>
  <c r="I17" i="238"/>
  <c r="G17" i="238"/>
  <c r="O17" i="238"/>
  <c r="L17" i="238"/>
  <c r="P17" i="238"/>
  <c r="I70" i="238"/>
  <c r="J66" i="238"/>
  <c r="I66" i="238"/>
  <c r="H66" i="238"/>
  <c r="R66" i="238" s="1"/>
  <c r="F66" i="238"/>
  <c r="O66" i="238" s="1"/>
  <c r="L66" i="238"/>
  <c r="M66" i="238"/>
  <c r="K66" i="238"/>
  <c r="G66" i="238"/>
  <c r="N66" i="238"/>
  <c r="N58" i="238"/>
  <c r="H58" i="238"/>
  <c r="R58" i="238" s="1"/>
  <c r="M58" i="238"/>
  <c r="F58" i="238"/>
  <c r="L58" i="238"/>
  <c r="G58" i="238"/>
  <c r="P58" i="238"/>
  <c r="J58" i="238"/>
  <c r="K58" i="238"/>
  <c r="I58" i="238"/>
  <c r="O58" i="238"/>
  <c r="Q58" i="238" s="1"/>
  <c r="J64" i="238"/>
  <c r="L64" i="238"/>
  <c r="K64" i="238"/>
  <c r="H64" i="238"/>
  <c r="I64" i="238"/>
  <c r="N64" i="238"/>
  <c r="M64" i="238"/>
  <c r="F64" i="238"/>
  <c r="G64" i="238"/>
  <c r="O64" i="238" s="1"/>
  <c r="L13" i="238"/>
  <c r="F13" i="238"/>
  <c r="P13" i="238"/>
  <c r="I13" i="238"/>
  <c r="M13" i="238"/>
  <c r="N13" i="238"/>
  <c r="K13" i="238"/>
  <c r="O13" i="238"/>
  <c r="J13" i="238"/>
  <c r="G13" i="238"/>
  <c r="H13" i="238"/>
  <c r="F69" i="238"/>
  <c r="L69" i="238" s="1"/>
  <c r="O3" i="238"/>
  <c r="I3" i="238"/>
  <c r="L3" i="238"/>
  <c r="F3" i="238"/>
  <c r="J3" i="238"/>
  <c r="M3" i="238"/>
  <c r="M25" i="238" s="1"/>
  <c r="H3" i="238"/>
  <c r="P3" i="238"/>
  <c r="G3" i="238"/>
  <c r="D25" i="238"/>
  <c r="K3" i="238"/>
  <c r="N3" i="238"/>
  <c r="J65" i="238"/>
  <c r="N65" i="238"/>
  <c r="G65" i="238"/>
  <c r="M65" i="238"/>
  <c r="O65" i="238" s="1"/>
  <c r="F65" i="238"/>
  <c r="H65" i="238"/>
  <c r="R65" i="238" s="1"/>
  <c r="K65" i="238"/>
  <c r="L65" i="238"/>
  <c r="I65" i="238"/>
  <c r="M4" i="238"/>
  <c r="G4" i="238"/>
  <c r="P4" i="238"/>
  <c r="J4" i="238"/>
  <c r="N4" i="238"/>
  <c r="Q4" i="238"/>
  <c r="L4" i="238"/>
  <c r="K4" i="238"/>
  <c r="H4" i="238"/>
  <c r="O4" i="238"/>
  <c r="F4" i="238"/>
  <c r="R4" i="238"/>
  <c r="I4" i="238"/>
  <c r="Q90" i="238"/>
  <c r="L90" i="238" s="1"/>
  <c r="R90" i="238" s="1"/>
  <c r="J52" i="238"/>
  <c r="N52" i="238"/>
  <c r="G52" i="238"/>
  <c r="O52" i="238" s="1"/>
  <c r="M52" i="238"/>
  <c r="M70" i="238" s="1"/>
  <c r="F52" i="238"/>
  <c r="K52" i="238"/>
  <c r="L52" i="238"/>
  <c r="I52" i="238"/>
  <c r="H52" i="238"/>
  <c r="K10" i="238"/>
  <c r="P10" i="238"/>
  <c r="I10" i="238"/>
  <c r="M10" i="238"/>
  <c r="F10" i="238"/>
  <c r="J10" i="238"/>
  <c r="N10" i="238"/>
  <c r="L10" i="238"/>
  <c r="H10" i="238"/>
  <c r="G10" i="238"/>
  <c r="O10" i="238"/>
  <c r="K31" i="238"/>
  <c r="R31" i="238" s="1"/>
  <c r="M31" i="238"/>
  <c r="F31" i="238"/>
  <c r="Q31" i="238" s="1"/>
  <c r="P31" i="238"/>
  <c r="H31" i="238"/>
  <c r="L31" i="238"/>
  <c r="O31" i="238"/>
  <c r="N31" i="238"/>
  <c r="I31" i="238"/>
  <c r="G31" i="238"/>
  <c r="J31" i="238"/>
  <c r="M75" i="238"/>
  <c r="G75" i="238"/>
  <c r="N75" i="238"/>
  <c r="F75" i="238"/>
  <c r="O75" i="238" s="1"/>
  <c r="L75" i="238"/>
  <c r="H75" i="238"/>
  <c r="I75" i="238"/>
  <c r="K75" i="238"/>
  <c r="J75" i="238"/>
  <c r="N55" i="238"/>
  <c r="H55" i="238"/>
  <c r="H70" i="238" s="1"/>
  <c r="L55" i="238"/>
  <c r="K55" i="238"/>
  <c r="P55" i="238"/>
  <c r="F55" i="238"/>
  <c r="G55" i="238"/>
  <c r="M55" i="238"/>
  <c r="O55" i="238"/>
  <c r="J55" i="238"/>
  <c r="I55" i="238"/>
  <c r="P14" i="238"/>
  <c r="J14" i="238"/>
  <c r="I14" i="238"/>
  <c r="M14" i="238"/>
  <c r="F14" i="238"/>
  <c r="K14" i="238"/>
  <c r="N14" i="238"/>
  <c r="H14" i="238"/>
  <c r="Q14" i="238" s="1"/>
  <c r="L14" i="238"/>
  <c r="G14" i="238"/>
  <c r="O14" i="238"/>
  <c r="O49" i="238"/>
  <c r="K5" i="238"/>
  <c r="N5" i="238"/>
  <c r="H5" i="238"/>
  <c r="I5" i="238"/>
  <c r="P5" i="238"/>
  <c r="G5" i="238"/>
  <c r="O5" i="238"/>
  <c r="F5" i="238"/>
  <c r="L5" i="238"/>
  <c r="J5" i="238"/>
  <c r="M5" i="238"/>
  <c r="I42" i="238"/>
  <c r="I45" i="238" s="1"/>
  <c r="D45" i="238"/>
  <c r="R42" i="238"/>
  <c r="F11" i="238"/>
  <c r="R11" i="238"/>
  <c r="F63" i="238"/>
  <c r="R63" i="238" s="1"/>
  <c r="O29" i="238"/>
  <c r="I29" i="238"/>
  <c r="L29" i="238"/>
  <c r="J29" i="238"/>
  <c r="N29" i="238"/>
  <c r="F29" i="238"/>
  <c r="G29" i="238"/>
  <c r="P29" i="238"/>
  <c r="K29" i="238"/>
  <c r="H29" i="238"/>
  <c r="Q29" i="238" s="1"/>
  <c r="M29" i="238"/>
  <c r="P57" i="238"/>
  <c r="J57" i="238"/>
  <c r="Q57" i="238" s="1"/>
  <c r="R57" i="238" s="1"/>
  <c r="M57" i="238"/>
  <c r="F57" i="238"/>
  <c r="L57" i="238"/>
  <c r="I57" i="238"/>
  <c r="K57" i="238"/>
  <c r="G57" i="238"/>
  <c r="H57" i="238"/>
  <c r="O57" i="238"/>
  <c r="N57" i="238"/>
  <c r="L56" i="238"/>
  <c r="F56" i="238"/>
  <c r="M56" i="238"/>
  <c r="K56" i="238"/>
  <c r="N56" i="238"/>
  <c r="G56" i="238"/>
  <c r="J56" i="238"/>
  <c r="P56" i="238"/>
  <c r="O56" i="238"/>
  <c r="H56" i="238"/>
  <c r="I56" i="238"/>
  <c r="I62" i="238"/>
  <c r="N62" i="238" s="1"/>
  <c r="R62" i="238" s="1"/>
  <c r="H94" i="238"/>
  <c r="O94" i="238"/>
  <c r="R94" i="238" s="1"/>
  <c r="D70" i="238"/>
  <c r="R49" i="238"/>
  <c r="O31" i="237"/>
  <c r="I31" i="237"/>
  <c r="J31" i="237"/>
  <c r="N31" i="237"/>
  <c r="G31" i="237"/>
  <c r="F31" i="237"/>
  <c r="P31" i="237"/>
  <c r="M31" i="237"/>
  <c r="L31" i="237"/>
  <c r="K31" i="237"/>
  <c r="H31" i="237"/>
  <c r="J65" i="237"/>
  <c r="K65" i="237"/>
  <c r="G65" i="237"/>
  <c r="M65" i="237"/>
  <c r="N65" i="237"/>
  <c r="L65" i="237"/>
  <c r="H65" i="237"/>
  <c r="R65" i="237" s="1"/>
  <c r="I65" i="237"/>
  <c r="F65" i="237"/>
  <c r="O65" i="237" s="1"/>
  <c r="H94" i="237"/>
  <c r="O94" i="237" s="1"/>
  <c r="R94" i="237" s="1"/>
  <c r="L12" i="237"/>
  <c r="J12" i="237"/>
  <c r="I12" i="237"/>
  <c r="H12" i="237"/>
  <c r="G12" i="237"/>
  <c r="N12" i="237"/>
  <c r="M12" i="237"/>
  <c r="K12" i="237"/>
  <c r="F12" i="237"/>
  <c r="H67" i="237"/>
  <c r="R67" i="237"/>
  <c r="O7" i="237"/>
  <c r="I7" i="237"/>
  <c r="K7" i="237"/>
  <c r="J7" i="237"/>
  <c r="P7" i="237"/>
  <c r="H7" i="237"/>
  <c r="N7" i="237"/>
  <c r="M7" i="237"/>
  <c r="L7" i="237"/>
  <c r="F7" i="237"/>
  <c r="G7" i="237"/>
  <c r="F60" i="237"/>
  <c r="R60" i="237" s="1"/>
  <c r="F15" i="237"/>
  <c r="L15" i="237"/>
  <c r="R15" i="237" s="1"/>
  <c r="M75" i="237"/>
  <c r="G75" i="237"/>
  <c r="J75" i="237"/>
  <c r="F75" i="237"/>
  <c r="L75" i="237"/>
  <c r="N75" i="237"/>
  <c r="K75" i="237"/>
  <c r="I75" i="237"/>
  <c r="O75" i="237" s="1"/>
  <c r="H75" i="237"/>
  <c r="J51" i="237"/>
  <c r="H51" i="237"/>
  <c r="G51" i="237"/>
  <c r="M51" i="237"/>
  <c r="N51" i="237"/>
  <c r="R51" i="237" s="1"/>
  <c r="L51" i="237"/>
  <c r="I51" i="237"/>
  <c r="K51" i="237"/>
  <c r="F51" i="237"/>
  <c r="O51" i="237" s="1"/>
  <c r="M61" i="237"/>
  <c r="G61" i="237"/>
  <c r="Q61" i="237" s="1"/>
  <c r="R61" i="237" s="1"/>
  <c r="O61" i="237"/>
  <c r="H61" i="237"/>
  <c r="N61" i="237"/>
  <c r="K61" i="237"/>
  <c r="I61" i="237"/>
  <c r="F61" i="237"/>
  <c r="P61" i="237"/>
  <c r="L61" i="237"/>
  <c r="J61" i="237"/>
  <c r="K30" i="237"/>
  <c r="P30" i="237"/>
  <c r="I30" i="237"/>
  <c r="N30" i="237"/>
  <c r="G30" i="237"/>
  <c r="J30" i="237"/>
  <c r="H30" i="237"/>
  <c r="F30" i="237"/>
  <c r="L30" i="237"/>
  <c r="O30" i="237"/>
  <c r="M30" i="237"/>
  <c r="Q90" i="237"/>
  <c r="L90" i="237" s="1"/>
  <c r="R90" i="237" s="1"/>
  <c r="F89" i="237"/>
  <c r="R89" i="237" s="1"/>
  <c r="L89" i="237"/>
  <c r="O28" i="237"/>
  <c r="I28" i="237"/>
  <c r="P28" i="237"/>
  <c r="H28" i="237"/>
  <c r="M28" i="237"/>
  <c r="F28" i="237"/>
  <c r="N28" i="237"/>
  <c r="L28" i="237"/>
  <c r="K28" i="237"/>
  <c r="J28" i="237"/>
  <c r="G28" i="237"/>
  <c r="Q28" i="237" s="1"/>
  <c r="R28" i="237" s="1"/>
  <c r="M5" i="237"/>
  <c r="G5" i="237"/>
  <c r="J5" i="237"/>
  <c r="P5" i="237"/>
  <c r="I5" i="237"/>
  <c r="O5" i="237"/>
  <c r="H5" i="237"/>
  <c r="N5" i="237"/>
  <c r="L5" i="237"/>
  <c r="K5" i="237"/>
  <c r="F5" i="237"/>
  <c r="Q5" i="237" s="1"/>
  <c r="P14" i="237"/>
  <c r="J14" i="237"/>
  <c r="N14" i="237"/>
  <c r="H14" i="237"/>
  <c r="Q14" i="237" s="1"/>
  <c r="K14" i="237"/>
  <c r="I14" i="237"/>
  <c r="G14" i="237"/>
  <c r="L14" i="237"/>
  <c r="F14" i="237"/>
  <c r="M14" i="237"/>
  <c r="R14" i="237" s="1"/>
  <c r="O14" i="237"/>
  <c r="M8" i="237"/>
  <c r="G8" i="237"/>
  <c r="K8" i="237"/>
  <c r="J8" i="237"/>
  <c r="P8" i="237"/>
  <c r="I8" i="237"/>
  <c r="O8" i="237"/>
  <c r="N8" i="237"/>
  <c r="L8" i="237"/>
  <c r="H8" i="237"/>
  <c r="F8" i="237"/>
  <c r="L13" i="237"/>
  <c r="F13" i="237"/>
  <c r="P13" i="237"/>
  <c r="J13" i="237"/>
  <c r="O13" i="237"/>
  <c r="G13" i="237"/>
  <c r="R13" i="237" s="1"/>
  <c r="N13" i="237"/>
  <c r="M13" i="237"/>
  <c r="H13" i="237"/>
  <c r="Q13" i="237" s="1"/>
  <c r="I13" i="237"/>
  <c r="K13" i="237"/>
  <c r="N17" i="237"/>
  <c r="H17" i="237"/>
  <c r="L17" i="237"/>
  <c r="F17" i="237"/>
  <c r="O17" i="237"/>
  <c r="M17" i="237"/>
  <c r="K17" i="237"/>
  <c r="P17" i="237"/>
  <c r="Q17" i="237" s="1"/>
  <c r="J17" i="237"/>
  <c r="I17" i="237"/>
  <c r="G17" i="237"/>
  <c r="D93" i="237"/>
  <c r="P57" i="237"/>
  <c r="J57" i="237"/>
  <c r="I57" i="237"/>
  <c r="O57" i="237"/>
  <c r="G57" i="237"/>
  <c r="M57" i="237"/>
  <c r="N57" i="237"/>
  <c r="H57" i="237"/>
  <c r="Q57" i="237" s="1"/>
  <c r="R57" i="237" s="1"/>
  <c r="L57" i="237"/>
  <c r="K57" i="237"/>
  <c r="F57" i="237"/>
  <c r="R63" i="237"/>
  <c r="F63" i="237"/>
  <c r="L33" i="237"/>
  <c r="K33" i="237"/>
  <c r="J33" i="237"/>
  <c r="P33" i="237"/>
  <c r="H33" i="237"/>
  <c r="M33" i="237"/>
  <c r="I33" i="237"/>
  <c r="G33" i="237"/>
  <c r="N33" i="237"/>
  <c r="N37" i="237" s="1"/>
  <c r="F33" i="237"/>
  <c r="Q33" i="237" s="1"/>
  <c r="O33" i="237"/>
  <c r="P16" i="237"/>
  <c r="J16" i="237"/>
  <c r="N16" i="237"/>
  <c r="H16" i="237"/>
  <c r="K16" i="237"/>
  <c r="I16" i="237"/>
  <c r="G16" i="237"/>
  <c r="L16" i="237"/>
  <c r="F16" i="237"/>
  <c r="Q16" i="237" s="1"/>
  <c r="O16" i="237"/>
  <c r="M16" i="237"/>
  <c r="F36" i="237"/>
  <c r="M29" i="237"/>
  <c r="G29" i="237"/>
  <c r="P29" i="237"/>
  <c r="I29" i="237"/>
  <c r="N29" i="237"/>
  <c r="F29" i="237"/>
  <c r="L29" i="237"/>
  <c r="K29" i="237"/>
  <c r="J29" i="237"/>
  <c r="O29" i="237"/>
  <c r="H29" i="237"/>
  <c r="J50" i="237"/>
  <c r="M50" i="237"/>
  <c r="F50" i="237"/>
  <c r="O50" i="237" s="1"/>
  <c r="K50" i="237"/>
  <c r="H50" i="237"/>
  <c r="N50" i="237"/>
  <c r="L50" i="237"/>
  <c r="I50" i="237"/>
  <c r="G50" i="237"/>
  <c r="J64" i="237"/>
  <c r="H64" i="237"/>
  <c r="K64" i="237"/>
  <c r="G64" i="237"/>
  <c r="M64" i="237"/>
  <c r="F64" i="237"/>
  <c r="L64" i="237"/>
  <c r="I64" i="237"/>
  <c r="N64" i="237"/>
  <c r="J49" i="237"/>
  <c r="D70" i="237"/>
  <c r="K49" i="237"/>
  <c r="N49" i="237"/>
  <c r="F49" i="237"/>
  <c r="L49" i="237"/>
  <c r="M49" i="237"/>
  <c r="I49" i="237"/>
  <c r="H49" i="237"/>
  <c r="G49" i="237"/>
  <c r="F80" i="237"/>
  <c r="R80" i="237"/>
  <c r="K46" i="237"/>
  <c r="K47" i="237" s="1"/>
  <c r="R46" i="237"/>
  <c r="F46" i="237"/>
  <c r="F47" i="237" s="1"/>
  <c r="D47" i="237"/>
  <c r="N46" i="237"/>
  <c r="N47" i="237" s="1"/>
  <c r="K6" i="237"/>
  <c r="J6" i="237"/>
  <c r="P6" i="237"/>
  <c r="I6" i="237"/>
  <c r="O6" i="237"/>
  <c r="H6" i="237"/>
  <c r="N6" i="237"/>
  <c r="R6" i="237" s="1"/>
  <c r="M6" i="237"/>
  <c r="L6" i="237"/>
  <c r="F6" i="237"/>
  <c r="G6" i="237"/>
  <c r="Q6" i="237" s="1"/>
  <c r="M72" i="237"/>
  <c r="G72" i="237"/>
  <c r="J72" i="237"/>
  <c r="H72" i="237"/>
  <c r="N72" i="237"/>
  <c r="I72" i="237"/>
  <c r="I76" i="237" s="1"/>
  <c r="L72" i="237"/>
  <c r="K72" i="237"/>
  <c r="F72" i="237"/>
  <c r="O72" i="237" s="1"/>
  <c r="R43" i="237"/>
  <c r="F43" i="237"/>
  <c r="F45" i="237" s="1"/>
  <c r="D109" i="237"/>
  <c r="L44" i="237"/>
  <c r="L45" i="237" s="1"/>
  <c r="H77" i="237"/>
  <c r="N77" i="237" s="1"/>
  <c r="R77" i="237" s="1"/>
  <c r="N55" i="237"/>
  <c r="H55" i="237"/>
  <c r="P55" i="237"/>
  <c r="I55" i="237"/>
  <c r="J55" i="237"/>
  <c r="O55" i="237"/>
  <c r="F55" i="237"/>
  <c r="M55" i="237"/>
  <c r="K55" i="237"/>
  <c r="L55" i="237"/>
  <c r="G55" i="237"/>
  <c r="R4" i="237"/>
  <c r="M32" i="237"/>
  <c r="G32" i="237"/>
  <c r="Q32" i="237" s="1"/>
  <c r="J32" i="237"/>
  <c r="O32" i="237"/>
  <c r="H32" i="237"/>
  <c r="N32" i="237"/>
  <c r="L32" i="237"/>
  <c r="K32" i="237"/>
  <c r="P32" i="237"/>
  <c r="I32" i="237"/>
  <c r="F32" i="237"/>
  <c r="K3" i="237"/>
  <c r="D25" i="237"/>
  <c r="P3" i="237"/>
  <c r="I3" i="237"/>
  <c r="O3" i="237"/>
  <c r="H3" i="237"/>
  <c r="N3" i="237"/>
  <c r="G3" i="237"/>
  <c r="M3" i="237"/>
  <c r="L3" i="237"/>
  <c r="J3" i="237"/>
  <c r="J25" i="237" s="1"/>
  <c r="F3" i="237"/>
  <c r="I62" i="237"/>
  <c r="N62" i="237"/>
  <c r="R62" i="237" s="1"/>
  <c r="J53" i="237"/>
  <c r="M53" i="237"/>
  <c r="F53" i="237"/>
  <c r="O53" i="237" s="1"/>
  <c r="I53" i="237"/>
  <c r="G53" i="237"/>
  <c r="R53" i="237" s="1"/>
  <c r="N53" i="237"/>
  <c r="L53" i="237"/>
  <c r="K53" i="237"/>
  <c r="H53" i="237"/>
  <c r="M74" i="237"/>
  <c r="G74" i="237"/>
  <c r="O74" i="237" s="1"/>
  <c r="H74" i="237"/>
  <c r="J74" i="237"/>
  <c r="F74" i="237"/>
  <c r="N74" i="237"/>
  <c r="K74" i="237"/>
  <c r="L74" i="237"/>
  <c r="I74" i="237"/>
  <c r="O10" i="237"/>
  <c r="I10" i="237"/>
  <c r="L10" i="237"/>
  <c r="K10" i="237"/>
  <c r="J10" i="237"/>
  <c r="F10" i="237"/>
  <c r="P10" i="237"/>
  <c r="N10" i="237"/>
  <c r="M10" i="237"/>
  <c r="G10" i="237"/>
  <c r="Q10" i="237" s="1"/>
  <c r="H10" i="237"/>
  <c r="R10" i="237" s="1"/>
  <c r="P54" i="237"/>
  <c r="J54" i="237"/>
  <c r="O54" i="237"/>
  <c r="H54" i="237"/>
  <c r="N54" i="237"/>
  <c r="F54" i="237"/>
  <c r="Q54" i="237" s="1"/>
  <c r="R54" i="237" s="1"/>
  <c r="L54" i="237"/>
  <c r="K54" i="237"/>
  <c r="M54" i="237"/>
  <c r="I54" i="237"/>
  <c r="G54" i="237"/>
  <c r="K9" i="237"/>
  <c r="L9" i="237"/>
  <c r="J9" i="237"/>
  <c r="P9" i="237"/>
  <c r="I9" i="237"/>
  <c r="F9" i="237"/>
  <c r="R9" i="237" s="1"/>
  <c r="O9" i="237"/>
  <c r="N9" i="237"/>
  <c r="M9" i="237"/>
  <c r="G9" i="237"/>
  <c r="H9" i="237"/>
  <c r="Q9" i="237" s="1"/>
  <c r="D87" i="237"/>
  <c r="F88" i="237"/>
  <c r="R88" i="237" s="1"/>
  <c r="L88" i="237"/>
  <c r="J52" i="237"/>
  <c r="O52" i="237" s="1"/>
  <c r="K52" i="237"/>
  <c r="M52" i="237"/>
  <c r="I52" i="237"/>
  <c r="N52" i="237"/>
  <c r="L52" i="237"/>
  <c r="F52" i="237"/>
  <c r="R52" i="237" s="1"/>
  <c r="H52" i="237"/>
  <c r="G52" i="237"/>
  <c r="R68" i="237"/>
  <c r="F68" i="237"/>
  <c r="D83" i="237"/>
  <c r="F79" i="237"/>
  <c r="R79" i="237"/>
  <c r="F24" i="237"/>
  <c r="R24" i="237" s="1"/>
  <c r="L24" i="237"/>
  <c r="N58" i="237"/>
  <c r="H58" i="237"/>
  <c r="J58" i="237"/>
  <c r="K58" i="237"/>
  <c r="P58" i="237"/>
  <c r="G58" i="237"/>
  <c r="Q58" i="237" s="1"/>
  <c r="R58" i="237" s="1"/>
  <c r="M58" i="237"/>
  <c r="L58" i="237"/>
  <c r="I58" i="237"/>
  <c r="F58" i="237"/>
  <c r="O58" i="237"/>
  <c r="R82" i="237"/>
  <c r="F82" i="237"/>
  <c r="J66" i="237"/>
  <c r="M66" i="237"/>
  <c r="F66" i="237"/>
  <c r="L66" i="237"/>
  <c r="I66" i="237"/>
  <c r="H66" i="237"/>
  <c r="N66" i="237"/>
  <c r="K66" i="237"/>
  <c r="G66" i="237"/>
  <c r="L56" i="237"/>
  <c r="F56" i="237"/>
  <c r="Q56" i="237" s="1"/>
  <c r="P56" i="237"/>
  <c r="I56" i="237"/>
  <c r="M56" i="237"/>
  <c r="J56" i="237"/>
  <c r="O56" i="237"/>
  <c r="N56" i="237"/>
  <c r="K56" i="237"/>
  <c r="H56" i="237"/>
  <c r="G56" i="237"/>
  <c r="L69" i="237"/>
  <c r="F69" i="237"/>
  <c r="R69" i="237" s="1"/>
  <c r="R11" i="237"/>
  <c r="F11" i="237"/>
  <c r="D76" i="237"/>
  <c r="F71" i="237"/>
  <c r="R71" i="237"/>
  <c r="I42" i="237"/>
  <c r="I45" i="237" s="1"/>
  <c r="D45" i="237"/>
  <c r="D92" i="237"/>
  <c r="L59" i="237"/>
  <c r="F59" i="237"/>
  <c r="J59" i="237"/>
  <c r="N59" i="237"/>
  <c r="K59" i="237"/>
  <c r="M59" i="237"/>
  <c r="G59" i="237"/>
  <c r="I59" i="237"/>
  <c r="Q59" i="237" s="1"/>
  <c r="H59" i="237"/>
  <c r="P59" i="237"/>
  <c r="O59" i="237"/>
  <c r="K27" i="237"/>
  <c r="K37" i="237" s="1"/>
  <c r="O27" i="237"/>
  <c r="O37" i="237" s="1"/>
  <c r="H27" i="237"/>
  <c r="H37" i="237" s="1"/>
  <c r="M27" i="237"/>
  <c r="M37" i="237" s="1"/>
  <c r="F27" i="237"/>
  <c r="F37" i="237" s="1"/>
  <c r="I27" i="237"/>
  <c r="I37" i="237" s="1"/>
  <c r="G27" i="237"/>
  <c r="P27" i="237"/>
  <c r="P37" i="237" s="1"/>
  <c r="J27" i="237"/>
  <c r="J37" i="237" s="1"/>
  <c r="N27" i="237"/>
  <c r="L27" i="237"/>
  <c r="M73" i="237"/>
  <c r="G73" i="237"/>
  <c r="O73" i="237" s="1"/>
  <c r="R73" i="237" s="1"/>
  <c r="L73" i="237"/>
  <c r="N73" i="237"/>
  <c r="J73" i="237"/>
  <c r="K73" i="237"/>
  <c r="I73" i="237"/>
  <c r="H73" i="237"/>
  <c r="F73" i="237"/>
  <c r="F81" i="237"/>
  <c r="R81" i="237" s="1"/>
  <c r="Q26" i="237"/>
  <c r="R26" i="237" s="1"/>
  <c r="R7" i="236"/>
  <c r="R31" i="236"/>
  <c r="R16" i="236"/>
  <c r="R64" i="236"/>
  <c r="R10" i="236"/>
  <c r="D86" i="236"/>
  <c r="F86" i="236" s="1"/>
  <c r="M61" i="236"/>
  <c r="G61" i="236"/>
  <c r="Q61" i="236" s="1"/>
  <c r="L61" i="236"/>
  <c r="F61" i="236"/>
  <c r="J61" i="236"/>
  <c r="I61" i="236"/>
  <c r="N61" i="236"/>
  <c r="K61" i="236"/>
  <c r="O61" i="236"/>
  <c r="H61" i="236"/>
  <c r="P61" i="236"/>
  <c r="R11" i="236"/>
  <c r="F11" i="236"/>
  <c r="N93" i="236"/>
  <c r="H93" i="236"/>
  <c r="M93" i="236"/>
  <c r="G93" i="236"/>
  <c r="K93" i="236"/>
  <c r="J93" i="236"/>
  <c r="L93" i="236"/>
  <c r="I93" i="236"/>
  <c r="F93" i="236"/>
  <c r="O93" i="236"/>
  <c r="P93" i="236"/>
  <c r="Q54" i="236"/>
  <c r="R54" i="236" s="1"/>
  <c r="Q17" i="236"/>
  <c r="J51" i="236"/>
  <c r="I51" i="236"/>
  <c r="G51" i="236"/>
  <c r="O51" i="236" s="1"/>
  <c r="N51" i="236"/>
  <c r="F51" i="236"/>
  <c r="R51" i="236" s="1"/>
  <c r="M51" i="236"/>
  <c r="L51" i="236"/>
  <c r="K51" i="236"/>
  <c r="H51" i="236"/>
  <c r="F24" i="236"/>
  <c r="R24" i="236" s="1"/>
  <c r="L24" i="236"/>
  <c r="J65" i="236"/>
  <c r="I65" i="236"/>
  <c r="M65" i="236"/>
  <c r="L65" i="236"/>
  <c r="G65" i="236"/>
  <c r="F65" i="236"/>
  <c r="H65" i="236"/>
  <c r="O65" i="236" s="1"/>
  <c r="N65" i="236"/>
  <c r="K65" i="236"/>
  <c r="L56" i="236"/>
  <c r="F56" i="236"/>
  <c r="K56" i="236"/>
  <c r="O56" i="236"/>
  <c r="G56" i="236"/>
  <c r="Q56" i="236" s="1"/>
  <c r="N56" i="236"/>
  <c r="P56" i="236"/>
  <c r="M56" i="236"/>
  <c r="J56" i="236"/>
  <c r="H56" i="236"/>
  <c r="I56" i="236"/>
  <c r="D83" i="236"/>
  <c r="F79" i="236"/>
  <c r="Q6" i="236"/>
  <c r="R6" i="236" s="1"/>
  <c r="D76" i="236"/>
  <c r="R71" i="236"/>
  <c r="F71" i="236"/>
  <c r="R4" i="236"/>
  <c r="L13" i="236"/>
  <c r="K13" i="236"/>
  <c r="P13" i="236"/>
  <c r="H13" i="236"/>
  <c r="O13" i="236"/>
  <c r="G13" i="236"/>
  <c r="I13" i="236"/>
  <c r="N13" i="236"/>
  <c r="F13" i="236"/>
  <c r="M13" i="236"/>
  <c r="J13" i="236"/>
  <c r="M75" i="236"/>
  <c r="G75" i="236"/>
  <c r="O75" i="236" s="1"/>
  <c r="L75" i="236"/>
  <c r="F75" i="236"/>
  <c r="R75" i="236" s="1"/>
  <c r="H75" i="236"/>
  <c r="N75" i="236"/>
  <c r="K75" i="236"/>
  <c r="J75" i="236"/>
  <c r="I75" i="236"/>
  <c r="F60" i="236"/>
  <c r="R60" i="236" s="1"/>
  <c r="L44" i="236"/>
  <c r="L45" i="236" s="1"/>
  <c r="H77" i="236"/>
  <c r="Q9" i="236"/>
  <c r="R9" i="236" s="1"/>
  <c r="L88" i="236"/>
  <c r="Q55" i="236"/>
  <c r="R55" i="236" s="1"/>
  <c r="J50" i="236"/>
  <c r="I50" i="236"/>
  <c r="K50" i="236"/>
  <c r="H50" i="236"/>
  <c r="M50" i="236"/>
  <c r="N50" i="236"/>
  <c r="L50" i="236"/>
  <c r="G50" i="236"/>
  <c r="F50" i="236"/>
  <c r="R17" i="236"/>
  <c r="D37" i="236"/>
  <c r="N26" i="236"/>
  <c r="F26" i="236"/>
  <c r="M26" i="236"/>
  <c r="K26" i="236"/>
  <c r="O26" i="236"/>
  <c r="J26" i="236"/>
  <c r="J37" i="236" s="1"/>
  <c r="I26" i="236"/>
  <c r="I37" i="236" s="1"/>
  <c r="H26" i="236"/>
  <c r="P26" i="236"/>
  <c r="K46" i="236"/>
  <c r="K47" i="236" s="1"/>
  <c r="F46" i="236"/>
  <c r="F47" i="236" s="1"/>
  <c r="N46" i="236"/>
  <c r="N47" i="236" s="1"/>
  <c r="D47" i="236"/>
  <c r="F80" i="236"/>
  <c r="R80" i="236" s="1"/>
  <c r="L59" i="236"/>
  <c r="F59" i="236"/>
  <c r="K59" i="236"/>
  <c r="I59" i="236"/>
  <c r="P59" i="236"/>
  <c r="H59" i="236"/>
  <c r="O59" i="236"/>
  <c r="N59" i="236"/>
  <c r="M59" i="236"/>
  <c r="J59" i="236"/>
  <c r="G59" i="236"/>
  <c r="Q59" i="236" s="1"/>
  <c r="F81" i="236"/>
  <c r="R81" i="236" s="1"/>
  <c r="G92" i="236"/>
  <c r="L92" i="236"/>
  <c r="F92" i="236"/>
  <c r="K92" i="236"/>
  <c r="I92" i="236"/>
  <c r="H92" i="236"/>
  <c r="J92" i="236"/>
  <c r="R89" i="236"/>
  <c r="L89" i="236"/>
  <c r="F89" i="236"/>
  <c r="R3" i="236"/>
  <c r="O53" i="236"/>
  <c r="R53" i="236" s="1"/>
  <c r="L27" i="236"/>
  <c r="F27" i="236"/>
  <c r="K27" i="236"/>
  <c r="P27" i="236"/>
  <c r="H27" i="236"/>
  <c r="I27" i="236"/>
  <c r="O27" i="236"/>
  <c r="G27" i="236"/>
  <c r="G37" i="236" s="1"/>
  <c r="N27" i="236"/>
  <c r="M27" i="236"/>
  <c r="J27" i="236"/>
  <c r="M74" i="236"/>
  <c r="G74" i="236"/>
  <c r="L74" i="236"/>
  <c r="F74" i="236"/>
  <c r="R74" i="236" s="1"/>
  <c r="J74" i="236"/>
  <c r="I74" i="236"/>
  <c r="N74" i="236"/>
  <c r="K74" i="236"/>
  <c r="H74" i="236"/>
  <c r="O74" i="236"/>
  <c r="N32" i="236"/>
  <c r="H32" i="236"/>
  <c r="M32" i="236"/>
  <c r="G32" i="236"/>
  <c r="J32" i="236"/>
  <c r="K32" i="236"/>
  <c r="I32" i="236"/>
  <c r="P32" i="236"/>
  <c r="F32" i="236"/>
  <c r="Q32" i="236" s="1"/>
  <c r="O32" i="236"/>
  <c r="L32" i="236"/>
  <c r="N5" i="236"/>
  <c r="H5" i="236"/>
  <c r="H25" i="236" s="1"/>
  <c r="O5" i="236"/>
  <c r="M5" i="236"/>
  <c r="M25" i="236" s="1"/>
  <c r="G5" i="236"/>
  <c r="L5" i="236"/>
  <c r="L25" i="236" s="1"/>
  <c r="F5" i="236"/>
  <c r="F25" i="236" s="1"/>
  <c r="K5" i="236"/>
  <c r="K25" i="236" s="1"/>
  <c r="P5" i="236"/>
  <c r="P25" i="236" s="1"/>
  <c r="J5" i="236"/>
  <c r="J25" i="236" s="1"/>
  <c r="J48" i="236" s="1"/>
  <c r="J2" i="236" s="1"/>
  <c r="J95" i="236" s="1"/>
  <c r="I5" i="236"/>
  <c r="I25" i="236" s="1"/>
  <c r="I48" i="236" s="1"/>
  <c r="Q90" i="236"/>
  <c r="L90" i="236" s="1"/>
  <c r="R90" i="236" s="1"/>
  <c r="L30" i="236"/>
  <c r="F30" i="236"/>
  <c r="K30" i="236"/>
  <c r="J30" i="236"/>
  <c r="I30" i="236"/>
  <c r="M30" i="236"/>
  <c r="P30" i="236"/>
  <c r="H30" i="236"/>
  <c r="O30" i="236"/>
  <c r="G30" i="236"/>
  <c r="N30" i="236"/>
  <c r="J52" i="236"/>
  <c r="I52" i="236"/>
  <c r="M52" i="236"/>
  <c r="L52" i="236"/>
  <c r="N52" i="236"/>
  <c r="K52" i="236"/>
  <c r="F52" i="236"/>
  <c r="H52" i="236"/>
  <c r="G52" i="236"/>
  <c r="L33" i="236"/>
  <c r="K33" i="236"/>
  <c r="O33" i="236"/>
  <c r="G33" i="236"/>
  <c r="N33" i="236"/>
  <c r="F33" i="236"/>
  <c r="P33" i="236"/>
  <c r="M33" i="236"/>
  <c r="H33" i="236"/>
  <c r="Q33" i="236" s="1"/>
  <c r="J33" i="236"/>
  <c r="I33" i="236"/>
  <c r="J49" i="236"/>
  <c r="J70" i="236" s="1"/>
  <c r="D70" i="236"/>
  <c r="I49" i="236"/>
  <c r="M49" i="236"/>
  <c r="L49" i="236"/>
  <c r="K49" i="236"/>
  <c r="H49" i="236"/>
  <c r="G49" i="236"/>
  <c r="N49" i="236"/>
  <c r="F49" i="236"/>
  <c r="F70" i="236" s="1"/>
  <c r="D25" i="236"/>
  <c r="M73" i="236"/>
  <c r="G73" i="236"/>
  <c r="L73" i="236"/>
  <c r="F73" i="236"/>
  <c r="N73" i="236"/>
  <c r="K73" i="236"/>
  <c r="J73" i="236"/>
  <c r="I73" i="236"/>
  <c r="H73" i="236"/>
  <c r="N8" i="236"/>
  <c r="H8" i="236"/>
  <c r="I8" i="236"/>
  <c r="M8" i="236"/>
  <c r="G8" i="236"/>
  <c r="L8" i="236"/>
  <c r="F8" i="236"/>
  <c r="Q8" i="236" s="1"/>
  <c r="O8" i="236"/>
  <c r="K8" i="236"/>
  <c r="P8" i="236"/>
  <c r="J8" i="236"/>
  <c r="F82" i="236"/>
  <c r="R82" i="236" s="1"/>
  <c r="R29" i="236"/>
  <c r="K12" i="236"/>
  <c r="M12" i="236"/>
  <c r="F12" i="236"/>
  <c r="L12" i="236"/>
  <c r="N12" i="236"/>
  <c r="N25" i="236" s="1"/>
  <c r="G12" i="236"/>
  <c r="J12" i="236"/>
  <c r="I12" i="236"/>
  <c r="H12" i="236"/>
  <c r="M72" i="236"/>
  <c r="M76" i="236" s="1"/>
  <c r="G72" i="236"/>
  <c r="G76" i="236" s="1"/>
  <c r="L72" i="236"/>
  <c r="L76" i="236" s="1"/>
  <c r="F72" i="236"/>
  <c r="H72" i="236"/>
  <c r="J72" i="236"/>
  <c r="J76" i="236" s="1"/>
  <c r="J78" i="236" s="1"/>
  <c r="K72" i="236"/>
  <c r="I72" i="236"/>
  <c r="I76" i="236" s="1"/>
  <c r="N72" i="236"/>
  <c r="N58" i="236"/>
  <c r="H58" i="236"/>
  <c r="M58" i="236"/>
  <c r="G58" i="236"/>
  <c r="O58" i="236"/>
  <c r="L58" i="236"/>
  <c r="P58" i="236"/>
  <c r="P70" i="236" s="1"/>
  <c r="P78" i="236" s="1"/>
  <c r="K58" i="236"/>
  <c r="J58" i="236"/>
  <c r="F58" i="236"/>
  <c r="I58" i="236"/>
  <c r="I42" i="236"/>
  <c r="I45" i="236" s="1"/>
  <c r="R42" i="236"/>
  <c r="D45" i="236"/>
  <c r="I62" i="236"/>
  <c r="R62" i="236" s="1"/>
  <c r="N62" i="236"/>
  <c r="H94" i="236"/>
  <c r="R94" i="236" s="1"/>
  <c r="O94" i="236"/>
  <c r="R13" i="235"/>
  <c r="F63" i="235"/>
  <c r="R63" i="235" s="1"/>
  <c r="O32" i="235"/>
  <c r="P32" i="235"/>
  <c r="I32" i="235"/>
  <c r="N32" i="235"/>
  <c r="H32" i="235"/>
  <c r="L32" i="235"/>
  <c r="K32" i="235"/>
  <c r="G32" i="235"/>
  <c r="F32" i="235"/>
  <c r="M32" i="235"/>
  <c r="J32" i="235"/>
  <c r="R42" i="235"/>
  <c r="I62" i="235"/>
  <c r="L8" i="235"/>
  <c r="F8" i="235"/>
  <c r="K8" i="235"/>
  <c r="M8" i="235"/>
  <c r="O8" i="235"/>
  <c r="G8" i="235"/>
  <c r="J8" i="235"/>
  <c r="P8" i="235"/>
  <c r="H8" i="235"/>
  <c r="I8" i="235"/>
  <c r="N8" i="235"/>
  <c r="F88" i="235"/>
  <c r="D87" i="235"/>
  <c r="K31" i="235"/>
  <c r="P31" i="235"/>
  <c r="J31" i="235"/>
  <c r="H31" i="235"/>
  <c r="O31" i="235"/>
  <c r="G31" i="235"/>
  <c r="R31" i="235" s="1"/>
  <c r="I31" i="235"/>
  <c r="F31" i="235"/>
  <c r="Q31" i="235" s="1"/>
  <c r="N31" i="235"/>
  <c r="L31" i="235"/>
  <c r="M31" i="235"/>
  <c r="F81" i="235"/>
  <c r="R81" i="235" s="1"/>
  <c r="K49" i="235"/>
  <c r="L49" i="235"/>
  <c r="D70" i="235"/>
  <c r="J49" i="235"/>
  <c r="N49" i="235"/>
  <c r="M49" i="235"/>
  <c r="G49" i="235"/>
  <c r="F49" i="235"/>
  <c r="O49" i="235" s="1"/>
  <c r="I49" i="235"/>
  <c r="H49" i="235"/>
  <c r="K57" i="235"/>
  <c r="J57" i="235"/>
  <c r="P57" i="235"/>
  <c r="I57" i="235"/>
  <c r="H57" i="235"/>
  <c r="G57" i="235"/>
  <c r="Q57" i="235" s="1"/>
  <c r="O57" i="235"/>
  <c r="N57" i="235"/>
  <c r="L57" i="235"/>
  <c r="F57" i="235"/>
  <c r="R57" i="235" s="1"/>
  <c r="M57" i="235"/>
  <c r="R69" i="235"/>
  <c r="L69" i="235"/>
  <c r="F69" i="235"/>
  <c r="Q27" i="235"/>
  <c r="R27" i="235" s="1"/>
  <c r="R14" i="235"/>
  <c r="D109" i="235"/>
  <c r="P9" i="235"/>
  <c r="J9" i="235"/>
  <c r="O9" i="235"/>
  <c r="I9" i="235"/>
  <c r="G9" i="235"/>
  <c r="K9" i="235"/>
  <c r="N9" i="235"/>
  <c r="F9" i="235"/>
  <c r="Q9" i="235" s="1"/>
  <c r="R9" i="235" s="1"/>
  <c r="L9" i="235"/>
  <c r="M9" i="235"/>
  <c r="H9" i="235"/>
  <c r="Q3" i="235"/>
  <c r="R3" i="235" s="1"/>
  <c r="M59" i="235"/>
  <c r="G59" i="235"/>
  <c r="K59" i="235"/>
  <c r="J59" i="235"/>
  <c r="N59" i="235"/>
  <c r="L59" i="235"/>
  <c r="F59" i="235"/>
  <c r="Q59" i="235" s="1"/>
  <c r="O59" i="235"/>
  <c r="I59" i="235"/>
  <c r="H59" i="235"/>
  <c r="P59" i="235"/>
  <c r="F11" i="235"/>
  <c r="R11" i="235"/>
  <c r="F68" i="235"/>
  <c r="R68" i="235"/>
  <c r="F43" i="235"/>
  <c r="F45" i="235" s="1"/>
  <c r="F89" i="235"/>
  <c r="R89" i="235"/>
  <c r="L89" i="235"/>
  <c r="K50" i="235"/>
  <c r="N50" i="235"/>
  <c r="G50" i="235"/>
  <c r="M50" i="235"/>
  <c r="F50" i="235"/>
  <c r="O50" i="235" s="1"/>
  <c r="L50" i="235"/>
  <c r="J50" i="235"/>
  <c r="I50" i="235"/>
  <c r="H50" i="235"/>
  <c r="F60" i="235"/>
  <c r="R60" i="235" s="1"/>
  <c r="R71" i="235"/>
  <c r="D76" i="235"/>
  <c r="F71" i="235"/>
  <c r="R12" i="235"/>
  <c r="P6" i="235"/>
  <c r="J6" i="235"/>
  <c r="O6" i="235"/>
  <c r="I6" i="235"/>
  <c r="M6" i="235"/>
  <c r="G6" i="235"/>
  <c r="L6" i="235"/>
  <c r="H6" i="235"/>
  <c r="K6" i="235"/>
  <c r="F6" i="235"/>
  <c r="Q6" i="235" s="1"/>
  <c r="N6" i="235"/>
  <c r="N73" i="235"/>
  <c r="H73" i="235"/>
  <c r="G73" i="235"/>
  <c r="M73" i="235"/>
  <c r="F73" i="235"/>
  <c r="L73" i="235"/>
  <c r="K73" i="235"/>
  <c r="J73" i="235"/>
  <c r="I73" i="235"/>
  <c r="D25" i="235"/>
  <c r="M33" i="235"/>
  <c r="G33" i="235"/>
  <c r="Q33" i="235" s="1"/>
  <c r="R33" i="235" s="1"/>
  <c r="P33" i="235"/>
  <c r="I33" i="235"/>
  <c r="O33" i="235"/>
  <c r="H33" i="235"/>
  <c r="J33" i="235"/>
  <c r="F33" i="235"/>
  <c r="K33" i="235"/>
  <c r="L33" i="235"/>
  <c r="N33" i="235"/>
  <c r="O58" i="235"/>
  <c r="I58" i="235"/>
  <c r="K58" i="235"/>
  <c r="J58" i="235"/>
  <c r="P58" i="235"/>
  <c r="F58" i="235"/>
  <c r="Q58" i="235" s="1"/>
  <c r="N58" i="235"/>
  <c r="L58" i="235"/>
  <c r="G58" i="235"/>
  <c r="M58" i="235"/>
  <c r="H58" i="235"/>
  <c r="K17" i="235"/>
  <c r="P17" i="235"/>
  <c r="J17" i="235"/>
  <c r="H17" i="235"/>
  <c r="O17" i="235"/>
  <c r="G17" i="235"/>
  <c r="M17" i="235"/>
  <c r="I17" i="235"/>
  <c r="N17" i="235"/>
  <c r="F17" i="235"/>
  <c r="Q17" i="235" s="1"/>
  <c r="L17" i="235"/>
  <c r="H77" i="235"/>
  <c r="N77" i="235" s="1"/>
  <c r="R77" i="235" s="1"/>
  <c r="D92" i="235"/>
  <c r="K52" i="235"/>
  <c r="L52" i="235"/>
  <c r="J52" i="235"/>
  <c r="I52" i="235"/>
  <c r="H52" i="235"/>
  <c r="O52" i="235"/>
  <c r="M52" i="235"/>
  <c r="G52" i="235"/>
  <c r="F52" i="235"/>
  <c r="R52" i="235" s="1"/>
  <c r="N52" i="235"/>
  <c r="K65" i="235"/>
  <c r="L65" i="235"/>
  <c r="J65" i="235"/>
  <c r="G65" i="235"/>
  <c r="R65" i="235" s="1"/>
  <c r="F65" i="235"/>
  <c r="O65" i="235" s="1"/>
  <c r="M65" i="235"/>
  <c r="I65" i="235"/>
  <c r="H65" i="235"/>
  <c r="N65" i="235"/>
  <c r="Q47" i="235"/>
  <c r="R47" i="235" s="1"/>
  <c r="M30" i="235"/>
  <c r="G30" i="235"/>
  <c r="Q30" i="235" s="1"/>
  <c r="L30" i="235"/>
  <c r="F30" i="235"/>
  <c r="N30" i="235"/>
  <c r="K30" i="235"/>
  <c r="I30" i="235"/>
  <c r="H30" i="235"/>
  <c r="H37" i="235" s="1"/>
  <c r="P30" i="235"/>
  <c r="O30" i="235"/>
  <c r="J30" i="235"/>
  <c r="N7" i="235"/>
  <c r="H7" i="235"/>
  <c r="R7" i="235" s="1"/>
  <c r="M7" i="235"/>
  <c r="G7" i="235"/>
  <c r="I7" i="235"/>
  <c r="K7" i="235"/>
  <c r="P7" i="235"/>
  <c r="F7" i="235"/>
  <c r="L7" i="235"/>
  <c r="O7" i="235"/>
  <c r="Q7" i="235" s="1"/>
  <c r="J7" i="235"/>
  <c r="R16" i="235"/>
  <c r="F15" i="235"/>
  <c r="K64" i="235"/>
  <c r="I64" i="235"/>
  <c r="H64" i="235"/>
  <c r="G64" i="235"/>
  <c r="R64" i="235" s="1"/>
  <c r="F64" i="235"/>
  <c r="O64" i="235" s="1"/>
  <c r="N64" i="235"/>
  <c r="M64" i="235"/>
  <c r="J64" i="235"/>
  <c r="L64" i="235"/>
  <c r="O37" i="235"/>
  <c r="I25" i="235"/>
  <c r="F80" i="235"/>
  <c r="R80" i="235" s="1"/>
  <c r="N61" i="235"/>
  <c r="H61" i="235"/>
  <c r="P61" i="235"/>
  <c r="I61" i="235"/>
  <c r="O61" i="235"/>
  <c r="G61" i="235"/>
  <c r="F61" i="235"/>
  <c r="Q61" i="235" s="1"/>
  <c r="L61" i="235"/>
  <c r="J61" i="235"/>
  <c r="M61" i="235"/>
  <c r="K61" i="235"/>
  <c r="O55" i="235"/>
  <c r="I55" i="235"/>
  <c r="J55" i="235"/>
  <c r="P55" i="235"/>
  <c r="H55" i="235"/>
  <c r="N55" i="235"/>
  <c r="M55" i="235"/>
  <c r="L55" i="235"/>
  <c r="K55" i="235"/>
  <c r="F55" i="235"/>
  <c r="G55" i="235"/>
  <c r="Q55" i="235" s="1"/>
  <c r="O93" i="235"/>
  <c r="I93" i="235"/>
  <c r="P93" i="235"/>
  <c r="H93" i="235"/>
  <c r="N93" i="235"/>
  <c r="G93" i="235"/>
  <c r="M93" i="235"/>
  <c r="F93" i="235"/>
  <c r="R93" i="235" s="1"/>
  <c r="L93" i="235"/>
  <c r="K93" i="235"/>
  <c r="J93" i="235"/>
  <c r="Q93" i="235"/>
  <c r="N72" i="235"/>
  <c r="H72" i="235"/>
  <c r="H76" i="235" s="1"/>
  <c r="L72" i="235"/>
  <c r="K72" i="235"/>
  <c r="J72" i="235"/>
  <c r="M72" i="235"/>
  <c r="F72" i="235"/>
  <c r="O72" i="235" s="1"/>
  <c r="I72" i="235"/>
  <c r="G72" i="235"/>
  <c r="G76" i="235" s="1"/>
  <c r="H94" i="235"/>
  <c r="O94" i="235" s="1"/>
  <c r="K53" i="235"/>
  <c r="N53" i="235"/>
  <c r="G53" i="235"/>
  <c r="R53" i="235" s="1"/>
  <c r="M53" i="235"/>
  <c r="F53" i="235"/>
  <c r="O53" i="235" s="1"/>
  <c r="I53" i="235"/>
  <c r="H53" i="235"/>
  <c r="L53" i="235"/>
  <c r="J53" i="235"/>
  <c r="K66" i="235"/>
  <c r="R66" i="235" s="1"/>
  <c r="N66" i="235"/>
  <c r="G66" i="235"/>
  <c r="M66" i="235"/>
  <c r="F66" i="235"/>
  <c r="I66" i="235"/>
  <c r="H66" i="235"/>
  <c r="L66" i="235"/>
  <c r="O66" i="235" s="1"/>
  <c r="J66" i="235"/>
  <c r="R56" i="235"/>
  <c r="O29" i="235"/>
  <c r="I29" i="235"/>
  <c r="N29" i="235"/>
  <c r="H29" i="235"/>
  <c r="J29" i="235"/>
  <c r="G29" i="235"/>
  <c r="K29" i="235"/>
  <c r="F29" i="235"/>
  <c r="Q29" i="235" s="1"/>
  <c r="P29" i="235"/>
  <c r="P37" i="235" s="1"/>
  <c r="L29" i="235"/>
  <c r="M29" i="235"/>
  <c r="N4" i="235"/>
  <c r="N25" i="235" s="1"/>
  <c r="M4" i="235"/>
  <c r="O4" i="235"/>
  <c r="O25" i="235" s="1"/>
  <c r="O48" i="235" s="1"/>
  <c r="G4" i="235"/>
  <c r="G25" i="235" s="1"/>
  <c r="I4" i="235"/>
  <c r="L4" i="235"/>
  <c r="F4" i="235"/>
  <c r="Q4" i="235" s="1"/>
  <c r="J4" i="235"/>
  <c r="K4" i="235"/>
  <c r="K25" i="235" s="1"/>
  <c r="H4" i="235"/>
  <c r="H25" i="235" s="1"/>
  <c r="P4" i="235"/>
  <c r="P25" i="235" s="1"/>
  <c r="L44" i="235"/>
  <c r="L45" i="235" s="1"/>
  <c r="K51" i="235"/>
  <c r="I51" i="235"/>
  <c r="H51" i="235"/>
  <c r="L51" i="235"/>
  <c r="J51" i="235"/>
  <c r="N51" i="235"/>
  <c r="M51" i="235"/>
  <c r="F51" i="235"/>
  <c r="O51" i="235" s="1"/>
  <c r="G51" i="235"/>
  <c r="D45" i="235"/>
  <c r="L5" i="235"/>
  <c r="F5" i="235"/>
  <c r="K5" i="235"/>
  <c r="I5" i="235"/>
  <c r="M5" i="235"/>
  <c r="M25" i="235" s="1"/>
  <c r="P5" i="235"/>
  <c r="H5" i="235"/>
  <c r="N5" i="235"/>
  <c r="O5" i="235"/>
  <c r="G5" i="235"/>
  <c r="J5" i="235"/>
  <c r="F79" i="235"/>
  <c r="D83" i="235"/>
  <c r="R79" i="235"/>
  <c r="N74" i="235"/>
  <c r="H74" i="235"/>
  <c r="J74" i="235"/>
  <c r="I74" i="235"/>
  <c r="G74" i="235"/>
  <c r="L74" i="235"/>
  <c r="F74" i="235"/>
  <c r="M74" i="235"/>
  <c r="K74" i="235"/>
  <c r="K28" i="235"/>
  <c r="K37" i="235" s="1"/>
  <c r="P28" i="235"/>
  <c r="J28" i="235"/>
  <c r="J37" i="235" s="1"/>
  <c r="N28" i="235"/>
  <c r="N37" i="235" s="1"/>
  <c r="F28" i="235"/>
  <c r="M28" i="235"/>
  <c r="M37" i="235" s="1"/>
  <c r="I28" i="235"/>
  <c r="I37" i="235" s="1"/>
  <c r="H28" i="235"/>
  <c r="O28" i="235"/>
  <c r="L28" i="235"/>
  <c r="G28" i="235"/>
  <c r="Q28" i="235" s="1"/>
  <c r="R28" i="235" s="1"/>
  <c r="N75" i="235"/>
  <c r="H75" i="235"/>
  <c r="L75" i="235"/>
  <c r="K75" i="235"/>
  <c r="J75" i="235"/>
  <c r="G75" i="235"/>
  <c r="F75" i="235"/>
  <c r="M75" i="235"/>
  <c r="I75" i="235"/>
  <c r="F36" i="235"/>
  <c r="L36" i="235" s="1"/>
  <c r="K54" i="235"/>
  <c r="P54" i="235"/>
  <c r="I54" i="235"/>
  <c r="O54" i="235"/>
  <c r="H54" i="235"/>
  <c r="G54" i="235"/>
  <c r="F54" i="235"/>
  <c r="L54" i="235"/>
  <c r="J54" i="235"/>
  <c r="N54" i="235"/>
  <c r="M54" i="235"/>
  <c r="Q54" i="235" s="1"/>
  <c r="H67" i="235"/>
  <c r="R67" i="235"/>
  <c r="R46" i="235"/>
  <c r="D37" i="235"/>
  <c r="F37" i="235"/>
  <c r="H67" i="234"/>
  <c r="R67" i="234"/>
  <c r="F24" i="234"/>
  <c r="N93" i="234"/>
  <c r="H93" i="234"/>
  <c r="L93" i="234"/>
  <c r="O93" i="234"/>
  <c r="F93" i="234"/>
  <c r="K93" i="234"/>
  <c r="G93" i="234"/>
  <c r="R93" i="234" s="1"/>
  <c r="J93" i="234"/>
  <c r="Q93" i="234" s="1"/>
  <c r="P93" i="234"/>
  <c r="M93" i="234"/>
  <c r="I93" i="234"/>
  <c r="N58" i="234"/>
  <c r="H58" i="234"/>
  <c r="J58" i="234"/>
  <c r="K58" i="234"/>
  <c r="P58" i="234"/>
  <c r="G58" i="234"/>
  <c r="M58" i="234"/>
  <c r="L58" i="234"/>
  <c r="Q58" i="234" s="1"/>
  <c r="I58" i="234"/>
  <c r="F58" i="234"/>
  <c r="O58" i="234"/>
  <c r="O28" i="234"/>
  <c r="I28" i="234"/>
  <c r="P28" i="234"/>
  <c r="H28" i="234"/>
  <c r="M28" i="234"/>
  <c r="F28" i="234"/>
  <c r="N28" i="234"/>
  <c r="L28" i="234"/>
  <c r="K28" i="234"/>
  <c r="G28" i="234"/>
  <c r="J28" i="234"/>
  <c r="K3" i="234"/>
  <c r="D25" i="234"/>
  <c r="P3" i="234"/>
  <c r="I3" i="234"/>
  <c r="O3" i="234"/>
  <c r="H3" i="234"/>
  <c r="N3" i="234"/>
  <c r="G3" i="234"/>
  <c r="M3" i="234"/>
  <c r="F3" i="234"/>
  <c r="L3" i="234"/>
  <c r="J3" i="234"/>
  <c r="J65" i="234"/>
  <c r="K65" i="234"/>
  <c r="G65" i="234"/>
  <c r="M65" i="234"/>
  <c r="N65" i="234"/>
  <c r="L65" i="234"/>
  <c r="I65" i="234"/>
  <c r="H65" i="234"/>
  <c r="F65" i="234"/>
  <c r="O65" i="234" s="1"/>
  <c r="J52" i="234"/>
  <c r="K52" i="234"/>
  <c r="M52" i="234"/>
  <c r="I52" i="234"/>
  <c r="O52" i="234"/>
  <c r="N52" i="234"/>
  <c r="L52" i="234"/>
  <c r="G52" i="234"/>
  <c r="H52" i="234"/>
  <c r="F52" i="234"/>
  <c r="R52" i="234" s="1"/>
  <c r="R68" i="234"/>
  <c r="F68" i="234"/>
  <c r="D83" i="234"/>
  <c r="F79" i="234"/>
  <c r="R79" i="234"/>
  <c r="M8" i="234"/>
  <c r="G8" i="234"/>
  <c r="K8" i="234"/>
  <c r="J8" i="234"/>
  <c r="P8" i="234"/>
  <c r="I8" i="234"/>
  <c r="O8" i="234"/>
  <c r="H8" i="234"/>
  <c r="L8" i="234"/>
  <c r="F8" i="234"/>
  <c r="Q8" i="234" s="1"/>
  <c r="N8" i="234"/>
  <c r="J53" i="234"/>
  <c r="M53" i="234"/>
  <c r="F53" i="234"/>
  <c r="I53" i="234"/>
  <c r="G53" i="234"/>
  <c r="O53" i="234" s="1"/>
  <c r="R53" i="234" s="1"/>
  <c r="N53" i="234"/>
  <c r="L53" i="234"/>
  <c r="K53" i="234"/>
  <c r="H53" i="234"/>
  <c r="M26" i="234"/>
  <c r="O26" i="234"/>
  <c r="R26" i="234" s="1"/>
  <c r="F26" i="234"/>
  <c r="K26" i="234"/>
  <c r="D37" i="234"/>
  <c r="J26" i="234"/>
  <c r="I26" i="234"/>
  <c r="Q26" i="234" s="1"/>
  <c r="H26" i="234"/>
  <c r="P26" i="234"/>
  <c r="N26" i="234"/>
  <c r="L13" i="234"/>
  <c r="F13" i="234"/>
  <c r="P13" i="234"/>
  <c r="J13" i="234"/>
  <c r="O13" i="234"/>
  <c r="G13" i="234"/>
  <c r="Q13" i="234" s="1"/>
  <c r="N13" i="234"/>
  <c r="M13" i="234"/>
  <c r="K13" i="234"/>
  <c r="I13" i="234"/>
  <c r="H13" i="234"/>
  <c r="J64" i="234"/>
  <c r="H64" i="234"/>
  <c r="K64" i="234"/>
  <c r="G64" i="234"/>
  <c r="M64" i="234"/>
  <c r="R64" i="234" s="1"/>
  <c r="L64" i="234"/>
  <c r="I64" i="234"/>
  <c r="F64" i="234"/>
  <c r="O64" i="234" s="1"/>
  <c r="N64" i="234"/>
  <c r="K46" i="234"/>
  <c r="K47" i="234" s="1"/>
  <c r="R46" i="234"/>
  <c r="F46" i="234"/>
  <c r="F47" i="234" s="1"/>
  <c r="D47" i="234"/>
  <c r="N46" i="234"/>
  <c r="N47" i="234" s="1"/>
  <c r="K6" i="234"/>
  <c r="J6" i="234"/>
  <c r="P6" i="234"/>
  <c r="I6" i="234"/>
  <c r="O6" i="234"/>
  <c r="H6" i="234"/>
  <c r="N6" i="234"/>
  <c r="G6" i="234"/>
  <c r="M6" i="234"/>
  <c r="L6" i="234"/>
  <c r="F6" i="234"/>
  <c r="Q6" i="234" s="1"/>
  <c r="R6" i="234" s="1"/>
  <c r="M72" i="234"/>
  <c r="G72" i="234"/>
  <c r="G76" i="234" s="1"/>
  <c r="J72" i="234"/>
  <c r="H72" i="234"/>
  <c r="N72" i="234"/>
  <c r="L72" i="234"/>
  <c r="L76" i="234" s="1"/>
  <c r="F72" i="234"/>
  <c r="K72" i="234"/>
  <c r="I72" i="234"/>
  <c r="L59" i="234"/>
  <c r="F59" i="234"/>
  <c r="J59" i="234"/>
  <c r="N59" i="234"/>
  <c r="K59" i="234"/>
  <c r="M59" i="234"/>
  <c r="I59" i="234"/>
  <c r="H59" i="234"/>
  <c r="P59" i="234"/>
  <c r="G59" i="234"/>
  <c r="O59" i="234"/>
  <c r="K27" i="234"/>
  <c r="O27" i="234"/>
  <c r="H27" i="234"/>
  <c r="M27" i="234"/>
  <c r="F27" i="234"/>
  <c r="I27" i="234"/>
  <c r="Q27" i="234" s="1"/>
  <c r="G27" i="234"/>
  <c r="P27" i="234"/>
  <c r="N27" i="234"/>
  <c r="L27" i="234"/>
  <c r="J27" i="234"/>
  <c r="M73" i="234"/>
  <c r="G73" i="234"/>
  <c r="L73" i="234"/>
  <c r="N73" i="234"/>
  <c r="J73" i="234"/>
  <c r="K73" i="234"/>
  <c r="H73" i="234"/>
  <c r="I73" i="234"/>
  <c r="F73" i="234"/>
  <c r="F81" i="234"/>
  <c r="R81" i="234"/>
  <c r="P14" i="234"/>
  <c r="J14" i="234"/>
  <c r="N14" i="234"/>
  <c r="H14" i="234"/>
  <c r="K14" i="234"/>
  <c r="I14" i="234"/>
  <c r="G14" i="234"/>
  <c r="O14" i="234"/>
  <c r="F14" i="234"/>
  <c r="Q14" i="234" s="1"/>
  <c r="L14" i="234"/>
  <c r="R14" i="234" s="1"/>
  <c r="M14" i="234"/>
  <c r="O31" i="234"/>
  <c r="I31" i="234"/>
  <c r="J31" i="234"/>
  <c r="Q31" i="234" s="1"/>
  <c r="N31" i="234"/>
  <c r="G31" i="234"/>
  <c r="F31" i="234"/>
  <c r="P31" i="234"/>
  <c r="M31" i="234"/>
  <c r="L31" i="234"/>
  <c r="K31" i="234"/>
  <c r="H31" i="234"/>
  <c r="P54" i="234"/>
  <c r="J54" i="234"/>
  <c r="O54" i="234"/>
  <c r="H54" i="234"/>
  <c r="N54" i="234"/>
  <c r="F54" i="234"/>
  <c r="L54" i="234"/>
  <c r="I54" i="234"/>
  <c r="M54" i="234"/>
  <c r="K54" i="234"/>
  <c r="G54" i="234"/>
  <c r="M61" i="234"/>
  <c r="G61" i="234"/>
  <c r="O61" i="234"/>
  <c r="H61" i="234"/>
  <c r="N61" i="234"/>
  <c r="K61" i="234"/>
  <c r="I61" i="234"/>
  <c r="F61" i="234"/>
  <c r="L61" i="234"/>
  <c r="P61" i="234"/>
  <c r="J61" i="234"/>
  <c r="Q90" i="234"/>
  <c r="L90" i="234"/>
  <c r="R90" i="234" s="1"/>
  <c r="M74" i="234"/>
  <c r="G74" i="234"/>
  <c r="H74" i="234"/>
  <c r="O74" i="234" s="1"/>
  <c r="J74" i="234"/>
  <c r="F74" i="234"/>
  <c r="N74" i="234"/>
  <c r="L74" i="234"/>
  <c r="K74" i="234"/>
  <c r="I74" i="234"/>
  <c r="L12" i="234"/>
  <c r="J12" i="234"/>
  <c r="I12" i="234"/>
  <c r="H12" i="234"/>
  <c r="O12" i="234"/>
  <c r="G12" i="234"/>
  <c r="N12" i="234"/>
  <c r="F12" i="234"/>
  <c r="R12" i="234" s="1"/>
  <c r="K12" i="234"/>
  <c r="M12" i="234"/>
  <c r="F69" i="234"/>
  <c r="L69" i="234" s="1"/>
  <c r="R69" i="234" s="1"/>
  <c r="F80" i="234"/>
  <c r="R80" i="234"/>
  <c r="F11" i="234"/>
  <c r="R11" i="234" s="1"/>
  <c r="D76" i="234"/>
  <c r="F71" i="234"/>
  <c r="R71" i="234"/>
  <c r="I42" i="234"/>
  <c r="I45" i="234" s="1"/>
  <c r="D45" i="234"/>
  <c r="R42" i="234"/>
  <c r="D92" i="234"/>
  <c r="F63" i="234"/>
  <c r="R63" i="234" s="1"/>
  <c r="L33" i="234"/>
  <c r="K33" i="234"/>
  <c r="J33" i="234"/>
  <c r="P33" i="234"/>
  <c r="H33" i="234"/>
  <c r="M33" i="234"/>
  <c r="I33" i="234"/>
  <c r="G33" i="234"/>
  <c r="F33" i="234"/>
  <c r="N33" i="234"/>
  <c r="O33" i="234"/>
  <c r="F60" i="234"/>
  <c r="R60" i="234"/>
  <c r="O10" i="234"/>
  <c r="I10" i="234"/>
  <c r="L10" i="234"/>
  <c r="K10" i="234"/>
  <c r="Q10" i="234"/>
  <c r="J10" i="234"/>
  <c r="P10" i="234"/>
  <c r="H10" i="234"/>
  <c r="F10" i="234"/>
  <c r="R10" i="234" s="1"/>
  <c r="N10" i="234"/>
  <c r="M10" i="234"/>
  <c r="G10" i="234"/>
  <c r="D87" i="234"/>
  <c r="F88" i="234"/>
  <c r="L88" i="234"/>
  <c r="K30" i="234"/>
  <c r="P30" i="234"/>
  <c r="I30" i="234"/>
  <c r="N30" i="234"/>
  <c r="G30" i="234"/>
  <c r="J30" i="234"/>
  <c r="Q30" i="234" s="1"/>
  <c r="H30" i="234"/>
  <c r="F30" i="234"/>
  <c r="R30" i="234" s="1"/>
  <c r="O30" i="234"/>
  <c r="L30" i="234"/>
  <c r="M30" i="234"/>
  <c r="F89" i="234"/>
  <c r="R89" i="234" s="1"/>
  <c r="L89" i="234"/>
  <c r="M5" i="234"/>
  <c r="G5" i="234"/>
  <c r="J5" i="234"/>
  <c r="P5" i="234"/>
  <c r="I5" i="234"/>
  <c r="O5" i="234"/>
  <c r="H5" i="234"/>
  <c r="N5" i="234"/>
  <c r="F5" i="234"/>
  <c r="Q5" i="234" s="1"/>
  <c r="K5" i="234"/>
  <c r="L5" i="234"/>
  <c r="F15" i="234"/>
  <c r="L15" i="234" s="1"/>
  <c r="R15" i="234" s="1"/>
  <c r="M75" i="234"/>
  <c r="G75" i="234"/>
  <c r="J75" i="234"/>
  <c r="F75" i="234"/>
  <c r="L75" i="234"/>
  <c r="I75" i="234"/>
  <c r="N75" i="234"/>
  <c r="K75" i="234"/>
  <c r="O75" i="234" s="1"/>
  <c r="H75" i="234"/>
  <c r="J51" i="234"/>
  <c r="H51" i="234"/>
  <c r="G51" i="234"/>
  <c r="M51" i="234"/>
  <c r="N51" i="234"/>
  <c r="L51" i="234"/>
  <c r="F51" i="234"/>
  <c r="O51" i="234" s="1"/>
  <c r="K51" i="234"/>
  <c r="I51" i="234"/>
  <c r="R82" i="234"/>
  <c r="F82" i="234"/>
  <c r="F36" i="234"/>
  <c r="L36" i="234"/>
  <c r="R36" i="234" s="1"/>
  <c r="I62" i="234"/>
  <c r="N62" i="234" s="1"/>
  <c r="R62" i="234" s="1"/>
  <c r="H94" i="234"/>
  <c r="O94" i="234"/>
  <c r="R94" i="234"/>
  <c r="M29" i="234"/>
  <c r="G29" i="234"/>
  <c r="P29" i="234"/>
  <c r="I29" i="234"/>
  <c r="N29" i="234"/>
  <c r="F29" i="234"/>
  <c r="L29" i="234"/>
  <c r="K29" i="234"/>
  <c r="J29" i="234"/>
  <c r="H29" i="234"/>
  <c r="Q29" i="234" s="1"/>
  <c r="O29" i="234"/>
  <c r="K9" i="234"/>
  <c r="L9" i="234"/>
  <c r="J9" i="234"/>
  <c r="P9" i="234"/>
  <c r="I9" i="234"/>
  <c r="O9" i="234"/>
  <c r="H9" i="234"/>
  <c r="N9" i="234"/>
  <c r="M9" i="234"/>
  <c r="G9" i="234"/>
  <c r="F9" i="234"/>
  <c r="Q9" i="234" s="1"/>
  <c r="O7" i="234"/>
  <c r="I7" i="234"/>
  <c r="K7" i="234"/>
  <c r="J7" i="234"/>
  <c r="P7" i="234"/>
  <c r="H7" i="234"/>
  <c r="N7" i="234"/>
  <c r="G7" i="234"/>
  <c r="M7" i="234"/>
  <c r="Q7" i="234" s="1"/>
  <c r="L7" i="234"/>
  <c r="F7" i="234"/>
  <c r="J49" i="234"/>
  <c r="D70" i="234"/>
  <c r="K49" i="234"/>
  <c r="N49" i="234"/>
  <c r="F49" i="234"/>
  <c r="L49" i="234"/>
  <c r="M49" i="234"/>
  <c r="I49" i="234"/>
  <c r="I70" i="234" s="1"/>
  <c r="H49" i="234"/>
  <c r="G49" i="234"/>
  <c r="J50" i="234"/>
  <c r="M50" i="234"/>
  <c r="F50" i="234"/>
  <c r="K50" i="234"/>
  <c r="H50" i="234"/>
  <c r="N50" i="234"/>
  <c r="L50" i="234"/>
  <c r="I50" i="234"/>
  <c r="G50" i="234"/>
  <c r="O50" i="234" s="1"/>
  <c r="N17" i="234"/>
  <c r="H17" i="234"/>
  <c r="L17" i="234"/>
  <c r="F17" i="234"/>
  <c r="O17" i="234"/>
  <c r="M17" i="234"/>
  <c r="K17" i="234"/>
  <c r="J17" i="234"/>
  <c r="G17" i="234"/>
  <c r="P17" i="234"/>
  <c r="I17" i="234"/>
  <c r="P57" i="234"/>
  <c r="J57" i="234"/>
  <c r="I57" i="234"/>
  <c r="O57" i="234"/>
  <c r="G57" i="234"/>
  <c r="M57" i="234"/>
  <c r="N57" i="234"/>
  <c r="L57" i="234"/>
  <c r="F57" i="234"/>
  <c r="K57" i="234"/>
  <c r="H57" i="234"/>
  <c r="F43" i="234"/>
  <c r="F45" i="234" s="1"/>
  <c r="D109" i="234"/>
  <c r="L44" i="234"/>
  <c r="L45" i="234" s="1"/>
  <c r="R44" i="234"/>
  <c r="H77" i="234"/>
  <c r="R77" i="234" s="1"/>
  <c r="N77" i="234"/>
  <c r="M32" i="234"/>
  <c r="G32" i="234"/>
  <c r="J32" i="234"/>
  <c r="O32" i="234"/>
  <c r="H32" i="234"/>
  <c r="N32" i="234"/>
  <c r="L32" i="234"/>
  <c r="K32" i="234"/>
  <c r="Q32" i="234" s="1"/>
  <c r="I32" i="234"/>
  <c r="P32" i="234"/>
  <c r="F32" i="234"/>
  <c r="P16" i="234"/>
  <c r="J16" i="234"/>
  <c r="N16" i="234"/>
  <c r="H16" i="234"/>
  <c r="Q16" i="234" s="1"/>
  <c r="K16" i="234"/>
  <c r="I16" i="234"/>
  <c r="G16" i="234"/>
  <c r="O16" i="234"/>
  <c r="F16" i="234"/>
  <c r="R16" i="234" s="1"/>
  <c r="M16" i="234"/>
  <c r="L16" i="234"/>
  <c r="O66" i="234"/>
  <c r="R66" i="234" s="1"/>
  <c r="R33" i="233"/>
  <c r="K16" i="233"/>
  <c r="M16" i="233"/>
  <c r="F16" i="233"/>
  <c r="R16" i="233" s="1"/>
  <c r="L16" i="233"/>
  <c r="J16" i="233"/>
  <c r="O16" i="233"/>
  <c r="P16" i="233"/>
  <c r="I16" i="233"/>
  <c r="H16" i="233"/>
  <c r="N16" i="233"/>
  <c r="G16" i="233"/>
  <c r="Q16" i="233" s="1"/>
  <c r="L53" i="233"/>
  <c r="F53" i="233"/>
  <c r="O53" i="233" s="1"/>
  <c r="K53" i="233"/>
  <c r="J53" i="233"/>
  <c r="I53" i="233"/>
  <c r="H53" i="233"/>
  <c r="R53" i="233" s="1"/>
  <c r="G53" i="233"/>
  <c r="M53" i="233"/>
  <c r="N53" i="233"/>
  <c r="L66" i="233"/>
  <c r="F66" i="233"/>
  <c r="O66" i="233" s="1"/>
  <c r="K66" i="233"/>
  <c r="J66" i="233"/>
  <c r="I66" i="233"/>
  <c r="H66" i="233"/>
  <c r="G66" i="233"/>
  <c r="N66" i="233"/>
  <c r="M66" i="233"/>
  <c r="F43" i="233"/>
  <c r="F45" i="233" s="1"/>
  <c r="R43" i="233"/>
  <c r="M7" i="233"/>
  <c r="G7" i="233"/>
  <c r="O7" i="233"/>
  <c r="I7" i="233"/>
  <c r="L7" i="233"/>
  <c r="F7" i="233"/>
  <c r="K7" i="233"/>
  <c r="P7" i="233"/>
  <c r="J7" i="233"/>
  <c r="N7" i="233"/>
  <c r="H7" i="233"/>
  <c r="H25" i="233" s="1"/>
  <c r="R55" i="233"/>
  <c r="L24" i="233"/>
  <c r="F24" i="233"/>
  <c r="R24" i="233" s="1"/>
  <c r="O26" i="233"/>
  <c r="H26" i="233"/>
  <c r="N26" i="233"/>
  <c r="F26" i="233"/>
  <c r="F37" i="233" s="1"/>
  <c r="M26" i="233"/>
  <c r="I26" i="233"/>
  <c r="D37" i="233"/>
  <c r="P26" i="233"/>
  <c r="P37" i="233" s="1"/>
  <c r="K26" i="233"/>
  <c r="J26" i="233"/>
  <c r="I75" i="233"/>
  <c r="N75" i="233"/>
  <c r="H75" i="233"/>
  <c r="G75" i="233"/>
  <c r="F75" i="233"/>
  <c r="O75" i="233" s="1"/>
  <c r="M75" i="233"/>
  <c r="K75" i="233"/>
  <c r="J75" i="233"/>
  <c r="L75" i="233"/>
  <c r="P58" i="233"/>
  <c r="J58" i="233"/>
  <c r="O58" i="233"/>
  <c r="I58" i="233"/>
  <c r="N58" i="233"/>
  <c r="F58" i="233"/>
  <c r="M58" i="233"/>
  <c r="L58" i="233"/>
  <c r="K58" i="233"/>
  <c r="H58" i="233"/>
  <c r="G58" i="233"/>
  <c r="Q58" i="233" s="1"/>
  <c r="K28" i="233"/>
  <c r="P28" i="233"/>
  <c r="J28" i="233"/>
  <c r="O28" i="233"/>
  <c r="I28" i="233"/>
  <c r="F28" i="233"/>
  <c r="Q28" i="233" s="1"/>
  <c r="N28" i="233"/>
  <c r="M28" i="233"/>
  <c r="L28" i="233"/>
  <c r="H28" i="233"/>
  <c r="G28" i="233"/>
  <c r="F36" i="233"/>
  <c r="L36" i="233"/>
  <c r="R36" i="233"/>
  <c r="L54" i="233"/>
  <c r="F54" i="233"/>
  <c r="Q54" i="233" s="1"/>
  <c r="K54" i="233"/>
  <c r="P54" i="233"/>
  <c r="P70" i="233" s="1"/>
  <c r="P78" i="233" s="1"/>
  <c r="H54" i="233"/>
  <c r="O54" i="233"/>
  <c r="G54" i="233"/>
  <c r="N54" i="233"/>
  <c r="M54" i="233"/>
  <c r="J54" i="233"/>
  <c r="I54" i="233"/>
  <c r="H67" i="233"/>
  <c r="R67" i="233"/>
  <c r="F88" i="233"/>
  <c r="L88" i="233"/>
  <c r="R88" i="233" s="1"/>
  <c r="D87" i="233"/>
  <c r="Q3" i="233"/>
  <c r="M10" i="233"/>
  <c r="G10" i="233"/>
  <c r="Q10" i="233" s="1"/>
  <c r="L10" i="233"/>
  <c r="L25" i="233" s="1"/>
  <c r="F10" i="233"/>
  <c r="K10" i="233"/>
  <c r="O10" i="233"/>
  <c r="I10" i="233"/>
  <c r="R10" i="233" s="1"/>
  <c r="P10" i="233"/>
  <c r="J10" i="233"/>
  <c r="N10" i="233"/>
  <c r="H10" i="233"/>
  <c r="I72" i="233"/>
  <c r="I76" i="233" s="1"/>
  <c r="N72" i="233"/>
  <c r="H72" i="233"/>
  <c r="G72" i="233"/>
  <c r="F72" i="233"/>
  <c r="M72" i="233"/>
  <c r="M76" i="233" s="1"/>
  <c r="K72" i="233"/>
  <c r="J72" i="233"/>
  <c r="L72" i="233"/>
  <c r="O17" i="233"/>
  <c r="I17" i="233"/>
  <c r="M17" i="233"/>
  <c r="Q17" i="233" s="1"/>
  <c r="F17" i="233"/>
  <c r="L17" i="233"/>
  <c r="K17" i="233"/>
  <c r="P17" i="233"/>
  <c r="J17" i="233"/>
  <c r="H17" i="233"/>
  <c r="N17" i="233"/>
  <c r="G17" i="233"/>
  <c r="H77" i="233"/>
  <c r="N77" i="233" s="1"/>
  <c r="K31" i="233"/>
  <c r="P31" i="233"/>
  <c r="J31" i="233"/>
  <c r="O31" i="233"/>
  <c r="I31" i="233"/>
  <c r="L31" i="233"/>
  <c r="M31" i="233"/>
  <c r="H31" i="233"/>
  <c r="G31" i="233"/>
  <c r="R31" i="233" s="1"/>
  <c r="N31" i="233"/>
  <c r="F31" i="233"/>
  <c r="Q31" i="233" s="1"/>
  <c r="F69" i="233"/>
  <c r="R69" i="233" s="1"/>
  <c r="L69" i="233"/>
  <c r="P93" i="233"/>
  <c r="J93" i="233"/>
  <c r="O93" i="233"/>
  <c r="I93" i="233"/>
  <c r="M93" i="233"/>
  <c r="L93" i="233"/>
  <c r="K93" i="233"/>
  <c r="F93" i="233"/>
  <c r="G93" i="233"/>
  <c r="H93" i="233"/>
  <c r="N93" i="233"/>
  <c r="M30" i="233"/>
  <c r="G30" i="233"/>
  <c r="L30" i="233"/>
  <c r="F30" i="233"/>
  <c r="K30" i="233"/>
  <c r="N30" i="233"/>
  <c r="O30" i="233"/>
  <c r="J30" i="233"/>
  <c r="I30" i="233"/>
  <c r="H30" i="233"/>
  <c r="Q30" i="233" s="1"/>
  <c r="P30" i="233"/>
  <c r="F79" i="233"/>
  <c r="R79" i="233" s="1"/>
  <c r="D83" i="233"/>
  <c r="L90" i="233"/>
  <c r="R90" i="233" s="1"/>
  <c r="Q90" i="233"/>
  <c r="I62" i="233"/>
  <c r="L50" i="233"/>
  <c r="F50" i="233"/>
  <c r="O50" i="233" s="1"/>
  <c r="K50" i="233"/>
  <c r="J50" i="233"/>
  <c r="I50" i="233"/>
  <c r="H50" i="233"/>
  <c r="G50" i="233"/>
  <c r="M50" i="233"/>
  <c r="N50" i="233"/>
  <c r="F60" i="233"/>
  <c r="R60" i="233"/>
  <c r="F71" i="233"/>
  <c r="F76" i="233" s="1"/>
  <c r="D76" i="233"/>
  <c r="Q5" i="233"/>
  <c r="R5" i="233" s="1"/>
  <c r="N56" i="233"/>
  <c r="H56" i="233"/>
  <c r="M56" i="233"/>
  <c r="G56" i="233"/>
  <c r="P56" i="233"/>
  <c r="F56" i="233"/>
  <c r="Q56" i="233" s="1"/>
  <c r="R56" i="233" s="1"/>
  <c r="O56" i="233"/>
  <c r="L56" i="233"/>
  <c r="J56" i="233"/>
  <c r="I56" i="233"/>
  <c r="K56" i="233"/>
  <c r="M27" i="233"/>
  <c r="G27" i="233"/>
  <c r="G37" i="233" s="1"/>
  <c r="L27" i="233"/>
  <c r="F27" i="233"/>
  <c r="Q27" i="233" s="1"/>
  <c r="K27" i="233"/>
  <c r="H27" i="233"/>
  <c r="P27" i="233"/>
  <c r="O27" i="233"/>
  <c r="J27" i="233"/>
  <c r="N27" i="233"/>
  <c r="I27" i="233"/>
  <c r="L49" i="233"/>
  <c r="L70" i="233" s="1"/>
  <c r="F49" i="233"/>
  <c r="K49" i="233"/>
  <c r="N49" i="233"/>
  <c r="D70" i="233"/>
  <c r="M49" i="233"/>
  <c r="J49" i="233"/>
  <c r="G49" i="233"/>
  <c r="I49" i="233"/>
  <c r="H49" i="233"/>
  <c r="D109" i="233"/>
  <c r="F81" i="233"/>
  <c r="R81" i="233" s="1"/>
  <c r="D45" i="233"/>
  <c r="I42" i="233"/>
  <c r="I45" i="233" s="1"/>
  <c r="D92" i="233"/>
  <c r="F68" i="233"/>
  <c r="R68" i="233" s="1"/>
  <c r="L51" i="233"/>
  <c r="F51" i="233"/>
  <c r="O51" i="233" s="1"/>
  <c r="K51" i="233"/>
  <c r="H51" i="233"/>
  <c r="G51" i="233"/>
  <c r="N51" i="233"/>
  <c r="M51" i="233"/>
  <c r="J51" i="233"/>
  <c r="I51" i="233"/>
  <c r="L64" i="233"/>
  <c r="F64" i="233"/>
  <c r="K64" i="233"/>
  <c r="H64" i="233"/>
  <c r="G64" i="233"/>
  <c r="O64" i="233" s="1"/>
  <c r="N64" i="233"/>
  <c r="M64" i="233"/>
  <c r="J64" i="233"/>
  <c r="I64" i="233"/>
  <c r="M13" i="233"/>
  <c r="G13" i="233"/>
  <c r="P13" i="233"/>
  <c r="I13" i="233"/>
  <c r="O13" i="233"/>
  <c r="H13" i="233"/>
  <c r="N13" i="233"/>
  <c r="F13" i="233"/>
  <c r="K13" i="233"/>
  <c r="L13" i="233"/>
  <c r="J13" i="233"/>
  <c r="R3" i="233"/>
  <c r="F80" i="233"/>
  <c r="R80" i="233" s="1"/>
  <c r="L57" i="233"/>
  <c r="F57" i="233"/>
  <c r="K57" i="233"/>
  <c r="J57" i="233"/>
  <c r="I57" i="233"/>
  <c r="P57" i="233"/>
  <c r="H57" i="233"/>
  <c r="G57" i="233"/>
  <c r="Q57" i="233" s="1"/>
  <c r="N57" i="233"/>
  <c r="M57" i="233"/>
  <c r="O57" i="233"/>
  <c r="N59" i="233"/>
  <c r="H59" i="233"/>
  <c r="M59" i="233"/>
  <c r="G59" i="233"/>
  <c r="J59" i="233"/>
  <c r="I59" i="233"/>
  <c r="P59" i="233"/>
  <c r="F59" i="233"/>
  <c r="Q59" i="233" s="1"/>
  <c r="O59" i="233"/>
  <c r="L59" i="233"/>
  <c r="K59" i="233"/>
  <c r="N46" i="233"/>
  <c r="N47" i="233" s="1"/>
  <c r="K46" i="233"/>
  <c r="K47" i="233" s="1"/>
  <c r="F46" i="233"/>
  <c r="F47" i="233" s="1"/>
  <c r="D47" i="233"/>
  <c r="K14" i="233"/>
  <c r="P14" i="233"/>
  <c r="I14" i="233"/>
  <c r="O14" i="233"/>
  <c r="H14" i="233"/>
  <c r="N14" i="233"/>
  <c r="G14" i="233"/>
  <c r="Q14" i="233" s="1"/>
  <c r="L14" i="233"/>
  <c r="M14" i="233"/>
  <c r="F14" i="233"/>
  <c r="R14" i="233" s="1"/>
  <c r="J14" i="233"/>
  <c r="O73" i="233"/>
  <c r="I73" i="233"/>
  <c r="N73" i="233"/>
  <c r="H73" i="233"/>
  <c r="M73" i="233"/>
  <c r="L73" i="233"/>
  <c r="K73" i="233"/>
  <c r="J73" i="233"/>
  <c r="G73" i="233"/>
  <c r="F73" i="233"/>
  <c r="R73" i="233" s="1"/>
  <c r="L52" i="233"/>
  <c r="F52" i="233"/>
  <c r="K52" i="233"/>
  <c r="N52" i="233"/>
  <c r="M52" i="233"/>
  <c r="J52" i="233"/>
  <c r="G52" i="233"/>
  <c r="H52" i="233"/>
  <c r="I52" i="233"/>
  <c r="L65" i="233"/>
  <c r="F65" i="233"/>
  <c r="R65" i="233" s="1"/>
  <c r="K65" i="233"/>
  <c r="N65" i="233"/>
  <c r="M65" i="233"/>
  <c r="J65" i="233"/>
  <c r="H65" i="233"/>
  <c r="O65" i="233"/>
  <c r="G65" i="233"/>
  <c r="I65" i="233"/>
  <c r="P32" i="233"/>
  <c r="O32" i="233"/>
  <c r="I32" i="233"/>
  <c r="Q32" i="233" s="1"/>
  <c r="N32" i="233"/>
  <c r="H32" i="233"/>
  <c r="M32" i="233"/>
  <c r="G32" i="233"/>
  <c r="J32" i="233"/>
  <c r="K32" i="233"/>
  <c r="F32" i="233"/>
  <c r="L32" i="233"/>
  <c r="M4" i="233"/>
  <c r="M25" i="233" s="1"/>
  <c r="G4" i="233"/>
  <c r="G25" i="233" s="1"/>
  <c r="G48" i="233" s="1"/>
  <c r="L4" i="233"/>
  <c r="F4" i="233"/>
  <c r="F25" i="233" s="1"/>
  <c r="F48" i="233" s="1"/>
  <c r="O4" i="233"/>
  <c r="I4" i="233"/>
  <c r="I25" i="233" s="1"/>
  <c r="K4" i="233"/>
  <c r="K25" i="233" s="1"/>
  <c r="P4" i="233"/>
  <c r="J4" i="233"/>
  <c r="N4" i="233"/>
  <c r="N25" i="233" s="1"/>
  <c r="H4" i="233"/>
  <c r="N12" i="233"/>
  <c r="H12" i="233"/>
  <c r="O12" i="233" s="1"/>
  <c r="M12" i="233"/>
  <c r="G12" i="233"/>
  <c r="L12" i="233"/>
  <c r="F12" i="233"/>
  <c r="J12" i="233"/>
  <c r="K12" i="233"/>
  <c r="I12" i="233"/>
  <c r="D25" i="233"/>
  <c r="Q8" i="233"/>
  <c r="R8" i="233" s="1"/>
  <c r="R8" i="232"/>
  <c r="R32" i="232"/>
  <c r="R56" i="232"/>
  <c r="F24" i="232"/>
  <c r="L24" i="232" s="1"/>
  <c r="R24" i="232" s="1"/>
  <c r="N93" i="232"/>
  <c r="H93" i="232"/>
  <c r="K93" i="232"/>
  <c r="M93" i="232"/>
  <c r="J93" i="232"/>
  <c r="P93" i="232"/>
  <c r="O93" i="232"/>
  <c r="I93" i="232"/>
  <c r="L93" i="232"/>
  <c r="G93" i="232"/>
  <c r="F93" i="232"/>
  <c r="Q93" i="232" s="1"/>
  <c r="F47" i="232"/>
  <c r="R46" i="232"/>
  <c r="R59" i="232"/>
  <c r="L33" i="232"/>
  <c r="J33" i="232"/>
  <c r="I33" i="232"/>
  <c r="O33" i="232"/>
  <c r="G33" i="232"/>
  <c r="H33" i="232"/>
  <c r="F33" i="232"/>
  <c r="P33" i="232"/>
  <c r="K33" i="232"/>
  <c r="N33" i="232"/>
  <c r="M33" i="232"/>
  <c r="D25" i="232"/>
  <c r="P3" i="232"/>
  <c r="J3" i="232"/>
  <c r="N3" i="232"/>
  <c r="G3" i="232"/>
  <c r="M3" i="232"/>
  <c r="F3" i="232"/>
  <c r="L3" i="232"/>
  <c r="O3" i="232"/>
  <c r="K3" i="232"/>
  <c r="I3" i="232"/>
  <c r="H3" i="232"/>
  <c r="H25" i="232" s="1"/>
  <c r="I42" i="232"/>
  <c r="I45" i="232" s="1"/>
  <c r="D45" i="232"/>
  <c r="R42" i="232"/>
  <c r="J49" i="232"/>
  <c r="I49" i="232"/>
  <c r="I70" i="232" s="1"/>
  <c r="M49" i="232"/>
  <c r="K49" i="232"/>
  <c r="D70" i="232"/>
  <c r="L49" i="232"/>
  <c r="H49" i="232"/>
  <c r="G49" i="232"/>
  <c r="O49" i="232" s="1"/>
  <c r="F49" i="232"/>
  <c r="N49" i="232"/>
  <c r="J53" i="232"/>
  <c r="L53" i="232"/>
  <c r="H53" i="232"/>
  <c r="N53" i="232"/>
  <c r="F53" i="232"/>
  <c r="I53" i="232"/>
  <c r="M53" i="232"/>
  <c r="K53" i="232"/>
  <c r="G53" i="232"/>
  <c r="Q32" i="232"/>
  <c r="O51" i="232"/>
  <c r="R51" i="232" s="1"/>
  <c r="N76" i="232"/>
  <c r="O65" i="232"/>
  <c r="R65" i="232" s="1"/>
  <c r="R68" i="232"/>
  <c r="F68" i="232"/>
  <c r="R7" i="232"/>
  <c r="O16" i="232"/>
  <c r="I16" i="232"/>
  <c r="M16" i="232"/>
  <c r="G16" i="232"/>
  <c r="Q16" i="232" s="1"/>
  <c r="H16" i="232"/>
  <c r="P16" i="232"/>
  <c r="F16" i="232"/>
  <c r="N16" i="232"/>
  <c r="J16" i="232"/>
  <c r="K16" i="232"/>
  <c r="L16" i="232"/>
  <c r="F15" i="232"/>
  <c r="L15" i="232" s="1"/>
  <c r="N55" i="232"/>
  <c r="H55" i="232"/>
  <c r="R55" i="232" s="1"/>
  <c r="O55" i="232"/>
  <c r="G55" i="232"/>
  <c r="I55" i="232"/>
  <c r="M55" i="232"/>
  <c r="P55" i="232"/>
  <c r="J55" i="232"/>
  <c r="L55" i="232"/>
  <c r="K55" i="232"/>
  <c r="F55" i="232"/>
  <c r="Q55" i="232" s="1"/>
  <c r="K13" i="232"/>
  <c r="O13" i="232"/>
  <c r="I13" i="232"/>
  <c r="M13" i="232"/>
  <c r="L13" i="232"/>
  <c r="J13" i="232"/>
  <c r="F13" i="232"/>
  <c r="Q13" i="232" s="1"/>
  <c r="G13" i="232"/>
  <c r="P13" i="232"/>
  <c r="N13" i="232"/>
  <c r="H13" i="232"/>
  <c r="P54" i="232"/>
  <c r="P70" i="232" s="1"/>
  <c r="P78" i="232" s="1"/>
  <c r="J54" i="232"/>
  <c r="N54" i="232"/>
  <c r="G54" i="232"/>
  <c r="M54" i="232"/>
  <c r="K54" i="232"/>
  <c r="Q54" i="232"/>
  <c r="O54" i="232"/>
  <c r="I54" i="232"/>
  <c r="L54" i="232"/>
  <c r="F54" i="232"/>
  <c r="H54" i="232"/>
  <c r="R54" i="232"/>
  <c r="J66" i="232"/>
  <c r="L66" i="232"/>
  <c r="K66" i="232"/>
  <c r="H66" i="232"/>
  <c r="N66" i="232"/>
  <c r="M66" i="232"/>
  <c r="I66" i="232"/>
  <c r="G66" i="232"/>
  <c r="F66" i="232"/>
  <c r="O66" i="232" s="1"/>
  <c r="N62" i="232"/>
  <c r="I62" i="232"/>
  <c r="R62" i="232" s="1"/>
  <c r="H94" i="232"/>
  <c r="R94" i="232" s="1"/>
  <c r="O94" i="232"/>
  <c r="R10" i="232"/>
  <c r="O14" i="232"/>
  <c r="I14" i="232"/>
  <c r="M14" i="232"/>
  <c r="G14" i="232"/>
  <c r="H14" i="232"/>
  <c r="P14" i="232"/>
  <c r="F14" i="232"/>
  <c r="Q14" i="232" s="1"/>
  <c r="N14" i="232"/>
  <c r="J14" i="232"/>
  <c r="L14" i="232"/>
  <c r="K14" i="232"/>
  <c r="H77" i="232"/>
  <c r="N77" i="232"/>
  <c r="R77" i="232" s="1"/>
  <c r="F69" i="232"/>
  <c r="K12" i="232"/>
  <c r="I12" i="232"/>
  <c r="O12" i="232" s="1"/>
  <c r="G12" i="232"/>
  <c r="N12" i="232"/>
  <c r="F12" i="232"/>
  <c r="R12" i="232" s="1"/>
  <c r="M12" i="232"/>
  <c r="L12" i="232"/>
  <c r="J12" i="232"/>
  <c r="H12" i="232"/>
  <c r="P27" i="232"/>
  <c r="J27" i="232"/>
  <c r="N27" i="232"/>
  <c r="G27" i="232"/>
  <c r="G37" i="232" s="1"/>
  <c r="L27" i="232"/>
  <c r="F27" i="232"/>
  <c r="Q27" i="232" s="1"/>
  <c r="O27" i="232"/>
  <c r="M27" i="232"/>
  <c r="H27" i="232"/>
  <c r="I27" i="232"/>
  <c r="K27" i="232"/>
  <c r="H67" i="232"/>
  <c r="R67" i="232" s="1"/>
  <c r="K26" i="232"/>
  <c r="N26" i="232"/>
  <c r="D37" i="232"/>
  <c r="J26" i="232"/>
  <c r="H26" i="232"/>
  <c r="Q26" i="232"/>
  <c r="R26" i="232" s="1"/>
  <c r="F26" i="232"/>
  <c r="P26" i="232"/>
  <c r="O26" i="232"/>
  <c r="M26" i="232"/>
  <c r="I26" i="232"/>
  <c r="I37" i="232" s="1"/>
  <c r="M75" i="232"/>
  <c r="G75" i="232"/>
  <c r="I75" i="232"/>
  <c r="N75" i="232"/>
  <c r="K75" i="232"/>
  <c r="O75" i="232"/>
  <c r="L75" i="232"/>
  <c r="J75" i="232"/>
  <c r="H75" i="232"/>
  <c r="F75" i="232"/>
  <c r="R75" i="232" s="1"/>
  <c r="F80" i="232"/>
  <c r="R80" i="232" s="1"/>
  <c r="D83" i="232"/>
  <c r="F79" i="232"/>
  <c r="R79" i="232" s="1"/>
  <c r="O72" i="232"/>
  <c r="R72" i="232" s="1"/>
  <c r="M17" i="232"/>
  <c r="G17" i="232"/>
  <c r="K17" i="232"/>
  <c r="L17" i="232"/>
  <c r="J17" i="232"/>
  <c r="I17" i="232"/>
  <c r="N17" i="232"/>
  <c r="O17" i="232"/>
  <c r="H17" i="232"/>
  <c r="F17" i="232"/>
  <c r="Q17" i="232" s="1"/>
  <c r="P17" i="232"/>
  <c r="R17" i="232" s="1"/>
  <c r="D76" i="232"/>
  <c r="F71" i="232"/>
  <c r="R71" i="232" s="1"/>
  <c r="L5" i="232"/>
  <c r="F5" i="232"/>
  <c r="O5" i="232"/>
  <c r="H5" i="232"/>
  <c r="N5" i="232"/>
  <c r="G5" i="232"/>
  <c r="M5" i="232"/>
  <c r="P5" i="232"/>
  <c r="K5" i="232"/>
  <c r="J5" i="232"/>
  <c r="I5" i="232"/>
  <c r="N28" i="232"/>
  <c r="H28" i="232"/>
  <c r="O28" i="232"/>
  <c r="G28" i="232"/>
  <c r="L28" i="232"/>
  <c r="M28" i="232"/>
  <c r="K28" i="232"/>
  <c r="J28" i="232"/>
  <c r="P28" i="232"/>
  <c r="I28" i="232"/>
  <c r="F28" i="232"/>
  <c r="Q28" i="232" s="1"/>
  <c r="M74" i="232"/>
  <c r="O74" i="232" s="1"/>
  <c r="R74" i="232" s="1"/>
  <c r="G74" i="232"/>
  <c r="G76" i="232" s="1"/>
  <c r="N74" i="232"/>
  <c r="F74" i="232"/>
  <c r="I74" i="232"/>
  <c r="L74" i="232"/>
  <c r="L76" i="232" s="1"/>
  <c r="J74" i="232"/>
  <c r="K74" i="232"/>
  <c r="K76" i="232" s="1"/>
  <c r="H74" i="232"/>
  <c r="H76" i="232" s="1"/>
  <c r="F36" i="232"/>
  <c r="L36" i="232" s="1"/>
  <c r="D87" i="232"/>
  <c r="F88" i="232"/>
  <c r="R81" i="232"/>
  <c r="F81" i="232"/>
  <c r="Q7" i="232"/>
  <c r="J76" i="232"/>
  <c r="I76" i="232"/>
  <c r="G92" i="232"/>
  <c r="H92" i="232"/>
  <c r="F92" i="232"/>
  <c r="L92" i="232"/>
  <c r="K92" i="232"/>
  <c r="I92" i="232"/>
  <c r="J92" i="232"/>
  <c r="R60" i="232"/>
  <c r="F60" i="232"/>
  <c r="R73" i="232"/>
  <c r="N4" i="232"/>
  <c r="H4" i="232"/>
  <c r="O4" i="232"/>
  <c r="G4" i="232"/>
  <c r="M4" i="232"/>
  <c r="F4" i="232"/>
  <c r="Q4" i="232" s="1"/>
  <c r="R4" i="232" s="1"/>
  <c r="L4" i="232"/>
  <c r="P4" i="232"/>
  <c r="K4" i="232"/>
  <c r="J4" i="232"/>
  <c r="I4" i="232"/>
  <c r="L29" i="232"/>
  <c r="F29" i="232"/>
  <c r="O29" i="232"/>
  <c r="H29" i="232"/>
  <c r="Q29" i="232" s="1"/>
  <c r="M29" i="232"/>
  <c r="J29" i="232"/>
  <c r="I29" i="232"/>
  <c r="G29" i="232"/>
  <c r="P29" i="232"/>
  <c r="N29" i="232"/>
  <c r="K29" i="232"/>
  <c r="Q90" i="232"/>
  <c r="R90" i="232"/>
  <c r="L90" i="232"/>
  <c r="F43" i="232"/>
  <c r="F45" i="232" s="1"/>
  <c r="J50" i="232"/>
  <c r="L50" i="232"/>
  <c r="I50" i="232"/>
  <c r="G50" i="232"/>
  <c r="O50" i="232" s="1"/>
  <c r="M50" i="232"/>
  <c r="K50" i="232"/>
  <c r="H50" i="232"/>
  <c r="F50" i="232"/>
  <c r="R50" i="232" s="1"/>
  <c r="N50" i="232"/>
  <c r="F89" i="232"/>
  <c r="L89" i="232" s="1"/>
  <c r="R89" i="232" s="1"/>
  <c r="R58" i="232"/>
  <c r="Q56" i="232"/>
  <c r="R6" i="232"/>
  <c r="R31" i="232"/>
  <c r="Q31" i="232"/>
  <c r="R55" i="231"/>
  <c r="R7" i="231"/>
  <c r="K54" i="231"/>
  <c r="J54" i="231"/>
  <c r="O54" i="231"/>
  <c r="G54" i="231"/>
  <c r="N54" i="231"/>
  <c r="F54" i="231"/>
  <c r="M54" i="231"/>
  <c r="L54" i="231"/>
  <c r="I54" i="231"/>
  <c r="P54" i="231"/>
  <c r="H54" i="231"/>
  <c r="Q54" i="231" s="1"/>
  <c r="R54" i="231" s="1"/>
  <c r="L31" i="231"/>
  <c r="F31" i="231"/>
  <c r="M31" i="231"/>
  <c r="K31" i="231"/>
  <c r="O31" i="231"/>
  <c r="N31" i="231"/>
  <c r="J31" i="231"/>
  <c r="Q31" i="231" s="1"/>
  <c r="G31" i="231"/>
  <c r="H31" i="231"/>
  <c r="P31" i="231"/>
  <c r="I31" i="231"/>
  <c r="H77" i="231"/>
  <c r="L14" i="231"/>
  <c r="F14" i="231"/>
  <c r="F25" i="231" s="1"/>
  <c r="K14" i="231"/>
  <c r="P14" i="231"/>
  <c r="H14" i="231"/>
  <c r="H25" i="231" s="1"/>
  <c r="H48" i="231" s="1"/>
  <c r="O14" i="231"/>
  <c r="G14" i="231"/>
  <c r="N14" i="231"/>
  <c r="Q14" i="231" s="1"/>
  <c r="M14" i="231"/>
  <c r="J14" i="231"/>
  <c r="J25" i="231" s="1"/>
  <c r="J48" i="231" s="1"/>
  <c r="I14" i="231"/>
  <c r="F81" i="231"/>
  <c r="R81" i="231" s="1"/>
  <c r="K49" i="231"/>
  <c r="M49" i="231"/>
  <c r="F49" i="231"/>
  <c r="G49" i="231"/>
  <c r="N49" i="231"/>
  <c r="I49" i="231"/>
  <c r="H49" i="231"/>
  <c r="J49" i="231"/>
  <c r="L49" i="231"/>
  <c r="D70" i="231"/>
  <c r="K57" i="231"/>
  <c r="L57" i="231"/>
  <c r="P57" i="231"/>
  <c r="H57" i="231"/>
  <c r="O57" i="231"/>
  <c r="G57" i="231"/>
  <c r="Q57" i="231" s="1"/>
  <c r="R57" i="231" s="1"/>
  <c r="J57" i="231"/>
  <c r="I57" i="231"/>
  <c r="F57" i="231"/>
  <c r="M57" i="231"/>
  <c r="N57" i="231"/>
  <c r="F69" i="231"/>
  <c r="L69" i="231" s="1"/>
  <c r="R69" i="231" s="1"/>
  <c r="D37" i="231"/>
  <c r="R28" i="231"/>
  <c r="R13" i="231"/>
  <c r="Q55" i="231"/>
  <c r="R6" i="231"/>
  <c r="F36" i="231"/>
  <c r="D86" i="231"/>
  <c r="F86" i="231" s="1"/>
  <c r="N30" i="231"/>
  <c r="H30" i="231"/>
  <c r="H37" i="231" s="1"/>
  <c r="L30" i="231"/>
  <c r="K30" i="231"/>
  <c r="G30" i="231"/>
  <c r="Q30" i="231" s="1"/>
  <c r="P30" i="231"/>
  <c r="F30" i="231"/>
  <c r="O30" i="231"/>
  <c r="M30" i="231"/>
  <c r="J30" i="231"/>
  <c r="I30" i="231"/>
  <c r="R68" i="231"/>
  <c r="F68" i="231"/>
  <c r="N46" i="231"/>
  <c r="N47" i="231" s="1"/>
  <c r="D47" i="231"/>
  <c r="K46" i="231"/>
  <c r="K47" i="231" s="1"/>
  <c r="F46" i="231"/>
  <c r="F47" i="231" s="1"/>
  <c r="F89" i="231"/>
  <c r="L89" i="231"/>
  <c r="K50" i="231"/>
  <c r="H50" i="231"/>
  <c r="L50" i="231"/>
  <c r="J50" i="231"/>
  <c r="R50" i="231" s="1"/>
  <c r="I50" i="231"/>
  <c r="G50" i="231"/>
  <c r="F50" i="231"/>
  <c r="O50" i="231" s="1"/>
  <c r="N50" i="231"/>
  <c r="M50" i="231"/>
  <c r="F60" i="231"/>
  <c r="R60" i="231"/>
  <c r="R71" i="231"/>
  <c r="D76" i="231"/>
  <c r="F71" i="231"/>
  <c r="J37" i="231"/>
  <c r="Q17" i="231"/>
  <c r="R17" i="231"/>
  <c r="O74" i="231"/>
  <c r="R74" i="231" s="1"/>
  <c r="H67" i="231"/>
  <c r="R67" i="231"/>
  <c r="O93" i="231"/>
  <c r="I93" i="231"/>
  <c r="P93" i="231"/>
  <c r="H93" i="231"/>
  <c r="G93" i="231"/>
  <c r="R93" i="231" s="1"/>
  <c r="N93" i="231"/>
  <c r="F93" i="231"/>
  <c r="Q93" i="231" s="1"/>
  <c r="M93" i="231"/>
  <c r="L93" i="231"/>
  <c r="J93" i="231"/>
  <c r="K93" i="231"/>
  <c r="P29" i="231"/>
  <c r="J29" i="231"/>
  <c r="L29" i="231"/>
  <c r="K29" i="231"/>
  <c r="K37" i="231" s="1"/>
  <c r="I29" i="231"/>
  <c r="H29" i="231"/>
  <c r="G29" i="231"/>
  <c r="G37" i="231" s="1"/>
  <c r="M29" i="231"/>
  <c r="M37" i="231" s="1"/>
  <c r="F29" i="231"/>
  <c r="Q29" i="231" s="1"/>
  <c r="N29" i="231"/>
  <c r="O29" i="231"/>
  <c r="O37" i="231" s="1"/>
  <c r="N61" i="231"/>
  <c r="H61" i="231"/>
  <c r="J61" i="231"/>
  <c r="O61" i="231"/>
  <c r="F61" i="231"/>
  <c r="Q61" i="231" s="1"/>
  <c r="M61" i="231"/>
  <c r="P61" i="231"/>
  <c r="L61" i="231"/>
  <c r="K61" i="231"/>
  <c r="I61" i="231"/>
  <c r="G61" i="231"/>
  <c r="O58" i="231"/>
  <c r="I58" i="231"/>
  <c r="L58" i="231"/>
  <c r="K58" i="231"/>
  <c r="J58" i="231"/>
  <c r="H58" i="231"/>
  <c r="R58" i="231" s="1"/>
  <c r="G58" i="231"/>
  <c r="Q58" i="231"/>
  <c r="F58" i="231"/>
  <c r="P58" i="231"/>
  <c r="N58" i="231"/>
  <c r="M58" i="231"/>
  <c r="D109" i="231"/>
  <c r="K51" i="231"/>
  <c r="J51" i="231"/>
  <c r="H51" i="231"/>
  <c r="G51" i="231"/>
  <c r="L51" i="231"/>
  <c r="I51" i="231"/>
  <c r="F51" i="231"/>
  <c r="M51" i="231"/>
  <c r="N51" i="231"/>
  <c r="K64" i="231"/>
  <c r="J64" i="231"/>
  <c r="L64" i="231"/>
  <c r="I64" i="231"/>
  <c r="H64" i="231"/>
  <c r="O64" i="231" s="1"/>
  <c r="R64" i="231" s="1"/>
  <c r="G64" i="231"/>
  <c r="F64" i="231"/>
  <c r="M64" i="231"/>
  <c r="N64" i="231"/>
  <c r="O12" i="231"/>
  <c r="R12" i="231" s="1"/>
  <c r="Q4" i="231"/>
  <c r="R4" i="231" s="1"/>
  <c r="F79" i="231"/>
  <c r="F83" i="231" s="1"/>
  <c r="D83" i="231"/>
  <c r="R83" i="231" s="1"/>
  <c r="N75" i="231"/>
  <c r="H75" i="231"/>
  <c r="L75" i="231"/>
  <c r="G75" i="231"/>
  <c r="O75" i="231"/>
  <c r="F75" i="231"/>
  <c r="M75" i="231"/>
  <c r="K75" i="231"/>
  <c r="J75" i="231"/>
  <c r="R75" i="231" s="1"/>
  <c r="I75" i="231"/>
  <c r="R33" i="231"/>
  <c r="N73" i="231"/>
  <c r="H73" i="231"/>
  <c r="G73" i="231"/>
  <c r="O73" i="231" s="1"/>
  <c r="M73" i="231"/>
  <c r="L73" i="231"/>
  <c r="K73" i="231"/>
  <c r="F73" i="231"/>
  <c r="R73" i="231" s="1"/>
  <c r="J73" i="231"/>
  <c r="I73" i="231"/>
  <c r="R44" i="231"/>
  <c r="L44" i="231"/>
  <c r="L45" i="231" s="1"/>
  <c r="D45" i="231"/>
  <c r="M59" i="231"/>
  <c r="G59" i="231"/>
  <c r="Q59" i="231" s="1"/>
  <c r="L59" i="231"/>
  <c r="O59" i="231"/>
  <c r="F59" i="231"/>
  <c r="N59" i="231"/>
  <c r="I59" i="231"/>
  <c r="P59" i="231"/>
  <c r="H59" i="231"/>
  <c r="J59" i="231"/>
  <c r="K59" i="231"/>
  <c r="D92" i="231"/>
  <c r="K52" i="231"/>
  <c r="M52" i="231"/>
  <c r="F52" i="231"/>
  <c r="N52" i="231"/>
  <c r="L52" i="231"/>
  <c r="J52" i="231"/>
  <c r="I52" i="231"/>
  <c r="H52" i="231"/>
  <c r="G52" i="231"/>
  <c r="K65" i="231"/>
  <c r="M65" i="231"/>
  <c r="F65" i="231"/>
  <c r="H65" i="231"/>
  <c r="G65" i="231"/>
  <c r="J65" i="231"/>
  <c r="I65" i="231"/>
  <c r="N65" i="231"/>
  <c r="L65" i="231"/>
  <c r="R3" i="231"/>
  <c r="M56" i="231"/>
  <c r="G56" i="231"/>
  <c r="K56" i="231"/>
  <c r="N56" i="231"/>
  <c r="L56" i="231"/>
  <c r="J56" i="231"/>
  <c r="I56" i="231"/>
  <c r="H56" i="231"/>
  <c r="R56" i="231" s="1"/>
  <c r="P56" i="231"/>
  <c r="O56" i="231"/>
  <c r="F56" i="231"/>
  <c r="Q56" i="231" s="1"/>
  <c r="L16" i="231"/>
  <c r="L25" i="231" s="1"/>
  <c r="F16" i="231"/>
  <c r="K16" i="231"/>
  <c r="K25" i="231" s="1"/>
  <c r="P16" i="231"/>
  <c r="H16" i="231"/>
  <c r="O16" i="231"/>
  <c r="G16" i="231"/>
  <c r="G25" i="231" s="1"/>
  <c r="G48" i="231" s="1"/>
  <c r="N16" i="231"/>
  <c r="Q16" i="231" s="1"/>
  <c r="I16" i="231"/>
  <c r="M16" i="231"/>
  <c r="M25" i="231" s="1"/>
  <c r="M48" i="231" s="1"/>
  <c r="J16" i="231"/>
  <c r="P25" i="231"/>
  <c r="F63" i="231"/>
  <c r="R63" i="231"/>
  <c r="F82" i="231"/>
  <c r="R82" i="231"/>
  <c r="O32" i="231"/>
  <c r="J32" i="231"/>
  <c r="M32" i="231"/>
  <c r="F32" i="231"/>
  <c r="L32" i="231"/>
  <c r="K32" i="231"/>
  <c r="I32" i="231"/>
  <c r="I37" i="231" s="1"/>
  <c r="H32" i="231"/>
  <c r="N32" i="231"/>
  <c r="N37" i="231" s="1"/>
  <c r="G32" i="231"/>
  <c r="P32" i="231"/>
  <c r="N72" i="231"/>
  <c r="N76" i="231" s="1"/>
  <c r="H72" i="231"/>
  <c r="L72" i="231"/>
  <c r="L76" i="231" s="1"/>
  <c r="I72" i="231"/>
  <c r="G72" i="231"/>
  <c r="K72" i="231"/>
  <c r="K76" i="231" s="1"/>
  <c r="J72" i="231"/>
  <c r="F72" i="231"/>
  <c r="O72" i="231" s="1"/>
  <c r="M72" i="231"/>
  <c r="M76" i="231" s="1"/>
  <c r="H94" i="231"/>
  <c r="O94" i="231" s="1"/>
  <c r="K53" i="231"/>
  <c r="R53" i="231" s="1"/>
  <c r="H53" i="231"/>
  <c r="J53" i="231"/>
  <c r="I53" i="231"/>
  <c r="M53" i="231"/>
  <c r="L53" i="231"/>
  <c r="G53" i="231"/>
  <c r="N53" i="231"/>
  <c r="F53" i="231"/>
  <c r="O53" i="231" s="1"/>
  <c r="K66" i="231"/>
  <c r="H66" i="231"/>
  <c r="M66" i="231"/>
  <c r="L66" i="231"/>
  <c r="J66" i="231"/>
  <c r="F66" i="231"/>
  <c r="I66" i="231"/>
  <c r="G66" i="231"/>
  <c r="N66" i="231"/>
  <c r="P37" i="231"/>
  <c r="Q33" i="231"/>
  <c r="I25" i="231"/>
  <c r="R3" i="230"/>
  <c r="R13" i="230"/>
  <c r="L36" i="230"/>
  <c r="R36" i="230" s="1"/>
  <c r="F36" i="230"/>
  <c r="F63" i="230"/>
  <c r="R63" i="230" s="1"/>
  <c r="Q90" i="230"/>
  <c r="L90" i="230"/>
  <c r="R90" i="230" s="1"/>
  <c r="K17" i="230"/>
  <c r="R17" i="230" s="1"/>
  <c r="P17" i="230"/>
  <c r="J17" i="230"/>
  <c r="O17" i="230"/>
  <c r="I17" i="230"/>
  <c r="N17" i="230"/>
  <c r="M17" i="230"/>
  <c r="H17" i="230"/>
  <c r="L17" i="230"/>
  <c r="G17" i="230"/>
  <c r="F17" i="230"/>
  <c r="Q17" i="230" s="1"/>
  <c r="F11" i="230"/>
  <c r="R11" i="230" s="1"/>
  <c r="M31" i="230"/>
  <c r="G31" i="230"/>
  <c r="L31" i="230"/>
  <c r="F31" i="230"/>
  <c r="Q31" i="230" s="1"/>
  <c r="P31" i="230"/>
  <c r="J31" i="230"/>
  <c r="K31" i="230"/>
  <c r="I31" i="230"/>
  <c r="H31" i="230"/>
  <c r="O31" i="230"/>
  <c r="N31" i="230"/>
  <c r="F79" i="230"/>
  <c r="D83" i="230"/>
  <c r="N49" i="230"/>
  <c r="H49" i="230"/>
  <c r="M49" i="230"/>
  <c r="G49" i="230"/>
  <c r="L49" i="230"/>
  <c r="F49" i="230"/>
  <c r="K49" i="230"/>
  <c r="J49" i="230"/>
  <c r="I49" i="230"/>
  <c r="D70" i="230"/>
  <c r="N57" i="230"/>
  <c r="H57" i="230"/>
  <c r="M57" i="230"/>
  <c r="G57" i="230"/>
  <c r="L57" i="230"/>
  <c r="F57" i="230"/>
  <c r="Q57" i="230" s="1"/>
  <c r="K57" i="230"/>
  <c r="P57" i="230"/>
  <c r="J57" i="230"/>
  <c r="O57" i="230"/>
  <c r="I57" i="230"/>
  <c r="F69" i="230"/>
  <c r="D109" i="230"/>
  <c r="F82" i="230"/>
  <c r="R82" i="230" s="1"/>
  <c r="F68" i="230"/>
  <c r="R68" i="230" s="1"/>
  <c r="L93" i="230"/>
  <c r="F93" i="230"/>
  <c r="Q93" i="230" s="1"/>
  <c r="K93" i="230"/>
  <c r="P93" i="230"/>
  <c r="J93" i="230"/>
  <c r="O93" i="230"/>
  <c r="I93" i="230"/>
  <c r="N93" i="230"/>
  <c r="H93" i="230"/>
  <c r="M93" i="230"/>
  <c r="G93" i="230"/>
  <c r="R10" i="230"/>
  <c r="Q7" i="230"/>
  <c r="R7" i="230" s="1"/>
  <c r="Q3" i="230"/>
  <c r="R56" i="230"/>
  <c r="R12" i="230"/>
  <c r="H77" i="230"/>
  <c r="N54" i="230"/>
  <c r="H54" i="230"/>
  <c r="M54" i="230"/>
  <c r="G54" i="230"/>
  <c r="L54" i="230"/>
  <c r="F54" i="230"/>
  <c r="R54" i="230" s="1"/>
  <c r="Q54" i="230"/>
  <c r="K54" i="230"/>
  <c r="P54" i="230"/>
  <c r="J54" i="230"/>
  <c r="O54" i="230"/>
  <c r="I54" i="230"/>
  <c r="F15" i="230"/>
  <c r="L15" i="230" s="1"/>
  <c r="R15" i="230" s="1"/>
  <c r="L8" i="230"/>
  <c r="L25" i="230" s="1"/>
  <c r="F8" i="230"/>
  <c r="K8" i="230"/>
  <c r="P8" i="230"/>
  <c r="J8" i="230"/>
  <c r="I8" i="230"/>
  <c r="O8" i="230"/>
  <c r="H8" i="230"/>
  <c r="Q8" i="230" s="1"/>
  <c r="G8" i="230"/>
  <c r="N8" i="230"/>
  <c r="M8" i="230"/>
  <c r="M28" i="230"/>
  <c r="M37" i="230" s="1"/>
  <c r="G28" i="230"/>
  <c r="Q28" i="230" s="1"/>
  <c r="L28" i="230"/>
  <c r="F28" i="230"/>
  <c r="K28" i="230"/>
  <c r="K37" i="230" s="1"/>
  <c r="P28" i="230"/>
  <c r="P37" i="230" s="1"/>
  <c r="J28" i="230"/>
  <c r="J37" i="230" s="1"/>
  <c r="O28" i="230"/>
  <c r="N28" i="230"/>
  <c r="I28" i="230"/>
  <c r="H28" i="230"/>
  <c r="H37" i="230" s="1"/>
  <c r="F81" i="230"/>
  <c r="R81" i="230" s="1"/>
  <c r="N50" i="230"/>
  <c r="H50" i="230"/>
  <c r="M50" i="230"/>
  <c r="G50" i="230"/>
  <c r="L50" i="230"/>
  <c r="F50" i="230"/>
  <c r="K50" i="230"/>
  <c r="J50" i="230"/>
  <c r="I50" i="230"/>
  <c r="R60" i="230"/>
  <c r="F60" i="230"/>
  <c r="D76" i="230"/>
  <c r="F71" i="230"/>
  <c r="K72" i="230"/>
  <c r="J72" i="230"/>
  <c r="I72" i="230"/>
  <c r="N72" i="230"/>
  <c r="H72" i="230"/>
  <c r="M72" i="230"/>
  <c r="G72" i="230"/>
  <c r="L72" i="230"/>
  <c r="F72" i="230"/>
  <c r="O72" i="230" s="1"/>
  <c r="Q27" i="230"/>
  <c r="R27" i="230" s="1"/>
  <c r="Q26" i="230"/>
  <c r="R26" i="230" s="1"/>
  <c r="R6" i="230"/>
  <c r="K29" i="230"/>
  <c r="P29" i="230"/>
  <c r="J29" i="230"/>
  <c r="N29" i="230"/>
  <c r="H29" i="230"/>
  <c r="O29" i="230"/>
  <c r="I29" i="230"/>
  <c r="L29" i="230"/>
  <c r="M29" i="230"/>
  <c r="G29" i="230"/>
  <c r="F29" i="230"/>
  <c r="Q29" i="230" s="1"/>
  <c r="F88" i="230"/>
  <c r="D87" i="230"/>
  <c r="L5" i="230"/>
  <c r="F5" i="230"/>
  <c r="K5" i="230"/>
  <c r="P5" i="230"/>
  <c r="P25" i="230" s="1"/>
  <c r="P48" i="230" s="1"/>
  <c r="J5" i="230"/>
  <c r="O5" i="230"/>
  <c r="N5" i="230"/>
  <c r="I5" i="230"/>
  <c r="I25" i="230" s="1"/>
  <c r="I48" i="230" s="1"/>
  <c r="M5" i="230"/>
  <c r="H5" i="230"/>
  <c r="Q5" i="230" s="1"/>
  <c r="G5" i="230"/>
  <c r="M16" i="230"/>
  <c r="G16" i="230"/>
  <c r="L16" i="230"/>
  <c r="F16" i="230"/>
  <c r="Q16" i="230" s="1"/>
  <c r="K16" i="230"/>
  <c r="P16" i="230"/>
  <c r="J16" i="230"/>
  <c r="J25" i="230" s="1"/>
  <c r="J48" i="230" s="1"/>
  <c r="O16" i="230"/>
  <c r="N16" i="230"/>
  <c r="I16" i="230"/>
  <c r="H16" i="230"/>
  <c r="L89" i="230"/>
  <c r="F89" i="230"/>
  <c r="R89" i="230" s="1"/>
  <c r="N51" i="230"/>
  <c r="H51" i="230"/>
  <c r="M51" i="230"/>
  <c r="G51" i="230"/>
  <c r="L51" i="230"/>
  <c r="F51" i="230"/>
  <c r="K51" i="230"/>
  <c r="J51" i="230"/>
  <c r="I51" i="230"/>
  <c r="O51" i="230" s="1"/>
  <c r="N64" i="230"/>
  <c r="H64" i="230"/>
  <c r="M64" i="230"/>
  <c r="G64" i="230"/>
  <c r="L64" i="230"/>
  <c r="F64" i="230"/>
  <c r="O64" i="230" s="1"/>
  <c r="R64" i="230" s="1"/>
  <c r="K64" i="230"/>
  <c r="J64" i="230"/>
  <c r="I64" i="230"/>
  <c r="K73" i="230"/>
  <c r="J73" i="230"/>
  <c r="I73" i="230"/>
  <c r="N73" i="230"/>
  <c r="H73" i="230"/>
  <c r="M73" i="230"/>
  <c r="G73" i="230"/>
  <c r="L73" i="230"/>
  <c r="F73" i="230"/>
  <c r="O73" i="230" s="1"/>
  <c r="G37" i="230"/>
  <c r="F80" i="230"/>
  <c r="R80" i="230"/>
  <c r="R44" i="230"/>
  <c r="M14" i="230"/>
  <c r="G14" i="230"/>
  <c r="L14" i="230"/>
  <c r="F14" i="230"/>
  <c r="K14" i="230"/>
  <c r="J14" i="230"/>
  <c r="I14" i="230"/>
  <c r="P14" i="230"/>
  <c r="H14" i="230"/>
  <c r="O14" i="230"/>
  <c r="N14" i="230"/>
  <c r="N25" i="230" s="1"/>
  <c r="N52" i="230"/>
  <c r="H52" i="230"/>
  <c r="M52" i="230"/>
  <c r="G52" i="230"/>
  <c r="L52" i="230"/>
  <c r="F52" i="230"/>
  <c r="K52" i="230"/>
  <c r="J52" i="230"/>
  <c r="I52" i="230"/>
  <c r="N65" i="230"/>
  <c r="H65" i="230"/>
  <c r="M65" i="230"/>
  <c r="G65" i="230"/>
  <c r="L65" i="230"/>
  <c r="F65" i="230"/>
  <c r="K65" i="230"/>
  <c r="O65" i="230" s="1"/>
  <c r="J65" i="230"/>
  <c r="I65" i="230"/>
  <c r="L55" i="230"/>
  <c r="F55" i="230"/>
  <c r="Q55" i="230" s="1"/>
  <c r="K55" i="230"/>
  <c r="P55" i="230"/>
  <c r="J55" i="230"/>
  <c r="O55" i="230"/>
  <c r="I55" i="230"/>
  <c r="N55" i="230"/>
  <c r="H55" i="230"/>
  <c r="G55" i="230"/>
  <c r="R55" i="230" s="1"/>
  <c r="M55" i="230"/>
  <c r="D47" i="230"/>
  <c r="N46" i="230"/>
  <c r="N47" i="230" s="1"/>
  <c r="K46" i="230"/>
  <c r="K47" i="230" s="1"/>
  <c r="F46" i="230"/>
  <c r="F47" i="230" s="1"/>
  <c r="K74" i="230"/>
  <c r="J74" i="230"/>
  <c r="I74" i="230"/>
  <c r="N74" i="230"/>
  <c r="H74" i="230"/>
  <c r="M74" i="230"/>
  <c r="R74" i="230" s="1"/>
  <c r="G74" i="230"/>
  <c r="F74" i="230"/>
  <c r="O74" i="230" s="1"/>
  <c r="L74" i="230"/>
  <c r="Q30" i="230"/>
  <c r="R30" i="230" s="1"/>
  <c r="Q9" i="230"/>
  <c r="R9" i="230" s="1"/>
  <c r="H67" i="230"/>
  <c r="R67" i="230" s="1"/>
  <c r="K32" i="230"/>
  <c r="P32" i="230"/>
  <c r="J32" i="230"/>
  <c r="N32" i="230"/>
  <c r="H32" i="230"/>
  <c r="O32" i="230"/>
  <c r="O37" i="230" s="1"/>
  <c r="I32" i="230"/>
  <c r="M32" i="230"/>
  <c r="Q32" i="230" s="1"/>
  <c r="L32" i="230"/>
  <c r="F32" i="230"/>
  <c r="G32" i="230"/>
  <c r="D92" i="230"/>
  <c r="I62" i="230"/>
  <c r="N62" i="230" s="1"/>
  <c r="R62" i="230" s="1"/>
  <c r="O94" i="230"/>
  <c r="H94" i="230"/>
  <c r="R94" i="230" s="1"/>
  <c r="N53" i="230"/>
  <c r="H53" i="230"/>
  <c r="M53" i="230"/>
  <c r="G53" i="230"/>
  <c r="L53" i="230"/>
  <c r="F53" i="230"/>
  <c r="K53" i="230"/>
  <c r="J53" i="230"/>
  <c r="I53" i="230"/>
  <c r="N66" i="230"/>
  <c r="H66" i="230"/>
  <c r="M66" i="230"/>
  <c r="G66" i="230"/>
  <c r="L66" i="230"/>
  <c r="F66" i="230"/>
  <c r="O66" i="230" s="1"/>
  <c r="R66" i="230" s="1"/>
  <c r="K66" i="230"/>
  <c r="J66" i="230"/>
  <c r="I66" i="230"/>
  <c r="R43" i="230"/>
  <c r="F43" i="230"/>
  <c r="F45" i="230" s="1"/>
  <c r="L58" i="230"/>
  <c r="F58" i="230"/>
  <c r="K58" i="230"/>
  <c r="P58" i="230"/>
  <c r="J58" i="230"/>
  <c r="O58" i="230"/>
  <c r="I58" i="230"/>
  <c r="N58" i="230"/>
  <c r="H58" i="230"/>
  <c r="M58" i="230"/>
  <c r="G58" i="230"/>
  <c r="Q58" i="230" s="1"/>
  <c r="K61" i="230"/>
  <c r="P61" i="230"/>
  <c r="J61" i="230"/>
  <c r="O61" i="230"/>
  <c r="I61" i="230"/>
  <c r="N61" i="230"/>
  <c r="H61" i="230"/>
  <c r="M61" i="230"/>
  <c r="G61" i="230"/>
  <c r="F61" i="230"/>
  <c r="Q61" i="230" s="1"/>
  <c r="R61" i="230" s="1"/>
  <c r="L61" i="230"/>
  <c r="K75" i="230"/>
  <c r="J75" i="230"/>
  <c r="I75" i="230"/>
  <c r="N75" i="230"/>
  <c r="H75" i="230"/>
  <c r="M75" i="230"/>
  <c r="G75" i="230"/>
  <c r="L75" i="230"/>
  <c r="F75" i="230"/>
  <c r="G25" i="230"/>
  <c r="I37" i="230"/>
  <c r="R42" i="230"/>
  <c r="O25" i="230"/>
  <c r="R57" i="229"/>
  <c r="R54" i="229"/>
  <c r="R8" i="229"/>
  <c r="P27" i="229"/>
  <c r="J27" i="229"/>
  <c r="O27" i="229"/>
  <c r="O37" i="229" s="1"/>
  <c r="H27" i="229"/>
  <c r="H37" i="229" s="1"/>
  <c r="L27" i="229"/>
  <c r="F27" i="229"/>
  <c r="N27" i="229"/>
  <c r="M27" i="229"/>
  <c r="K27" i="229"/>
  <c r="K37" i="229" s="1"/>
  <c r="I27" i="229"/>
  <c r="G27" i="229"/>
  <c r="H67" i="229"/>
  <c r="R67" i="229" s="1"/>
  <c r="M61" i="229"/>
  <c r="G61" i="229"/>
  <c r="N61" i="229"/>
  <c r="F61" i="229"/>
  <c r="O61" i="229"/>
  <c r="J61" i="229"/>
  <c r="H61" i="229"/>
  <c r="K61" i="229"/>
  <c r="P61" i="229"/>
  <c r="L61" i="229"/>
  <c r="I61" i="229"/>
  <c r="Q61" i="229" s="1"/>
  <c r="J50" i="229"/>
  <c r="L50" i="229"/>
  <c r="K50" i="229"/>
  <c r="G50" i="229"/>
  <c r="M50" i="229"/>
  <c r="I50" i="229"/>
  <c r="H50" i="229"/>
  <c r="F50" i="229"/>
  <c r="R50" i="229" s="1"/>
  <c r="N50" i="229"/>
  <c r="O50" i="229" s="1"/>
  <c r="F89" i="229"/>
  <c r="L89" i="229" s="1"/>
  <c r="R89" i="229" s="1"/>
  <c r="R93" i="229"/>
  <c r="O75" i="229"/>
  <c r="R75" i="229" s="1"/>
  <c r="R33" i="229"/>
  <c r="D92" i="229"/>
  <c r="L5" i="229"/>
  <c r="F5" i="229"/>
  <c r="P5" i="229"/>
  <c r="I5" i="229"/>
  <c r="O5" i="229"/>
  <c r="H5" i="229"/>
  <c r="N5" i="229"/>
  <c r="G5" i="229"/>
  <c r="M5" i="229"/>
  <c r="K5" i="229"/>
  <c r="J5" i="229"/>
  <c r="N28" i="229"/>
  <c r="N37" i="229" s="1"/>
  <c r="H28" i="229"/>
  <c r="P28" i="229"/>
  <c r="I28" i="229"/>
  <c r="L28" i="229"/>
  <c r="M28" i="229"/>
  <c r="K28" i="229"/>
  <c r="J28" i="229"/>
  <c r="G28" i="229"/>
  <c r="O28" i="229"/>
  <c r="F28" i="229"/>
  <c r="M74" i="229"/>
  <c r="G74" i="229"/>
  <c r="N74" i="229"/>
  <c r="F74" i="229"/>
  <c r="R74" i="229" s="1"/>
  <c r="J74" i="229"/>
  <c r="L74" i="229"/>
  <c r="K74" i="229"/>
  <c r="I74" i="229"/>
  <c r="H74" i="229"/>
  <c r="O74" i="229" s="1"/>
  <c r="R63" i="229"/>
  <c r="F63" i="229"/>
  <c r="J53" i="229"/>
  <c r="L53" i="229"/>
  <c r="I53" i="229"/>
  <c r="N53" i="229"/>
  <c r="F53" i="229"/>
  <c r="M53" i="229"/>
  <c r="K53" i="229"/>
  <c r="H53" i="229"/>
  <c r="G53" i="229"/>
  <c r="R31" i="229"/>
  <c r="R9" i="229"/>
  <c r="R7" i="229"/>
  <c r="O51" i="229"/>
  <c r="R10" i="229"/>
  <c r="Q26" i="229"/>
  <c r="R26" i="229" s="1"/>
  <c r="O72" i="229"/>
  <c r="R72" i="229" s="1"/>
  <c r="L29" i="229"/>
  <c r="F29" i="229"/>
  <c r="P29" i="229"/>
  <c r="I29" i="229"/>
  <c r="M29" i="229"/>
  <c r="J29" i="229"/>
  <c r="H29" i="229"/>
  <c r="G29" i="229"/>
  <c r="Q29" i="229" s="1"/>
  <c r="O29" i="229"/>
  <c r="N29" i="229"/>
  <c r="K29" i="229"/>
  <c r="M73" i="229"/>
  <c r="G73" i="229"/>
  <c r="G76" i="229" s="1"/>
  <c r="K73" i="229"/>
  <c r="N73" i="229"/>
  <c r="I73" i="229"/>
  <c r="O73" i="229" s="1"/>
  <c r="R73" i="229" s="1"/>
  <c r="L73" i="229"/>
  <c r="J73" i="229"/>
  <c r="J76" i="229" s="1"/>
  <c r="F73" i="229"/>
  <c r="H73" i="229"/>
  <c r="H94" i="229"/>
  <c r="M76" i="229"/>
  <c r="I12" i="229"/>
  <c r="H12" i="229"/>
  <c r="N12" i="229"/>
  <c r="G12" i="229"/>
  <c r="M12" i="229"/>
  <c r="F12" i="229"/>
  <c r="L12" i="229"/>
  <c r="K12" i="229"/>
  <c r="J12" i="229"/>
  <c r="J49" i="229"/>
  <c r="I49" i="229"/>
  <c r="N49" i="229"/>
  <c r="F49" i="229"/>
  <c r="K49" i="229"/>
  <c r="D70" i="229"/>
  <c r="L49" i="229"/>
  <c r="H49" i="229"/>
  <c r="H70" i="229" s="1"/>
  <c r="G49" i="229"/>
  <c r="O49" i="229" s="1"/>
  <c r="M49" i="229"/>
  <c r="Q90" i="229"/>
  <c r="L90" i="229"/>
  <c r="R90" i="229" s="1"/>
  <c r="N62" i="229"/>
  <c r="R62" i="229" s="1"/>
  <c r="I62" i="229"/>
  <c r="N76" i="229"/>
  <c r="Q57" i="229"/>
  <c r="J37" i="229"/>
  <c r="R16" i="229"/>
  <c r="F68" i="229"/>
  <c r="R68" i="229" s="1"/>
  <c r="L32" i="229"/>
  <c r="F32" i="229"/>
  <c r="Q32" i="229" s="1"/>
  <c r="J32" i="229"/>
  <c r="N32" i="229"/>
  <c r="G32" i="229"/>
  <c r="K32" i="229"/>
  <c r="I32" i="229"/>
  <c r="H32" i="229"/>
  <c r="P32" i="229"/>
  <c r="O32" i="229"/>
  <c r="M32" i="229"/>
  <c r="D25" i="229"/>
  <c r="P3" i="229"/>
  <c r="P25" i="229" s="1"/>
  <c r="J3" i="229"/>
  <c r="J25" i="229" s="1"/>
  <c r="O3" i="229"/>
  <c r="H3" i="229"/>
  <c r="N3" i="229"/>
  <c r="G3" i="229"/>
  <c r="M3" i="229"/>
  <c r="F3" i="229"/>
  <c r="L3" i="229"/>
  <c r="K3" i="229"/>
  <c r="I3" i="229"/>
  <c r="I25" i="229" s="1"/>
  <c r="I42" i="229"/>
  <c r="I45" i="229" s="1"/>
  <c r="D45" i="229"/>
  <c r="F82" i="229"/>
  <c r="R82" i="229"/>
  <c r="R71" i="229"/>
  <c r="D76" i="229"/>
  <c r="D109" i="229" s="1"/>
  <c r="F71" i="229"/>
  <c r="F76" i="229" s="1"/>
  <c r="H77" i="229"/>
  <c r="N77" i="229" s="1"/>
  <c r="R77" i="229" s="1"/>
  <c r="L76" i="229"/>
  <c r="Q47" i="229"/>
  <c r="R47" i="229" s="1"/>
  <c r="Q13" i="229"/>
  <c r="R13" i="229" s="1"/>
  <c r="Q6" i="229"/>
  <c r="R6" i="229" s="1"/>
  <c r="K76" i="229"/>
  <c r="N4" i="229"/>
  <c r="H4" i="229"/>
  <c r="P4" i="229"/>
  <c r="I4" i="229"/>
  <c r="O4" i="229"/>
  <c r="G4" i="229"/>
  <c r="M4" i="229"/>
  <c r="F4" i="229"/>
  <c r="R4" i="229" s="1"/>
  <c r="L4" i="229"/>
  <c r="J4" i="229"/>
  <c r="K4" i="229"/>
  <c r="Q4" i="229"/>
  <c r="J66" i="229"/>
  <c r="L66" i="229"/>
  <c r="M66" i="229"/>
  <c r="H66" i="229"/>
  <c r="N66" i="229"/>
  <c r="K66" i="229"/>
  <c r="I66" i="229"/>
  <c r="F66" i="229"/>
  <c r="G66" i="229"/>
  <c r="D37" i="229"/>
  <c r="J64" i="229"/>
  <c r="N64" i="229"/>
  <c r="G64" i="229"/>
  <c r="K64" i="229"/>
  <c r="O64" i="229"/>
  <c r="F64" i="229"/>
  <c r="R64" i="229" s="1"/>
  <c r="L64" i="229"/>
  <c r="I64" i="229"/>
  <c r="H64" i="229"/>
  <c r="M64" i="229"/>
  <c r="R15" i="229"/>
  <c r="L15" i="229"/>
  <c r="F15" i="229"/>
  <c r="N55" i="229"/>
  <c r="H55" i="229"/>
  <c r="O55" i="229"/>
  <c r="G55" i="229"/>
  <c r="R55" i="229" s="1"/>
  <c r="J55" i="229"/>
  <c r="M55" i="229"/>
  <c r="P55" i="229"/>
  <c r="L55" i="229"/>
  <c r="K55" i="229"/>
  <c r="I55" i="229"/>
  <c r="F55" i="229"/>
  <c r="Q55" i="229" s="1"/>
  <c r="J52" i="229"/>
  <c r="I52" i="229"/>
  <c r="M52" i="229"/>
  <c r="H52" i="229"/>
  <c r="N52" i="229"/>
  <c r="L52" i="229"/>
  <c r="K52" i="229"/>
  <c r="G52" i="229"/>
  <c r="F52" i="229"/>
  <c r="O52" i="229" s="1"/>
  <c r="F80" i="229"/>
  <c r="R80" i="229" s="1"/>
  <c r="D83" i="229"/>
  <c r="F79" i="229"/>
  <c r="R79" i="229" s="1"/>
  <c r="R46" i="229"/>
  <c r="R51" i="229"/>
  <c r="R30" i="229"/>
  <c r="Q14" i="229"/>
  <c r="R14" i="229" s="1"/>
  <c r="Q56" i="229"/>
  <c r="R56" i="229" s="1"/>
  <c r="N58" i="229"/>
  <c r="H58" i="229"/>
  <c r="P58" i="229"/>
  <c r="I58" i="229"/>
  <c r="K58" i="229"/>
  <c r="O58" i="229"/>
  <c r="F58" i="229"/>
  <c r="Q58" i="229" s="1"/>
  <c r="R58" i="229" s="1"/>
  <c r="L58" i="229"/>
  <c r="J58" i="229"/>
  <c r="G58" i="229"/>
  <c r="M58" i="229"/>
  <c r="N17" i="229"/>
  <c r="H17" i="229"/>
  <c r="K17" i="229"/>
  <c r="L17" i="229"/>
  <c r="J17" i="229"/>
  <c r="I17" i="229"/>
  <c r="P17" i="229"/>
  <c r="G17" i="229"/>
  <c r="Q17" i="229" s="1"/>
  <c r="M17" i="229"/>
  <c r="F17" i="229"/>
  <c r="R17" i="229" s="1"/>
  <c r="O17" i="229"/>
  <c r="F60" i="229"/>
  <c r="R60" i="229" s="1"/>
  <c r="L59" i="229"/>
  <c r="F59" i="229"/>
  <c r="P59" i="229"/>
  <c r="P70" i="229" s="1"/>
  <c r="P78" i="229" s="1"/>
  <c r="I59" i="229"/>
  <c r="N59" i="229"/>
  <c r="J59" i="229"/>
  <c r="K59" i="229"/>
  <c r="O59" i="229"/>
  <c r="H59" i="229"/>
  <c r="G59" i="229"/>
  <c r="M59" i="229"/>
  <c r="D87" i="229"/>
  <c r="F88" i="229"/>
  <c r="F81" i="229"/>
  <c r="R81" i="229" s="1"/>
  <c r="I76" i="229"/>
  <c r="R14" i="228"/>
  <c r="R66" i="228"/>
  <c r="L12" i="228"/>
  <c r="F12" i="228"/>
  <c r="R12" i="228" s="1"/>
  <c r="M12" i="228"/>
  <c r="K12" i="228"/>
  <c r="J12" i="228"/>
  <c r="H12" i="228"/>
  <c r="O12" i="228" s="1"/>
  <c r="N12" i="228"/>
  <c r="G12" i="228"/>
  <c r="I12" i="228"/>
  <c r="O8" i="228"/>
  <c r="I8" i="228"/>
  <c r="N8" i="228"/>
  <c r="G8" i="228"/>
  <c r="M8" i="228"/>
  <c r="F8" i="228"/>
  <c r="L8" i="228"/>
  <c r="Q8" i="228" s="1"/>
  <c r="J8" i="228"/>
  <c r="P8" i="228"/>
  <c r="H8" i="228"/>
  <c r="K8" i="228"/>
  <c r="M74" i="228"/>
  <c r="G74" i="228"/>
  <c r="J74" i="228"/>
  <c r="L74" i="228"/>
  <c r="I74" i="228"/>
  <c r="K74" i="228"/>
  <c r="N74" i="228"/>
  <c r="F74" i="228"/>
  <c r="H74" i="228"/>
  <c r="O74" i="228" s="1"/>
  <c r="R74" i="228" s="1"/>
  <c r="L36" i="228"/>
  <c r="R36" i="228" s="1"/>
  <c r="F36" i="228"/>
  <c r="M3" i="228"/>
  <c r="G3" i="228"/>
  <c r="D25" i="228"/>
  <c r="L3" i="228"/>
  <c r="K3" i="228"/>
  <c r="J3" i="228"/>
  <c r="H3" i="228"/>
  <c r="O3" i="228"/>
  <c r="N3" i="228"/>
  <c r="F3" i="228"/>
  <c r="I3" i="228"/>
  <c r="P3" i="228"/>
  <c r="K4" i="228"/>
  <c r="M4" i="228"/>
  <c r="F4" i="228"/>
  <c r="R4" i="228" s="1"/>
  <c r="L4" i="228"/>
  <c r="J4" i="228"/>
  <c r="H4" i="228"/>
  <c r="Q4" i="228" s="1"/>
  <c r="O4" i="228"/>
  <c r="N4" i="228"/>
  <c r="G4" i="228"/>
  <c r="I4" i="228"/>
  <c r="P4" i="228"/>
  <c r="M61" i="228"/>
  <c r="G61" i="228"/>
  <c r="J61" i="228"/>
  <c r="P61" i="228"/>
  <c r="H61" i="228"/>
  <c r="N61" i="228"/>
  <c r="I61" i="228"/>
  <c r="O61" i="228"/>
  <c r="F61" i="228"/>
  <c r="L61" i="228"/>
  <c r="K61" i="228"/>
  <c r="F43" i="228"/>
  <c r="F45" i="228" s="1"/>
  <c r="K28" i="228"/>
  <c r="N28" i="228"/>
  <c r="G28" i="228"/>
  <c r="L28" i="228"/>
  <c r="J28" i="228"/>
  <c r="I28" i="228"/>
  <c r="H28" i="228"/>
  <c r="O28" i="228"/>
  <c r="M28" i="228"/>
  <c r="P28" i="228"/>
  <c r="F28" i="228"/>
  <c r="Q28" i="228" s="1"/>
  <c r="M72" i="228"/>
  <c r="G72" i="228"/>
  <c r="L72" i="228"/>
  <c r="L76" i="228" s="1"/>
  <c r="J72" i="228"/>
  <c r="H72" i="228"/>
  <c r="I72" i="228"/>
  <c r="I76" i="228" s="1"/>
  <c r="N72" i="228"/>
  <c r="N76" i="228" s="1"/>
  <c r="K72" i="228"/>
  <c r="F72" i="228"/>
  <c r="O72" i="228" s="1"/>
  <c r="F81" i="228"/>
  <c r="R81" i="228" s="1"/>
  <c r="O52" i="228"/>
  <c r="R52" i="228" s="1"/>
  <c r="I42" i="228"/>
  <c r="I45" i="228" s="1"/>
  <c r="D45" i="228"/>
  <c r="H67" i="228"/>
  <c r="R67" i="228" s="1"/>
  <c r="L33" i="228"/>
  <c r="N33" i="228"/>
  <c r="G33" i="228"/>
  <c r="I33" i="228"/>
  <c r="O33" i="228"/>
  <c r="F33" i="228"/>
  <c r="Q33" i="228" s="1"/>
  <c r="P33" i="228"/>
  <c r="M33" i="228"/>
  <c r="J33" i="228"/>
  <c r="H33" i="228"/>
  <c r="K33" i="228"/>
  <c r="K7" i="228"/>
  <c r="N7" i="228"/>
  <c r="G7" i="228"/>
  <c r="M7" i="228"/>
  <c r="F7" i="228"/>
  <c r="L7" i="228"/>
  <c r="I7" i="228"/>
  <c r="O7" i="228"/>
  <c r="H7" i="228"/>
  <c r="J7" i="228"/>
  <c r="P7" i="228"/>
  <c r="R68" i="228"/>
  <c r="F68" i="228"/>
  <c r="J50" i="228"/>
  <c r="H50" i="228"/>
  <c r="M50" i="228"/>
  <c r="K50" i="228"/>
  <c r="N50" i="228"/>
  <c r="L50" i="228"/>
  <c r="I50" i="228"/>
  <c r="G50" i="228"/>
  <c r="F50" i="228"/>
  <c r="O50" i="228" s="1"/>
  <c r="K31" i="228"/>
  <c r="O31" i="228"/>
  <c r="H31" i="228"/>
  <c r="M31" i="228"/>
  <c r="F31" i="228"/>
  <c r="Q31" i="228" s="1"/>
  <c r="L31" i="228"/>
  <c r="J31" i="228"/>
  <c r="I31" i="228"/>
  <c r="P31" i="228"/>
  <c r="N31" i="228"/>
  <c r="G31" i="228"/>
  <c r="M75" i="228"/>
  <c r="G75" i="228"/>
  <c r="O75" i="228" s="1"/>
  <c r="L75" i="228"/>
  <c r="I75" i="228"/>
  <c r="F75" i="228"/>
  <c r="K75" i="228"/>
  <c r="N75" i="228"/>
  <c r="J75" i="228"/>
  <c r="H75" i="228"/>
  <c r="F89" i="228"/>
  <c r="L89" i="228" s="1"/>
  <c r="P26" i="228"/>
  <c r="I26" i="228"/>
  <c r="D37" i="228"/>
  <c r="N26" i="228"/>
  <c r="F26" i="228"/>
  <c r="J26" i="228"/>
  <c r="H26" i="228"/>
  <c r="M26" i="228"/>
  <c r="K26" i="228"/>
  <c r="O26" i="228"/>
  <c r="O37" i="228" s="1"/>
  <c r="R46" i="228"/>
  <c r="R73" i="228"/>
  <c r="R56" i="228"/>
  <c r="J49" i="228"/>
  <c r="M49" i="228"/>
  <c r="F49" i="228"/>
  <c r="H49" i="228"/>
  <c r="N49" i="228"/>
  <c r="D70" i="228"/>
  <c r="L49" i="228"/>
  <c r="K49" i="228"/>
  <c r="K70" i="228" s="1"/>
  <c r="I49" i="228"/>
  <c r="G49" i="228"/>
  <c r="F69" i="228"/>
  <c r="L69" i="228"/>
  <c r="R69" i="228" s="1"/>
  <c r="N55" i="228"/>
  <c r="H55" i="228"/>
  <c r="K55" i="228"/>
  <c r="L55" i="228"/>
  <c r="I55" i="228"/>
  <c r="P55" i="228"/>
  <c r="O55" i="228"/>
  <c r="J55" i="228"/>
  <c r="M55" i="228"/>
  <c r="G55" i="228"/>
  <c r="F55" i="228"/>
  <c r="N27" i="228"/>
  <c r="H27" i="228"/>
  <c r="L27" i="228"/>
  <c r="F27" i="228"/>
  <c r="O27" i="228"/>
  <c r="M27" i="228"/>
  <c r="K27" i="228"/>
  <c r="I27" i="228"/>
  <c r="P27" i="228"/>
  <c r="G27" i="228"/>
  <c r="G37" i="228" s="1"/>
  <c r="J27" i="228"/>
  <c r="D92" i="228"/>
  <c r="K10" i="228"/>
  <c r="O10" i="228"/>
  <c r="H10" i="228"/>
  <c r="N10" i="228"/>
  <c r="G10" i="228"/>
  <c r="M10" i="228"/>
  <c r="F10" i="228"/>
  <c r="Q10" i="228" s="1"/>
  <c r="J10" i="228"/>
  <c r="P10" i="228"/>
  <c r="I10" i="228"/>
  <c r="L10" i="228"/>
  <c r="F82" i="228"/>
  <c r="R82" i="228" s="1"/>
  <c r="J64" i="228"/>
  <c r="K64" i="228"/>
  <c r="M64" i="228"/>
  <c r="I64" i="228"/>
  <c r="N64" i="228"/>
  <c r="G64" i="228"/>
  <c r="L64" i="228"/>
  <c r="H64" i="228"/>
  <c r="F64" i="228"/>
  <c r="O64" i="228" s="1"/>
  <c r="P57" i="228"/>
  <c r="J57" i="228"/>
  <c r="L57" i="228"/>
  <c r="I57" i="228"/>
  <c r="O57" i="228"/>
  <c r="G57" i="228"/>
  <c r="Q57" i="228" s="1"/>
  <c r="N57" i="228"/>
  <c r="M57" i="228"/>
  <c r="H57" i="228"/>
  <c r="K57" i="228"/>
  <c r="F57" i="228"/>
  <c r="F24" i="228"/>
  <c r="R24" i="228" s="1"/>
  <c r="L24" i="228"/>
  <c r="Q14" i="228"/>
  <c r="D83" i="228"/>
  <c r="F79" i="228"/>
  <c r="F83" i="228" s="1"/>
  <c r="P54" i="228"/>
  <c r="J54" i="228"/>
  <c r="K54" i="228"/>
  <c r="H54" i="228"/>
  <c r="N54" i="228"/>
  <c r="F54" i="228"/>
  <c r="R54" i="228" s="1"/>
  <c r="O54" i="228"/>
  <c r="L54" i="228"/>
  <c r="M54" i="228"/>
  <c r="Q54" i="228" s="1"/>
  <c r="I54" i="228"/>
  <c r="G54" i="228"/>
  <c r="P17" i="228"/>
  <c r="J17" i="228"/>
  <c r="N17" i="228"/>
  <c r="H17" i="228"/>
  <c r="M17" i="228"/>
  <c r="L17" i="228"/>
  <c r="K17" i="228"/>
  <c r="F17" i="228"/>
  <c r="Q17" i="228" s="1"/>
  <c r="O17" i="228"/>
  <c r="I17" i="228"/>
  <c r="G17" i="228"/>
  <c r="D87" i="228"/>
  <c r="L88" i="228"/>
  <c r="F88" i="228"/>
  <c r="O29" i="228"/>
  <c r="I29" i="228"/>
  <c r="N29" i="228"/>
  <c r="G29" i="228"/>
  <c r="Q29" i="228" s="1"/>
  <c r="L29" i="228"/>
  <c r="H29" i="228"/>
  <c r="F29" i="228"/>
  <c r="P29" i="228"/>
  <c r="J29" i="228"/>
  <c r="M29" i="228"/>
  <c r="K29" i="228"/>
  <c r="D76" i="228"/>
  <c r="F71" i="228"/>
  <c r="F76" i="228" s="1"/>
  <c r="N58" i="228"/>
  <c r="H58" i="228"/>
  <c r="L58" i="228"/>
  <c r="M58" i="228"/>
  <c r="J58" i="228"/>
  <c r="O58" i="228"/>
  <c r="K58" i="228"/>
  <c r="G58" i="228"/>
  <c r="I58" i="228"/>
  <c r="P58" i="228"/>
  <c r="F58" i="228"/>
  <c r="Q58" i="228" s="1"/>
  <c r="R58" i="228" s="1"/>
  <c r="I62" i="228"/>
  <c r="H94" i="228"/>
  <c r="L13" i="228"/>
  <c r="F13" i="228"/>
  <c r="O13" i="228"/>
  <c r="H13" i="228"/>
  <c r="N13" i="228"/>
  <c r="G13" i="228"/>
  <c r="M13" i="228"/>
  <c r="J13" i="228"/>
  <c r="P13" i="228"/>
  <c r="I13" i="228"/>
  <c r="K13" i="228"/>
  <c r="R65" i="228"/>
  <c r="O5" i="228"/>
  <c r="I5" i="228"/>
  <c r="M5" i="228"/>
  <c r="F5" i="228"/>
  <c r="L5" i="228"/>
  <c r="K5" i="228"/>
  <c r="H5" i="228"/>
  <c r="Q5" i="228" s="1"/>
  <c r="N5" i="228"/>
  <c r="G5" i="228"/>
  <c r="R5" i="228" s="1"/>
  <c r="J5" i="228"/>
  <c r="P5" i="228"/>
  <c r="N93" i="228"/>
  <c r="H93" i="228"/>
  <c r="O93" i="228"/>
  <c r="G93" i="228"/>
  <c r="I93" i="228"/>
  <c r="M93" i="228"/>
  <c r="J93" i="228"/>
  <c r="P93" i="228"/>
  <c r="F93" i="228"/>
  <c r="Q93" i="228" s="1"/>
  <c r="K93" i="228"/>
  <c r="L93" i="228"/>
  <c r="Q47" i="228"/>
  <c r="R47" i="228" s="1"/>
  <c r="J53" i="228"/>
  <c r="H53" i="228"/>
  <c r="L53" i="228"/>
  <c r="I53" i="228"/>
  <c r="N53" i="228"/>
  <c r="K53" i="228"/>
  <c r="M53" i="228"/>
  <c r="F53" i="228"/>
  <c r="G53" i="228"/>
  <c r="F15" i="228"/>
  <c r="L15" i="228" s="1"/>
  <c r="M6" i="228"/>
  <c r="G6" i="228"/>
  <c r="Q6" i="228" s="1"/>
  <c r="N6" i="228"/>
  <c r="F6" i="228"/>
  <c r="L6" i="228"/>
  <c r="K6" i="228"/>
  <c r="I6" i="228"/>
  <c r="P6" i="228"/>
  <c r="O6" i="228"/>
  <c r="H6" i="228"/>
  <c r="J6" i="228"/>
  <c r="M30" i="228"/>
  <c r="R30" i="228" s="1"/>
  <c r="G30" i="228"/>
  <c r="O30" i="228"/>
  <c r="H30" i="228"/>
  <c r="L30" i="228"/>
  <c r="P30" i="228"/>
  <c r="N30" i="228"/>
  <c r="K30" i="228"/>
  <c r="I30" i="228"/>
  <c r="F30" i="228"/>
  <c r="J30" i="228"/>
  <c r="Q30" i="228" s="1"/>
  <c r="F80" i="228"/>
  <c r="R80" i="228" s="1"/>
  <c r="L59" i="228"/>
  <c r="F59" i="228"/>
  <c r="M59" i="228"/>
  <c r="P59" i="228"/>
  <c r="H59" i="228"/>
  <c r="N59" i="228"/>
  <c r="K59" i="228"/>
  <c r="J59" i="228"/>
  <c r="G59" i="228"/>
  <c r="I59" i="228"/>
  <c r="O59" i="228"/>
  <c r="H77" i="228"/>
  <c r="R77" i="228" s="1"/>
  <c r="N77" i="228"/>
  <c r="M9" i="228"/>
  <c r="G9" i="228"/>
  <c r="O9" i="228"/>
  <c r="H9" i="228"/>
  <c r="N9" i="228"/>
  <c r="F9" i="228"/>
  <c r="Q9" i="228" s="1"/>
  <c r="R9" i="228" s="1"/>
  <c r="L9" i="228"/>
  <c r="J9" i="228"/>
  <c r="P9" i="228"/>
  <c r="I9" i="228"/>
  <c r="K9" i="228"/>
  <c r="Q16" i="228"/>
  <c r="R16" i="228" s="1"/>
  <c r="G92" i="227"/>
  <c r="J92" i="227"/>
  <c r="F92" i="227"/>
  <c r="I92" i="227"/>
  <c r="K92" i="227"/>
  <c r="H92" i="227"/>
  <c r="L92" i="227"/>
  <c r="J51" i="227"/>
  <c r="I51" i="227"/>
  <c r="M51" i="227"/>
  <c r="L51" i="227"/>
  <c r="G51" i="227"/>
  <c r="K51" i="227"/>
  <c r="F51" i="227"/>
  <c r="O51" i="227" s="1"/>
  <c r="H51" i="227"/>
  <c r="N51" i="227"/>
  <c r="M75" i="227"/>
  <c r="G75" i="227"/>
  <c r="K75" i="227"/>
  <c r="L75" i="227"/>
  <c r="J75" i="227"/>
  <c r="F75" i="227"/>
  <c r="I75" i="227"/>
  <c r="H75" i="227"/>
  <c r="N75" i="227"/>
  <c r="L33" i="227"/>
  <c r="M33" i="227"/>
  <c r="F33" i="227"/>
  <c r="R33" i="227" s="1"/>
  <c r="K33" i="227"/>
  <c r="J33" i="227"/>
  <c r="O33" i="227"/>
  <c r="G33" i="227"/>
  <c r="Q33" i="227" s="1"/>
  <c r="H33" i="227"/>
  <c r="P33" i="227"/>
  <c r="N33" i="227"/>
  <c r="I33" i="227"/>
  <c r="P13" i="227"/>
  <c r="J13" i="227"/>
  <c r="O13" i="227"/>
  <c r="I13" i="227"/>
  <c r="G13" i="227"/>
  <c r="M13" i="227"/>
  <c r="L13" i="227"/>
  <c r="N13" i="227"/>
  <c r="F13" i="227"/>
  <c r="Q13" i="227" s="1"/>
  <c r="K13" i="227"/>
  <c r="H13" i="227"/>
  <c r="K46" i="227"/>
  <c r="K47" i="227" s="1"/>
  <c r="D47" i="227"/>
  <c r="R46" i="227"/>
  <c r="N46" i="227"/>
  <c r="N47" i="227" s="1"/>
  <c r="F46" i="227"/>
  <c r="F47" i="227" s="1"/>
  <c r="H67" i="227"/>
  <c r="R67" i="227"/>
  <c r="P57" i="227"/>
  <c r="J57" i="227"/>
  <c r="K57" i="227"/>
  <c r="M57" i="227"/>
  <c r="L57" i="227"/>
  <c r="O57" i="227"/>
  <c r="G57" i="227"/>
  <c r="N57" i="227"/>
  <c r="I57" i="227"/>
  <c r="H57" i="227"/>
  <c r="F57" i="227"/>
  <c r="Q57" i="227" s="1"/>
  <c r="F60" i="227"/>
  <c r="R60" i="227"/>
  <c r="D83" i="227"/>
  <c r="F79" i="227"/>
  <c r="R79" i="227"/>
  <c r="M73" i="227"/>
  <c r="G73" i="227"/>
  <c r="N73" i="227"/>
  <c r="F73" i="227"/>
  <c r="O73" i="227" s="1"/>
  <c r="J73" i="227"/>
  <c r="I73" i="227"/>
  <c r="L73" i="227"/>
  <c r="K73" i="227"/>
  <c r="H73" i="227"/>
  <c r="N14" i="227"/>
  <c r="H14" i="227"/>
  <c r="M14" i="227"/>
  <c r="G14" i="227"/>
  <c r="K14" i="227"/>
  <c r="P14" i="227"/>
  <c r="J14" i="227"/>
  <c r="I14" i="227"/>
  <c r="O14" i="227"/>
  <c r="L14" i="227"/>
  <c r="F14" i="227"/>
  <c r="Q14" i="227" s="1"/>
  <c r="R11" i="227"/>
  <c r="F11" i="227"/>
  <c r="L44" i="227"/>
  <c r="L45" i="227" s="1"/>
  <c r="R44" i="227"/>
  <c r="J52" i="227"/>
  <c r="L52" i="227"/>
  <c r="I52" i="227"/>
  <c r="H52" i="227"/>
  <c r="M52" i="227"/>
  <c r="K52" i="227"/>
  <c r="G52" i="227"/>
  <c r="N52" i="227"/>
  <c r="F52" i="227"/>
  <c r="R43" i="227"/>
  <c r="F43" i="227"/>
  <c r="F45" i="227" s="1"/>
  <c r="N32" i="227"/>
  <c r="H32" i="227"/>
  <c r="K32" i="227"/>
  <c r="J32" i="227"/>
  <c r="M32" i="227"/>
  <c r="F32" i="227"/>
  <c r="G32" i="227"/>
  <c r="P32" i="227"/>
  <c r="O32" i="227"/>
  <c r="Q32" i="227" s="1"/>
  <c r="L32" i="227"/>
  <c r="I32" i="227"/>
  <c r="R71" i="227"/>
  <c r="F71" i="227"/>
  <c r="D76" i="227"/>
  <c r="L59" i="227"/>
  <c r="F59" i="227"/>
  <c r="Q59" i="227" s="1"/>
  <c r="K59" i="227"/>
  <c r="J59" i="227"/>
  <c r="I59" i="227"/>
  <c r="R59" i="227" s="1"/>
  <c r="N59" i="227"/>
  <c r="H59" i="227"/>
  <c r="P59" i="227"/>
  <c r="G59" i="227"/>
  <c r="O59" i="227"/>
  <c r="M59" i="227"/>
  <c r="F15" i="227"/>
  <c r="L15" i="227"/>
  <c r="R15" i="227" s="1"/>
  <c r="M74" i="227"/>
  <c r="G74" i="227"/>
  <c r="I74" i="227"/>
  <c r="F74" i="227"/>
  <c r="N74" i="227"/>
  <c r="J74" i="227"/>
  <c r="K74" i="227"/>
  <c r="O74" i="227" s="1"/>
  <c r="H74" i="227"/>
  <c r="L74" i="227"/>
  <c r="M72" i="227"/>
  <c r="G72" i="227"/>
  <c r="G76" i="227" s="1"/>
  <c r="K72" i="227"/>
  <c r="N72" i="227"/>
  <c r="N76" i="227" s="1"/>
  <c r="L72" i="227"/>
  <c r="H72" i="227"/>
  <c r="J72" i="227"/>
  <c r="F72" i="227"/>
  <c r="I72" i="227"/>
  <c r="I76" i="227" s="1"/>
  <c r="F63" i="227"/>
  <c r="R63" i="227" s="1"/>
  <c r="F81" i="227"/>
  <c r="R81" i="227" s="1"/>
  <c r="F69" i="227"/>
  <c r="L69" i="227" s="1"/>
  <c r="R69" i="227" s="1"/>
  <c r="J12" i="227"/>
  <c r="I12" i="227"/>
  <c r="K12" i="227"/>
  <c r="G12" i="227"/>
  <c r="F12" i="227"/>
  <c r="H12" i="227"/>
  <c r="M12" i="227"/>
  <c r="L12" i="227"/>
  <c r="N12" i="227"/>
  <c r="N10" i="227"/>
  <c r="H10" i="227"/>
  <c r="K10" i="227"/>
  <c r="I10" i="227"/>
  <c r="J10" i="227"/>
  <c r="P10" i="227"/>
  <c r="M10" i="227"/>
  <c r="F10" i="227"/>
  <c r="R10" i="227" s="1"/>
  <c r="L10" i="227"/>
  <c r="O10" i="227"/>
  <c r="G10" i="227"/>
  <c r="Q10" i="227" s="1"/>
  <c r="P54" i="227"/>
  <c r="J54" i="227"/>
  <c r="I54" i="227"/>
  <c r="L54" i="227"/>
  <c r="K54" i="227"/>
  <c r="N54" i="227"/>
  <c r="F54" i="227"/>
  <c r="Q54" i="227" s="1"/>
  <c r="R54" i="227" s="1"/>
  <c r="H54" i="227"/>
  <c r="G54" i="227"/>
  <c r="O54" i="227"/>
  <c r="M54" i="227"/>
  <c r="D93" i="227"/>
  <c r="J64" i="227"/>
  <c r="I64" i="227"/>
  <c r="G64" i="227"/>
  <c r="O64" i="227" s="1"/>
  <c r="N64" i="227"/>
  <c r="F64" i="227"/>
  <c r="R64" i="227" s="1"/>
  <c r="K64" i="227"/>
  <c r="M64" i="227"/>
  <c r="L64" i="227"/>
  <c r="H64" i="227"/>
  <c r="P31" i="227"/>
  <c r="J31" i="227"/>
  <c r="K31" i="227"/>
  <c r="I31" i="227"/>
  <c r="M31" i="227"/>
  <c r="F31" i="227"/>
  <c r="G31" i="227"/>
  <c r="O31" i="227"/>
  <c r="N31" i="227"/>
  <c r="L31" i="227"/>
  <c r="H31" i="227"/>
  <c r="L5" i="227"/>
  <c r="F5" i="227"/>
  <c r="Q5" i="227" s="1"/>
  <c r="P5" i="227"/>
  <c r="I5" i="227"/>
  <c r="O5" i="227"/>
  <c r="H5" i="227"/>
  <c r="R5" i="227" s="1"/>
  <c r="N5" i="227"/>
  <c r="G5" i="227"/>
  <c r="K5" i="227"/>
  <c r="J5" i="227"/>
  <c r="M5" i="227"/>
  <c r="M61" i="227"/>
  <c r="G61" i="227"/>
  <c r="Q61" i="227" s="1"/>
  <c r="P61" i="227"/>
  <c r="I61" i="227"/>
  <c r="K61" i="227"/>
  <c r="J61" i="227"/>
  <c r="N61" i="227"/>
  <c r="H61" i="227"/>
  <c r="F61" i="227"/>
  <c r="O61" i="227"/>
  <c r="L61" i="227"/>
  <c r="L17" i="227"/>
  <c r="F17" i="227"/>
  <c r="Q17" i="227" s="1"/>
  <c r="K17" i="227"/>
  <c r="O17" i="227"/>
  <c r="G17" i="227"/>
  <c r="R17" i="227" s="1"/>
  <c r="M17" i="227"/>
  <c r="J17" i="227"/>
  <c r="N17" i="227"/>
  <c r="I17" i="227"/>
  <c r="P17" i="227"/>
  <c r="H17" i="227"/>
  <c r="D87" i="227"/>
  <c r="L88" i="227"/>
  <c r="F88" i="227"/>
  <c r="R88" i="227"/>
  <c r="J65" i="227"/>
  <c r="L65" i="227"/>
  <c r="M65" i="227"/>
  <c r="K65" i="227"/>
  <c r="O65" i="227"/>
  <c r="G65" i="227"/>
  <c r="I65" i="227"/>
  <c r="F65" i="227"/>
  <c r="R65" i="227" s="1"/>
  <c r="H65" i="227"/>
  <c r="N65" i="227"/>
  <c r="F89" i="227"/>
  <c r="J66" i="227"/>
  <c r="N66" i="227"/>
  <c r="G66" i="227"/>
  <c r="I66" i="227"/>
  <c r="H66" i="227"/>
  <c r="L66" i="227"/>
  <c r="K66" i="227"/>
  <c r="M66" i="227"/>
  <c r="F66" i="227"/>
  <c r="O66" i="227" s="1"/>
  <c r="L8" i="227"/>
  <c r="F8" i="227"/>
  <c r="Q8" i="227" s="1"/>
  <c r="J8" i="227"/>
  <c r="H8" i="227"/>
  <c r="N8" i="227"/>
  <c r="P8" i="227"/>
  <c r="I8" i="227"/>
  <c r="O8" i="227"/>
  <c r="M8" i="227"/>
  <c r="K8" i="227"/>
  <c r="G8" i="227"/>
  <c r="P9" i="227"/>
  <c r="J9" i="227"/>
  <c r="K9" i="227"/>
  <c r="H9" i="227"/>
  <c r="I9" i="227"/>
  <c r="O9" i="227"/>
  <c r="N9" i="227"/>
  <c r="M9" i="227"/>
  <c r="F9" i="227"/>
  <c r="R9" i="227" s="1"/>
  <c r="L9" i="227"/>
  <c r="G9" i="227"/>
  <c r="Q9" i="227" s="1"/>
  <c r="L30" i="227"/>
  <c r="F30" i="227"/>
  <c r="Q30" i="227" s="1"/>
  <c r="J30" i="227"/>
  <c r="P30" i="227"/>
  <c r="I30" i="227"/>
  <c r="M30" i="227"/>
  <c r="G30" i="227"/>
  <c r="O30" i="227"/>
  <c r="K30" i="227"/>
  <c r="H30" i="227"/>
  <c r="N30" i="227"/>
  <c r="N16" i="227"/>
  <c r="H16" i="227"/>
  <c r="Q16" i="227" s="1"/>
  <c r="R16" i="227" s="1"/>
  <c r="M16" i="227"/>
  <c r="G16" i="227"/>
  <c r="K16" i="227"/>
  <c r="I16" i="227"/>
  <c r="P16" i="227"/>
  <c r="J16" i="227"/>
  <c r="O16" i="227"/>
  <c r="L16" i="227"/>
  <c r="F16" i="227"/>
  <c r="N58" i="227"/>
  <c r="H58" i="227"/>
  <c r="K58" i="227"/>
  <c r="P58" i="227"/>
  <c r="G58" i="227"/>
  <c r="O58" i="227"/>
  <c r="F58" i="227"/>
  <c r="J58" i="227"/>
  <c r="R58" i="227" s="1"/>
  <c r="L58" i="227"/>
  <c r="I58" i="227"/>
  <c r="M58" i="227"/>
  <c r="Q58" i="227" s="1"/>
  <c r="P27" i="227"/>
  <c r="J27" i="227"/>
  <c r="O27" i="227"/>
  <c r="I27" i="227"/>
  <c r="L27" i="227"/>
  <c r="F27" i="227"/>
  <c r="G27" i="227"/>
  <c r="N27" i="227"/>
  <c r="M27" i="227"/>
  <c r="K27" i="227"/>
  <c r="H27" i="227"/>
  <c r="P28" i="227"/>
  <c r="J28" i="227"/>
  <c r="I28" i="227"/>
  <c r="O28" i="227"/>
  <c r="H28" i="227"/>
  <c r="L28" i="227"/>
  <c r="F28" i="227"/>
  <c r="Q28" i="227" s="1"/>
  <c r="M28" i="227"/>
  <c r="N28" i="227"/>
  <c r="K28" i="227"/>
  <c r="G28" i="227"/>
  <c r="R68" i="227"/>
  <c r="F68" i="227"/>
  <c r="F36" i="227"/>
  <c r="L36" i="227"/>
  <c r="R36" i="227" s="1"/>
  <c r="Q90" i="227"/>
  <c r="L90" i="227"/>
  <c r="R90" i="227" s="1"/>
  <c r="I42" i="227"/>
  <c r="I45" i="227" s="1"/>
  <c r="D45" i="227"/>
  <c r="R42" i="227"/>
  <c r="L56" i="227"/>
  <c r="F56" i="227"/>
  <c r="J56" i="227"/>
  <c r="I56" i="227"/>
  <c r="P56" i="227"/>
  <c r="H56" i="227"/>
  <c r="M56" i="227"/>
  <c r="O56" i="227"/>
  <c r="N56" i="227"/>
  <c r="K56" i="227"/>
  <c r="G56" i="227"/>
  <c r="N7" i="227"/>
  <c r="H7" i="227"/>
  <c r="J7" i="227"/>
  <c r="G7" i="227"/>
  <c r="M7" i="227"/>
  <c r="P7" i="227"/>
  <c r="I7" i="227"/>
  <c r="O7" i="227"/>
  <c r="L7" i="227"/>
  <c r="K7" i="227"/>
  <c r="F7" i="227"/>
  <c r="N4" i="227"/>
  <c r="H4" i="227"/>
  <c r="P4" i="227"/>
  <c r="I4" i="227"/>
  <c r="F4" i="227"/>
  <c r="L4" i="227"/>
  <c r="O4" i="227"/>
  <c r="G4" i="227"/>
  <c r="M4" i="227"/>
  <c r="Q4" i="227" s="1"/>
  <c r="K4" i="227"/>
  <c r="J4" i="227"/>
  <c r="N55" i="227"/>
  <c r="H55" i="227"/>
  <c r="J55" i="227"/>
  <c r="O55" i="227"/>
  <c r="F55" i="227"/>
  <c r="Q55" i="227" s="1"/>
  <c r="R55" i="227" s="1"/>
  <c r="M55" i="227"/>
  <c r="I55" i="227"/>
  <c r="L55" i="227"/>
  <c r="K55" i="227"/>
  <c r="G55" i="227"/>
  <c r="P55" i="227"/>
  <c r="N77" i="227"/>
  <c r="R77" i="227" s="1"/>
  <c r="H77" i="227"/>
  <c r="J50" i="227"/>
  <c r="N50" i="227"/>
  <c r="G50" i="227"/>
  <c r="H50" i="227"/>
  <c r="F50" i="227"/>
  <c r="O50" i="227" s="1"/>
  <c r="K50" i="227"/>
  <c r="M50" i="227"/>
  <c r="L50" i="227"/>
  <c r="I50" i="227"/>
  <c r="F80" i="227"/>
  <c r="R80" i="227" s="1"/>
  <c r="K26" i="227"/>
  <c r="J26" i="227"/>
  <c r="D37" i="227"/>
  <c r="N26" i="227"/>
  <c r="F26" i="227"/>
  <c r="H26" i="227"/>
  <c r="O26" i="227"/>
  <c r="P26" i="227"/>
  <c r="M26" i="227"/>
  <c r="M37" i="227" s="1"/>
  <c r="I26" i="227"/>
  <c r="N29" i="227"/>
  <c r="H29" i="227"/>
  <c r="J29" i="227"/>
  <c r="P29" i="227"/>
  <c r="I29" i="227"/>
  <c r="L29" i="227"/>
  <c r="F29" i="227"/>
  <c r="O29" i="227"/>
  <c r="Q29" i="227" s="1"/>
  <c r="M29" i="227"/>
  <c r="K29" i="227"/>
  <c r="G29" i="227"/>
  <c r="F82" i="227"/>
  <c r="R82" i="227" s="1"/>
  <c r="J53" i="227"/>
  <c r="N53" i="227"/>
  <c r="G53" i="227"/>
  <c r="F53" i="227"/>
  <c r="M53" i="227"/>
  <c r="I53" i="227"/>
  <c r="K53" i="227"/>
  <c r="H53" i="227"/>
  <c r="L53" i="227"/>
  <c r="J49" i="227"/>
  <c r="L49" i="227"/>
  <c r="K49" i="227"/>
  <c r="I49" i="227"/>
  <c r="N49" i="227"/>
  <c r="F49" i="227"/>
  <c r="F70" i="227" s="1"/>
  <c r="M49" i="227"/>
  <c r="H49" i="227"/>
  <c r="D70" i="227"/>
  <c r="G49" i="227"/>
  <c r="I62" i="227"/>
  <c r="H94" i="227"/>
  <c r="F24" i="227"/>
  <c r="P6" i="227"/>
  <c r="J6" i="227"/>
  <c r="I6" i="227"/>
  <c r="F6" i="227"/>
  <c r="Q6" i="227" s="1"/>
  <c r="O6" i="227"/>
  <c r="H6" i="227"/>
  <c r="R6" i="227" s="1"/>
  <c r="N6" i="227"/>
  <c r="G6" i="227"/>
  <c r="M6" i="227"/>
  <c r="L6" i="227"/>
  <c r="K6" i="227"/>
  <c r="D25" i="227"/>
  <c r="P3" i="227"/>
  <c r="J3" i="227"/>
  <c r="J25" i="227" s="1"/>
  <c r="O3" i="227"/>
  <c r="H3" i="227"/>
  <c r="F3" i="227"/>
  <c r="Q3" i="227" s="1"/>
  <c r="L3" i="227"/>
  <c r="N3" i="227"/>
  <c r="G3" i="227"/>
  <c r="G25" i="227" s="1"/>
  <c r="M3" i="227"/>
  <c r="K3" i="227"/>
  <c r="I3" i="227"/>
  <c r="G92" i="226"/>
  <c r="J92" i="226"/>
  <c r="K92" i="226"/>
  <c r="F92" i="226"/>
  <c r="L92" i="226"/>
  <c r="I92" i="226"/>
  <c r="H92" i="226"/>
  <c r="R28" i="226"/>
  <c r="F43" i="226"/>
  <c r="F45" i="226" s="1"/>
  <c r="P7" i="226"/>
  <c r="J7" i="226"/>
  <c r="O7" i="226"/>
  <c r="H7" i="226"/>
  <c r="N7" i="226"/>
  <c r="G7" i="226"/>
  <c r="M7" i="226"/>
  <c r="F7" i="226"/>
  <c r="Q7" i="226" s="1"/>
  <c r="R7" i="226" s="1"/>
  <c r="L7" i="226"/>
  <c r="K7" i="226"/>
  <c r="I7" i="226"/>
  <c r="F36" i="226"/>
  <c r="R36" i="226" s="1"/>
  <c r="L36" i="226"/>
  <c r="P26" i="226"/>
  <c r="I26" i="226"/>
  <c r="M26" i="226"/>
  <c r="M37" i="226" s="1"/>
  <c r="K26" i="226"/>
  <c r="J26" i="226"/>
  <c r="H26" i="226"/>
  <c r="F26" i="226"/>
  <c r="F37" i="226" s="1"/>
  <c r="N26" i="226"/>
  <c r="D37" i="226"/>
  <c r="O26" i="226"/>
  <c r="I42" i="226"/>
  <c r="I45" i="226" s="1"/>
  <c r="R42" i="226"/>
  <c r="D45" i="226"/>
  <c r="M74" i="226"/>
  <c r="G74" i="226"/>
  <c r="I74" i="226"/>
  <c r="K74" i="226"/>
  <c r="O74" i="226"/>
  <c r="F74" i="226"/>
  <c r="R74" i="226" s="1"/>
  <c r="N74" i="226"/>
  <c r="L74" i="226"/>
  <c r="J74" i="226"/>
  <c r="H74" i="226"/>
  <c r="L30" i="226"/>
  <c r="F30" i="226"/>
  <c r="Q30" i="226" s="1"/>
  <c r="N30" i="226"/>
  <c r="G30" i="226"/>
  <c r="J30" i="226"/>
  <c r="P30" i="226"/>
  <c r="O30" i="226"/>
  <c r="M30" i="226"/>
  <c r="K30" i="226"/>
  <c r="I30" i="226"/>
  <c r="H30" i="226"/>
  <c r="L33" i="226"/>
  <c r="M33" i="226"/>
  <c r="F33" i="226"/>
  <c r="P33" i="226"/>
  <c r="H33" i="226"/>
  <c r="K33" i="226"/>
  <c r="G33" i="226"/>
  <c r="O33" i="226"/>
  <c r="N33" i="226"/>
  <c r="I33" i="226"/>
  <c r="J33" i="226"/>
  <c r="Q90" i="226"/>
  <c r="L90" i="226" s="1"/>
  <c r="R90" i="226" s="1"/>
  <c r="N5" i="226"/>
  <c r="H5" i="226"/>
  <c r="Q5" i="226" s="1"/>
  <c r="R5" i="226" s="1"/>
  <c r="O5" i="226"/>
  <c r="G5" i="226"/>
  <c r="M5" i="226"/>
  <c r="F5" i="226"/>
  <c r="L5" i="226"/>
  <c r="K5" i="226"/>
  <c r="P5" i="226"/>
  <c r="I5" i="226"/>
  <c r="J5" i="226"/>
  <c r="N27" i="226"/>
  <c r="H27" i="226"/>
  <c r="K27" i="226"/>
  <c r="P27" i="226"/>
  <c r="G27" i="226"/>
  <c r="O27" i="226"/>
  <c r="F27" i="226"/>
  <c r="M27" i="226"/>
  <c r="L27" i="226"/>
  <c r="I27" i="226"/>
  <c r="J27" i="226"/>
  <c r="Q27" i="226" s="1"/>
  <c r="L56" i="226"/>
  <c r="F56" i="226"/>
  <c r="Q56" i="226" s="1"/>
  <c r="J56" i="226"/>
  <c r="N56" i="226"/>
  <c r="I56" i="226"/>
  <c r="P56" i="226"/>
  <c r="O56" i="226"/>
  <c r="M56" i="226"/>
  <c r="K56" i="226"/>
  <c r="H56" i="226"/>
  <c r="G56" i="226"/>
  <c r="R56" i="226" s="1"/>
  <c r="J49" i="226"/>
  <c r="L49" i="226"/>
  <c r="G49" i="226"/>
  <c r="K49" i="226"/>
  <c r="N49" i="226"/>
  <c r="D70" i="226"/>
  <c r="M49" i="226"/>
  <c r="I49" i="226"/>
  <c r="H49" i="226"/>
  <c r="F49" i="226"/>
  <c r="O49" i="226" s="1"/>
  <c r="I62" i="226"/>
  <c r="H94" i="226"/>
  <c r="O94" i="226"/>
  <c r="R94" i="226" s="1"/>
  <c r="R58" i="226"/>
  <c r="Q59" i="226"/>
  <c r="H67" i="226"/>
  <c r="R67" i="226" s="1"/>
  <c r="P17" i="226"/>
  <c r="J17" i="226"/>
  <c r="M17" i="226"/>
  <c r="G17" i="226"/>
  <c r="Q17" i="226" s="1"/>
  <c r="O17" i="226"/>
  <c r="F17" i="226"/>
  <c r="N17" i="226"/>
  <c r="R17" i="226" s="1"/>
  <c r="L17" i="226"/>
  <c r="K17" i="226"/>
  <c r="I17" i="226"/>
  <c r="H17" i="226"/>
  <c r="F80" i="226"/>
  <c r="R80" i="226" s="1"/>
  <c r="P4" i="226"/>
  <c r="J4" i="226"/>
  <c r="N4" i="226"/>
  <c r="G4" i="226"/>
  <c r="M4" i="226"/>
  <c r="F4" i="226"/>
  <c r="Q4" i="226" s="1"/>
  <c r="L4" i="226"/>
  <c r="K4" i="226"/>
  <c r="I4" i="226"/>
  <c r="H4" i="226"/>
  <c r="O4" i="226"/>
  <c r="J51" i="226"/>
  <c r="I51" i="226"/>
  <c r="H51" i="226"/>
  <c r="M51" i="226"/>
  <c r="N51" i="226"/>
  <c r="L51" i="226"/>
  <c r="K51" i="226"/>
  <c r="F51" i="226"/>
  <c r="O51" i="226" s="1"/>
  <c r="G51" i="226"/>
  <c r="J66" i="226"/>
  <c r="N66" i="226"/>
  <c r="G66" i="226"/>
  <c r="M66" i="226"/>
  <c r="I66" i="226"/>
  <c r="L66" i="226"/>
  <c r="H66" i="226"/>
  <c r="K66" i="226"/>
  <c r="F66" i="226"/>
  <c r="J52" i="226"/>
  <c r="L52" i="226"/>
  <c r="N52" i="226"/>
  <c r="F52" i="226"/>
  <c r="I52" i="226"/>
  <c r="M52" i="226"/>
  <c r="K52" i="226"/>
  <c r="H52" i="226"/>
  <c r="G52" i="226"/>
  <c r="N77" i="226"/>
  <c r="R77" i="226"/>
  <c r="H77" i="226"/>
  <c r="N32" i="226"/>
  <c r="H32" i="226"/>
  <c r="O32" i="226"/>
  <c r="R32" i="226" s="1"/>
  <c r="G32" i="226"/>
  <c r="K32" i="226"/>
  <c r="J32" i="226"/>
  <c r="I32" i="226"/>
  <c r="Q32" i="226"/>
  <c r="F32" i="226"/>
  <c r="P32" i="226"/>
  <c r="M32" i="226"/>
  <c r="L32" i="226"/>
  <c r="O50" i="226"/>
  <c r="R50" i="226" s="1"/>
  <c r="R47" i="226"/>
  <c r="Q47" i="226"/>
  <c r="Q16" i="226"/>
  <c r="R16" i="226" s="1"/>
  <c r="R71" i="226"/>
  <c r="F71" i="226"/>
  <c r="D76" i="226"/>
  <c r="N29" i="226"/>
  <c r="H29" i="226"/>
  <c r="M29" i="226"/>
  <c r="F29" i="226"/>
  <c r="J29" i="226"/>
  <c r="I29" i="226"/>
  <c r="G29" i="226"/>
  <c r="P29" i="226"/>
  <c r="O29" i="226"/>
  <c r="K29" i="226"/>
  <c r="L29" i="226"/>
  <c r="L89" i="226"/>
  <c r="R89" i="226"/>
  <c r="F89" i="226"/>
  <c r="R14" i="226"/>
  <c r="D87" i="226"/>
  <c r="L88" i="226"/>
  <c r="R88" i="226" s="1"/>
  <c r="F88" i="226"/>
  <c r="P54" i="226"/>
  <c r="J54" i="226"/>
  <c r="I54" i="226"/>
  <c r="O54" i="226"/>
  <c r="G54" i="226"/>
  <c r="L54" i="226"/>
  <c r="F54" i="226"/>
  <c r="Q54" i="226" s="1"/>
  <c r="N54" i="226"/>
  <c r="M54" i="226"/>
  <c r="H54" i="226"/>
  <c r="K54" i="226"/>
  <c r="L6" i="226"/>
  <c r="F6" i="226"/>
  <c r="Q6" i="226" s="1"/>
  <c r="O6" i="226"/>
  <c r="H6" i="226"/>
  <c r="N6" i="226"/>
  <c r="G6" i="226"/>
  <c r="M6" i="226"/>
  <c r="K6" i="226"/>
  <c r="P6" i="226"/>
  <c r="I6" i="226"/>
  <c r="J6" i="226"/>
  <c r="D93" i="226"/>
  <c r="O64" i="226"/>
  <c r="R64" i="226" s="1"/>
  <c r="R10" i="226"/>
  <c r="N55" i="226"/>
  <c r="H55" i="226"/>
  <c r="J55" i="226"/>
  <c r="K55" i="226"/>
  <c r="O55" i="226"/>
  <c r="F55" i="226"/>
  <c r="P55" i="226"/>
  <c r="M55" i="226"/>
  <c r="L55" i="226"/>
  <c r="I55" i="226"/>
  <c r="G55" i="226"/>
  <c r="D109" i="226"/>
  <c r="L15" i="226"/>
  <c r="R15" i="226" s="1"/>
  <c r="F15" i="226"/>
  <c r="K12" i="226"/>
  <c r="N12" i="226"/>
  <c r="G12" i="226"/>
  <c r="M12" i="226"/>
  <c r="F12" i="226"/>
  <c r="L12" i="226"/>
  <c r="J12" i="226"/>
  <c r="H12" i="226"/>
  <c r="I12" i="226"/>
  <c r="P57" i="226"/>
  <c r="J57" i="226"/>
  <c r="K57" i="226"/>
  <c r="Q57" i="226"/>
  <c r="H57" i="226"/>
  <c r="M57" i="226"/>
  <c r="O57" i="226"/>
  <c r="N57" i="226"/>
  <c r="L57" i="226"/>
  <c r="I57" i="226"/>
  <c r="F57" i="226"/>
  <c r="R57" i="226" s="1"/>
  <c r="G57" i="226"/>
  <c r="F69" i="226"/>
  <c r="F60" i="226"/>
  <c r="R60" i="226" s="1"/>
  <c r="D83" i="226"/>
  <c r="R79" i="226"/>
  <c r="F79" i="226"/>
  <c r="L9" i="226"/>
  <c r="F9" i="226"/>
  <c r="Q9" i="226" s="1"/>
  <c r="P9" i="226"/>
  <c r="I9" i="226"/>
  <c r="O9" i="226"/>
  <c r="H9" i="226"/>
  <c r="N9" i="226"/>
  <c r="G9" i="226"/>
  <c r="M9" i="226"/>
  <c r="J9" i="226"/>
  <c r="K9" i="226"/>
  <c r="R59" i="226"/>
  <c r="R44" i="226"/>
  <c r="F24" i="226"/>
  <c r="L24" i="226" s="1"/>
  <c r="R24" i="226" s="1"/>
  <c r="J65" i="226"/>
  <c r="L65" i="226"/>
  <c r="H65" i="226"/>
  <c r="M65" i="226"/>
  <c r="N65" i="226"/>
  <c r="K65" i="226"/>
  <c r="G65" i="226"/>
  <c r="I65" i="226"/>
  <c r="F65" i="226"/>
  <c r="O65" i="226" s="1"/>
  <c r="J53" i="226"/>
  <c r="N53" i="226"/>
  <c r="G53" i="226"/>
  <c r="O53" i="226" s="1"/>
  <c r="K53" i="226"/>
  <c r="F53" i="226"/>
  <c r="R53" i="226" s="1"/>
  <c r="M53" i="226"/>
  <c r="L53" i="226"/>
  <c r="I53" i="226"/>
  <c r="H53" i="226"/>
  <c r="M75" i="226"/>
  <c r="G75" i="226"/>
  <c r="K75" i="226"/>
  <c r="H75" i="226"/>
  <c r="L75" i="226"/>
  <c r="F75" i="226"/>
  <c r="O75" i="226" s="1"/>
  <c r="N75" i="226"/>
  <c r="J75" i="226"/>
  <c r="R75" i="226" s="1"/>
  <c r="I75" i="226"/>
  <c r="L3" i="226"/>
  <c r="F3" i="226"/>
  <c r="N3" i="226"/>
  <c r="G3" i="226"/>
  <c r="Q3" i="226" s="1"/>
  <c r="D25" i="226"/>
  <c r="M3" i="226"/>
  <c r="K3" i="226"/>
  <c r="J3" i="226"/>
  <c r="O3" i="226"/>
  <c r="H3" i="226"/>
  <c r="P3" i="226"/>
  <c r="I3" i="226"/>
  <c r="M61" i="226"/>
  <c r="G61" i="226"/>
  <c r="P61" i="226"/>
  <c r="I61" i="226"/>
  <c r="O61" i="226"/>
  <c r="F61" i="226"/>
  <c r="K61" i="226"/>
  <c r="J61" i="226"/>
  <c r="H61" i="226"/>
  <c r="N61" i="226"/>
  <c r="L61" i="226"/>
  <c r="K13" i="226"/>
  <c r="P13" i="226"/>
  <c r="I13" i="226"/>
  <c r="O13" i="226"/>
  <c r="H13" i="226"/>
  <c r="N13" i="226"/>
  <c r="G13" i="226"/>
  <c r="M13" i="226"/>
  <c r="F13" i="226"/>
  <c r="L13" i="226"/>
  <c r="J13" i="226"/>
  <c r="M72" i="226"/>
  <c r="M76" i="226" s="1"/>
  <c r="G72" i="226"/>
  <c r="K72" i="226"/>
  <c r="I72" i="226"/>
  <c r="N72" i="226"/>
  <c r="O72" i="226"/>
  <c r="L72" i="226"/>
  <c r="J72" i="226"/>
  <c r="H72" i="226"/>
  <c r="F72" i="226"/>
  <c r="R72" i="226" s="1"/>
  <c r="M73" i="226"/>
  <c r="G73" i="226"/>
  <c r="N73" i="226"/>
  <c r="F73" i="226"/>
  <c r="O73" i="226" s="1"/>
  <c r="J73" i="226"/>
  <c r="L73" i="226"/>
  <c r="I73" i="226"/>
  <c r="K73" i="226"/>
  <c r="H73" i="226"/>
  <c r="R63" i="226"/>
  <c r="F63" i="226"/>
  <c r="F81" i="226"/>
  <c r="R81" i="226" s="1"/>
  <c r="N8" i="226"/>
  <c r="H8" i="226"/>
  <c r="P8" i="226"/>
  <c r="I8" i="226"/>
  <c r="O8" i="226"/>
  <c r="G8" i="226"/>
  <c r="M8" i="226"/>
  <c r="F8" i="226"/>
  <c r="R8" i="226" s="1"/>
  <c r="L8" i="226"/>
  <c r="Q8" i="226"/>
  <c r="J8" i="226"/>
  <c r="K8" i="226"/>
  <c r="R55" i="225"/>
  <c r="R74" i="225"/>
  <c r="R53" i="225"/>
  <c r="R13" i="225"/>
  <c r="J64" i="225"/>
  <c r="H64" i="225"/>
  <c r="L64" i="225"/>
  <c r="K64" i="225"/>
  <c r="G64" i="225"/>
  <c r="M64" i="225"/>
  <c r="I64" i="225"/>
  <c r="O64" i="225" s="1"/>
  <c r="F64" i="225"/>
  <c r="R64" i="225" s="1"/>
  <c r="N64" i="225"/>
  <c r="K3" i="225"/>
  <c r="O3" i="225"/>
  <c r="H3" i="225"/>
  <c r="N3" i="225"/>
  <c r="G3" i="225"/>
  <c r="D25" i="225"/>
  <c r="M3" i="225"/>
  <c r="F3" i="225"/>
  <c r="L3" i="225"/>
  <c r="J3" i="225"/>
  <c r="P3" i="225"/>
  <c r="I3" i="225"/>
  <c r="J65" i="225"/>
  <c r="K65" i="225"/>
  <c r="H65" i="225"/>
  <c r="G65" i="225"/>
  <c r="M65" i="225"/>
  <c r="F65" i="225"/>
  <c r="O65" i="225" s="1"/>
  <c r="N65" i="225"/>
  <c r="L65" i="225"/>
  <c r="I65" i="225"/>
  <c r="F82" i="225"/>
  <c r="R82" i="225" s="1"/>
  <c r="F36" i="225"/>
  <c r="I62" i="225"/>
  <c r="R62" i="225" s="1"/>
  <c r="N62" i="225"/>
  <c r="H94" i="225"/>
  <c r="O94" i="225" s="1"/>
  <c r="R94" i="225" s="1"/>
  <c r="D78" i="225"/>
  <c r="R28" i="225"/>
  <c r="J66" i="225"/>
  <c r="M66" i="225"/>
  <c r="F66" i="225"/>
  <c r="O66" i="225" s="1"/>
  <c r="N66" i="225"/>
  <c r="L66" i="225"/>
  <c r="I66" i="225"/>
  <c r="G66" i="225"/>
  <c r="K66" i="225"/>
  <c r="H66" i="225"/>
  <c r="R54" i="225"/>
  <c r="L24" i="225"/>
  <c r="R24" i="225" s="1"/>
  <c r="Q32" i="225"/>
  <c r="R32" i="225" s="1"/>
  <c r="Q55" i="225"/>
  <c r="G70" i="225"/>
  <c r="O53" i="225"/>
  <c r="R15" i="225"/>
  <c r="R31" i="225"/>
  <c r="N58" i="225"/>
  <c r="H58" i="225"/>
  <c r="J58" i="225"/>
  <c r="L58" i="225"/>
  <c r="K58" i="225"/>
  <c r="P58" i="225"/>
  <c r="G58" i="225"/>
  <c r="M58" i="225"/>
  <c r="Q58" i="225" s="1"/>
  <c r="I58" i="225"/>
  <c r="O58" i="225"/>
  <c r="F58" i="225"/>
  <c r="M26" i="225"/>
  <c r="P26" i="225"/>
  <c r="P37" i="225" s="1"/>
  <c r="H26" i="225"/>
  <c r="O26" i="225"/>
  <c r="F26" i="225"/>
  <c r="K26" i="225"/>
  <c r="K37" i="225" s="1"/>
  <c r="N26" i="225"/>
  <c r="J26" i="225"/>
  <c r="I26" i="225"/>
  <c r="D37" i="225"/>
  <c r="R8" i="225"/>
  <c r="K6" i="225"/>
  <c r="P6" i="225"/>
  <c r="I6" i="225"/>
  <c r="O6" i="225"/>
  <c r="H6" i="225"/>
  <c r="N6" i="225"/>
  <c r="G6" i="225"/>
  <c r="M6" i="225"/>
  <c r="F6" i="225"/>
  <c r="R6" i="225" s="1"/>
  <c r="L6" i="225"/>
  <c r="J6" i="225"/>
  <c r="Q6" i="225" s="1"/>
  <c r="M72" i="225"/>
  <c r="G72" i="225"/>
  <c r="J72" i="225"/>
  <c r="J76" i="225" s="1"/>
  <c r="I72" i="225"/>
  <c r="I76" i="225" s="1"/>
  <c r="H72" i="225"/>
  <c r="H76" i="225" s="1"/>
  <c r="N72" i="225"/>
  <c r="F72" i="225"/>
  <c r="L72" i="225"/>
  <c r="K72" i="225"/>
  <c r="F43" i="225"/>
  <c r="F45" i="225" s="1"/>
  <c r="D109" i="225"/>
  <c r="F69" i="225"/>
  <c r="L69" i="225"/>
  <c r="R69" i="225" s="1"/>
  <c r="L44" i="225"/>
  <c r="L45" i="225" s="1"/>
  <c r="H77" i="225"/>
  <c r="N77" i="225" s="1"/>
  <c r="R77" i="225" s="1"/>
  <c r="D87" i="225"/>
  <c r="F88" i="225"/>
  <c r="R88" i="225" s="1"/>
  <c r="L88" i="225"/>
  <c r="R68" i="225"/>
  <c r="F68" i="225"/>
  <c r="L12" i="225"/>
  <c r="J12" i="225"/>
  <c r="H12" i="225"/>
  <c r="G12" i="225"/>
  <c r="K12" i="225"/>
  <c r="I12" i="225"/>
  <c r="N12" i="225"/>
  <c r="F12" i="225"/>
  <c r="M12" i="225"/>
  <c r="R7" i="225"/>
  <c r="I42" i="225"/>
  <c r="I45" i="225" s="1"/>
  <c r="D45" i="225"/>
  <c r="R42" i="225"/>
  <c r="D92" i="225"/>
  <c r="L59" i="225"/>
  <c r="F59" i="225"/>
  <c r="Q59" i="225" s="1"/>
  <c r="J59" i="225"/>
  <c r="O59" i="225"/>
  <c r="G59" i="225"/>
  <c r="R59" i="225" s="1"/>
  <c r="N59" i="225"/>
  <c r="K59" i="225"/>
  <c r="P59" i="225"/>
  <c r="M59" i="225"/>
  <c r="I59" i="225"/>
  <c r="H59" i="225"/>
  <c r="K14" i="225"/>
  <c r="P14" i="225"/>
  <c r="J14" i="225"/>
  <c r="N14" i="225"/>
  <c r="H14" i="225"/>
  <c r="O14" i="225"/>
  <c r="M14" i="225"/>
  <c r="G14" i="225"/>
  <c r="F14" i="225"/>
  <c r="R14" i="225" s="1"/>
  <c r="L14" i="225"/>
  <c r="I14" i="225"/>
  <c r="Q14" i="225" s="1"/>
  <c r="K27" i="225"/>
  <c r="P27" i="225"/>
  <c r="I27" i="225"/>
  <c r="O27" i="225"/>
  <c r="H27" i="225"/>
  <c r="M27" i="225"/>
  <c r="F27" i="225"/>
  <c r="N27" i="225"/>
  <c r="L27" i="225"/>
  <c r="J27" i="225"/>
  <c r="G27" i="225"/>
  <c r="M73" i="225"/>
  <c r="G73" i="225"/>
  <c r="L73" i="225"/>
  <c r="F73" i="225"/>
  <c r="F76" i="225" s="1"/>
  <c r="N73" i="225"/>
  <c r="J73" i="225"/>
  <c r="H73" i="225"/>
  <c r="K73" i="225"/>
  <c r="I73" i="225"/>
  <c r="F81" i="225"/>
  <c r="R81" i="225" s="1"/>
  <c r="O75" i="225"/>
  <c r="R75" i="225" s="1"/>
  <c r="Q10" i="225"/>
  <c r="R10" i="225" s="1"/>
  <c r="O49" i="225"/>
  <c r="J52" i="225"/>
  <c r="K52" i="225"/>
  <c r="N52" i="225"/>
  <c r="F52" i="225"/>
  <c r="M52" i="225"/>
  <c r="I52" i="225"/>
  <c r="O52" i="225" s="1"/>
  <c r="G52" i="225"/>
  <c r="L52" i="225"/>
  <c r="H52" i="225"/>
  <c r="N93" i="225"/>
  <c r="H93" i="225"/>
  <c r="L93" i="225"/>
  <c r="P93" i="225"/>
  <c r="G93" i="225"/>
  <c r="Q93" i="225" s="1"/>
  <c r="O93" i="225"/>
  <c r="F93" i="225"/>
  <c r="M93" i="225"/>
  <c r="K93" i="225"/>
  <c r="J93" i="225"/>
  <c r="I93" i="225"/>
  <c r="L70" i="225"/>
  <c r="D70" i="225"/>
  <c r="R29" i="225"/>
  <c r="J50" i="225"/>
  <c r="J70" i="225" s="1"/>
  <c r="M50" i="225"/>
  <c r="F50" i="225"/>
  <c r="L50" i="225"/>
  <c r="K50" i="225"/>
  <c r="H50" i="225"/>
  <c r="N50" i="225"/>
  <c r="N70" i="225" s="1"/>
  <c r="I50" i="225"/>
  <c r="I70" i="225" s="1"/>
  <c r="G50" i="225"/>
  <c r="M5" i="225"/>
  <c r="G5" i="225"/>
  <c r="P5" i="225"/>
  <c r="I5" i="225"/>
  <c r="O5" i="225"/>
  <c r="H5" i="225"/>
  <c r="N5" i="225"/>
  <c r="F5" i="225"/>
  <c r="Q5" i="225" s="1"/>
  <c r="L5" i="225"/>
  <c r="K5" i="225"/>
  <c r="J5" i="225"/>
  <c r="J51" i="225"/>
  <c r="H51" i="225"/>
  <c r="I51" i="225"/>
  <c r="G51" i="225"/>
  <c r="M51" i="225"/>
  <c r="N51" i="225"/>
  <c r="L51" i="225"/>
  <c r="F51" i="225"/>
  <c r="K51" i="225"/>
  <c r="M61" i="225"/>
  <c r="G61" i="225"/>
  <c r="O61" i="225"/>
  <c r="H61" i="225"/>
  <c r="P61" i="225"/>
  <c r="Q61" i="225" s="1"/>
  <c r="R61" i="225" s="1"/>
  <c r="F61" i="225"/>
  <c r="N61" i="225"/>
  <c r="K61" i="225"/>
  <c r="L61" i="225"/>
  <c r="J61" i="225"/>
  <c r="I61" i="225"/>
  <c r="K16" i="225"/>
  <c r="P16" i="225"/>
  <c r="J16" i="225"/>
  <c r="N16" i="225"/>
  <c r="H16" i="225"/>
  <c r="I16" i="225"/>
  <c r="Q16" i="225" s="1"/>
  <c r="M16" i="225"/>
  <c r="G16" i="225"/>
  <c r="L16" i="225"/>
  <c r="F16" i="225"/>
  <c r="O16" i="225"/>
  <c r="K30" i="225"/>
  <c r="J30" i="225"/>
  <c r="P30" i="225"/>
  <c r="I30" i="225"/>
  <c r="N30" i="225"/>
  <c r="G30" i="225"/>
  <c r="O30" i="225"/>
  <c r="R30" i="225" s="1"/>
  <c r="F30" i="225"/>
  <c r="M30" i="225"/>
  <c r="L30" i="225"/>
  <c r="H30" i="225"/>
  <c r="Q30" i="225" s="1"/>
  <c r="Q90" i="225"/>
  <c r="F89" i="225"/>
  <c r="L89" i="225"/>
  <c r="R89" i="225" s="1"/>
  <c r="K9" i="225"/>
  <c r="J9" i="225"/>
  <c r="P9" i="225"/>
  <c r="I9" i="225"/>
  <c r="M9" i="225"/>
  <c r="F9" i="225"/>
  <c r="O9" i="225"/>
  <c r="H9" i="225"/>
  <c r="N9" i="225"/>
  <c r="G9" i="225"/>
  <c r="L9" i="225"/>
  <c r="D83" i="225"/>
  <c r="R79" i="225"/>
  <c r="F79" i="225"/>
  <c r="R71" i="225"/>
  <c r="Q28" i="225"/>
  <c r="O4" i="225"/>
  <c r="I4" i="225"/>
  <c r="P4" i="225"/>
  <c r="H4" i="225"/>
  <c r="N4" i="225"/>
  <c r="G4" i="225"/>
  <c r="M4" i="225"/>
  <c r="F4" i="225"/>
  <c r="Q4" i="225" s="1"/>
  <c r="R4" i="225" s="1"/>
  <c r="L4" i="225"/>
  <c r="K4" i="225"/>
  <c r="J4" i="225"/>
  <c r="P57" i="225"/>
  <c r="J57" i="225"/>
  <c r="I57" i="225"/>
  <c r="H57" i="225"/>
  <c r="O57" i="225"/>
  <c r="G57" i="225"/>
  <c r="M57" i="225"/>
  <c r="Q57" i="225" s="1"/>
  <c r="K57" i="225"/>
  <c r="F57" i="225"/>
  <c r="N57" i="225"/>
  <c r="L57" i="225"/>
  <c r="F63" i="225"/>
  <c r="R63" i="225" s="1"/>
  <c r="L56" i="225"/>
  <c r="F56" i="225"/>
  <c r="R56" i="225" s="1"/>
  <c r="P56" i="225"/>
  <c r="P70" i="225" s="1"/>
  <c r="P78" i="225" s="1"/>
  <c r="I56" i="225"/>
  <c r="N56" i="225"/>
  <c r="M56" i="225"/>
  <c r="J56" i="225"/>
  <c r="G56" i="225"/>
  <c r="K56" i="225"/>
  <c r="K70" i="225" s="1"/>
  <c r="H56" i="225"/>
  <c r="Q56" i="225"/>
  <c r="O56" i="225"/>
  <c r="L33" i="225"/>
  <c r="K33" i="225"/>
  <c r="M33" i="225"/>
  <c r="J33" i="225"/>
  <c r="P33" i="225"/>
  <c r="H33" i="225"/>
  <c r="G33" i="225"/>
  <c r="Q33" i="225" s="1"/>
  <c r="F33" i="225"/>
  <c r="R33" i="225" s="1"/>
  <c r="O33" i="225"/>
  <c r="N33" i="225"/>
  <c r="I33" i="225"/>
  <c r="R27" i="224"/>
  <c r="R52" i="224"/>
  <c r="F43" i="224"/>
  <c r="F45" i="224" s="1"/>
  <c r="L59" i="224"/>
  <c r="F59" i="224"/>
  <c r="M59" i="224"/>
  <c r="I59" i="224"/>
  <c r="P59" i="224"/>
  <c r="H59" i="224"/>
  <c r="K59" i="224"/>
  <c r="J59" i="224"/>
  <c r="G59" i="224"/>
  <c r="O59" i="224"/>
  <c r="N59" i="224"/>
  <c r="O29" i="224"/>
  <c r="I29" i="224"/>
  <c r="P29" i="224"/>
  <c r="H29" i="224"/>
  <c r="Q29" i="224" s="1"/>
  <c r="N29" i="224"/>
  <c r="G29" i="224"/>
  <c r="F29" i="224"/>
  <c r="M29" i="224"/>
  <c r="L29" i="224"/>
  <c r="J29" i="224"/>
  <c r="K29" i="224"/>
  <c r="K16" i="224"/>
  <c r="P16" i="224"/>
  <c r="J16" i="224"/>
  <c r="O16" i="224"/>
  <c r="G16" i="224"/>
  <c r="N16" i="224"/>
  <c r="F16" i="224"/>
  <c r="M16" i="224"/>
  <c r="L16" i="224"/>
  <c r="H16" i="224"/>
  <c r="I16" i="224"/>
  <c r="Q90" i="224"/>
  <c r="M74" i="224"/>
  <c r="G74" i="224"/>
  <c r="J74" i="224"/>
  <c r="O74" i="224" s="1"/>
  <c r="N74" i="224"/>
  <c r="L74" i="224"/>
  <c r="H74" i="224"/>
  <c r="K74" i="224"/>
  <c r="I74" i="224"/>
  <c r="F74" i="224"/>
  <c r="R74" i="224" s="1"/>
  <c r="H94" i="224"/>
  <c r="O94" i="224"/>
  <c r="R94" i="224" s="1"/>
  <c r="O32" i="224"/>
  <c r="I32" i="224"/>
  <c r="J32" i="224"/>
  <c r="P32" i="224"/>
  <c r="H32" i="224"/>
  <c r="G32" i="224"/>
  <c r="R32" i="224" s="1"/>
  <c r="F32" i="224"/>
  <c r="Q32" i="224" s="1"/>
  <c r="N32" i="224"/>
  <c r="M32" i="224"/>
  <c r="L32" i="224"/>
  <c r="K32" i="224"/>
  <c r="O26" i="224"/>
  <c r="H26" i="224"/>
  <c r="N26" i="224"/>
  <c r="F26" i="224"/>
  <c r="R26" i="224" s="1"/>
  <c r="Q26" i="224"/>
  <c r="P26" i="224"/>
  <c r="M26" i="224"/>
  <c r="D37" i="224"/>
  <c r="K26" i="224"/>
  <c r="J26" i="224"/>
  <c r="J37" i="224" s="1"/>
  <c r="I26" i="224"/>
  <c r="J50" i="224"/>
  <c r="H50" i="224"/>
  <c r="N50" i="224"/>
  <c r="F50" i="224"/>
  <c r="M50" i="224"/>
  <c r="L50" i="224"/>
  <c r="K50" i="224"/>
  <c r="O50" i="224" s="1"/>
  <c r="I50" i="224"/>
  <c r="G50" i="224"/>
  <c r="R50" i="224" s="1"/>
  <c r="F69" i="224"/>
  <c r="L69" i="224" s="1"/>
  <c r="R69" i="224" s="1"/>
  <c r="H77" i="224"/>
  <c r="N77" i="224" s="1"/>
  <c r="R77" i="224" s="1"/>
  <c r="M9" i="224"/>
  <c r="G9" i="224"/>
  <c r="O9" i="224"/>
  <c r="H9" i="224"/>
  <c r="Q9" i="224" s="1"/>
  <c r="N9" i="224"/>
  <c r="F9" i="224"/>
  <c r="R9" i="224" s="1"/>
  <c r="L9" i="224"/>
  <c r="K9" i="224"/>
  <c r="I9" i="224"/>
  <c r="P9" i="224"/>
  <c r="J9" i="224"/>
  <c r="F24" i="224"/>
  <c r="L24" i="224" s="1"/>
  <c r="D87" i="224"/>
  <c r="R88" i="224"/>
  <c r="F88" i="224"/>
  <c r="L88" i="224"/>
  <c r="M6" i="224"/>
  <c r="G6" i="224"/>
  <c r="N6" i="224"/>
  <c r="F6" i="224"/>
  <c r="R6" i="224" s="1"/>
  <c r="L6" i="224"/>
  <c r="K6" i="224"/>
  <c r="Q6" i="224"/>
  <c r="J6" i="224"/>
  <c r="H6" i="224"/>
  <c r="P6" i="224"/>
  <c r="O6" i="224"/>
  <c r="I6" i="224"/>
  <c r="J64" i="224"/>
  <c r="K64" i="224"/>
  <c r="N64" i="224"/>
  <c r="F64" i="224"/>
  <c r="M64" i="224"/>
  <c r="L64" i="224"/>
  <c r="I64" i="224"/>
  <c r="H64" i="224"/>
  <c r="O64" i="224" s="1"/>
  <c r="G64" i="224"/>
  <c r="F36" i="224"/>
  <c r="K28" i="224"/>
  <c r="O28" i="224"/>
  <c r="H28" i="224"/>
  <c r="N28" i="224"/>
  <c r="G28" i="224"/>
  <c r="G37" i="224" s="1"/>
  <c r="J28" i="224"/>
  <c r="I28" i="224"/>
  <c r="F28" i="224"/>
  <c r="Q28" i="224" s="1"/>
  <c r="P28" i="224"/>
  <c r="M28" i="224"/>
  <c r="L28" i="224"/>
  <c r="M72" i="224"/>
  <c r="G72" i="224"/>
  <c r="L72" i="224"/>
  <c r="K72" i="224"/>
  <c r="J72" i="224"/>
  <c r="F72" i="224"/>
  <c r="N72" i="224"/>
  <c r="I72" i="224"/>
  <c r="I76" i="224" s="1"/>
  <c r="H72" i="224"/>
  <c r="H76" i="224" s="1"/>
  <c r="D83" i="224"/>
  <c r="F79" i="224"/>
  <c r="O8" i="224"/>
  <c r="I8" i="224"/>
  <c r="N8" i="224"/>
  <c r="G8" i="224"/>
  <c r="M8" i="224"/>
  <c r="F8" i="224"/>
  <c r="L8" i="224"/>
  <c r="K8" i="224"/>
  <c r="P8" i="224"/>
  <c r="J8" i="224"/>
  <c r="H8" i="224"/>
  <c r="H25" i="224" s="1"/>
  <c r="O73" i="224"/>
  <c r="R73" i="224" s="1"/>
  <c r="J49" i="224"/>
  <c r="M49" i="224"/>
  <c r="F49" i="224"/>
  <c r="I49" i="224"/>
  <c r="H49" i="224"/>
  <c r="D70" i="224"/>
  <c r="L49" i="224"/>
  <c r="K49" i="224"/>
  <c r="G49" i="224"/>
  <c r="N49" i="224"/>
  <c r="O65" i="224"/>
  <c r="R65" i="224" s="1"/>
  <c r="D45" i="224"/>
  <c r="R51" i="224"/>
  <c r="M12" i="224"/>
  <c r="G12" i="224"/>
  <c r="L12" i="224"/>
  <c r="F12" i="224"/>
  <c r="N12" i="224"/>
  <c r="K12" i="224"/>
  <c r="J12" i="224"/>
  <c r="I12" i="224"/>
  <c r="H12" i="224"/>
  <c r="O5" i="224"/>
  <c r="I5" i="224"/>
  <c r="M5" i="224"/>
  <c r="F5" i="224"/>
  <c r="R5" i="224" s="1"/>
  <c r="L5" i="224"/>
  <c r="K5" i="224"/>
  <c r="Q5" i="224"/>
  <c r="J5" i="224"/>
  <c r="P5" i="224"/>
  <c r="N5" i="224"/>
  <c r="H5" i="224"/>
  <c r="G5" i="224"/>
  <c r="F71" i="224"/>
  <c r="F76" i="224" s="1"/>
  <c r="D76" i="224"/>
  <c r="D109" i="224" s="1"/>
  <c r="J53" i="224"/>
  <c r="H53" i="224"/>
  <c r="M53" i="224"/>
  <c r="L53" i="224"/>
  <c r="N53" i="224"/>
  <c r="K53" i="224"/>
  <c r="I53" i="224"/>
  <c r="G53" i="224"/>
  <c r="O53" i="224" s="1"/>
  <c r="F53" i="224"/>
  <c r="R53" i="224" s="1"/>
  <c r="K31" i="224"/>
  <c r="P31" i="224"/>
  <c r="I31" i="224"/>
  <c r="O31" i="224"/>
  <c r="H31" i="224"/>
  <c r="L31" i="224"/>
  <c r="J31" i="224"/>
  <c r="G31" i="224"/>
  <c r="F31" i="224"/>
  <c r="Q31" i="224" s="1"/>
  <c r="M31" i="224"/>
  <c r="N31" i="224"/>
  <c r="M75" i="224"/>
  <c r="G75" i="224"/>
  <c r="L75" i="224"/>
  <c r="J75" i="224"/>
  <c r="I75" i="224"/>
  <c r="N75" i="224"/>
  <c r="H75" i="224"/>
  <c r="K75" i="224"/>
  <c r="F75" i="224"/>
  <c r="F81" i="224"/>
  <c r="R81" i="224" s="1"/>
  <c r="M4" i="224"/>
  <c r="M25" i="224" s="1"/>
  <c r="G4" i="224"/>
  <c r="G25" i="224" s="1"/>
  <c r="L4" i="224"/>
  <c r="F4" i="224"/>
  <c r="K4" i="224"/>
  <c r="P4" i="224"/>
  <c r="J4" i="224"/>
  <c r="J25" i="224" s="1"/>
  <c r="J48" i="224" s="1"/>
  <c r="N4" i="224"/>
  <c r="N25" i="224" s="1"/>
  <c r="I4" i="224"/>
  <c r="H4" i="224"/>
  <c r="D25" i="224"/>
  <c r="O4" i="224"/>
  <c r="R68" i="224"/>
  <c r="F68" i="224"/>
  <c r="K46" i="224"/>
  <c r="K47" i="224" s="1"/>
  <c r="D47" i="224"/>
  <c r="N46" i="224"/>
  <c r="N47" i="224" s="1"/>
  <c r="F46" i="224"/>
  <c r="F47" i="224" s="1"/>
  <c r="K7" i="224"/>
  <c r="N7" i="224"/>
  <c r="G7" i="224"/>
  <c r="M7" i="224"/>
  <c r="F7" i="224"/>
  <c r="Q7" i="224" s="1"/>
  <c r="L7" i="224"/>
  <c r="J7" i="224"/>
  <c r="O7" i="224"/>
  <c r="I7" i="224"/>
  <c r="H7" i="224"/>
  <c r="P7" i="224"/>
  <c r="F80" i="224"/>
  <c r="R80" i="224"/>
  <c r="N55" i="224"/>
  <c r="H55" i="224"/>
  <c r="K55" i="224"/>
  <c r="M55" i="224"/>
  <c r="L55" i="224"/>
  <c r="P55" i="224"/>
  <c r="G55" i="224"/>
  <c r="O55" i="224"/>
  <c r="J55" i="224"/>
  <c r="I55" i="224"/>
  <c r="F55" i="224"/>
  <c r="Q55" i="224" s="1"/>
  <c r="P57" i="224"/>
  <c r="J57" i="224"/>
  <c r="L57" i="224"/>
  <c r="K57" i="224"/>
  <c r="I57" i="224"/>
  <c r="Q57" i="224" s="1"/>
  <c r="N57" i="224"/>
  <c r="F57" i="224"/>
  <c r="M57" i="224"/>
  <c r="H57" i="224"/>
  <c r="G57" i="224"/>
  <c r="O57" i="224"/>
  <c r="D92" i="224"/>
  <c r="F89" i="224"/>
  <c r="L44" i="224"/>
  <c r="L45" i="224" s="1"/>
  <c r="Q27" i="224"/>
  <c r="L33" i="224"/>
  <c r="N33" i="224"/>
  <c r="G33" i="224"/>
  <c r="J33" i="224"/>
  <c r="I33" i="224"/>
  <c r="P33" i="224"/>
  <c r="O33" i="224"/>
  <c r="M33" i="224"/>
  <c r="K33" i="224"/>
  <c r="H33" i="224"/>
  <c r="F33" i="224"/>
  <c r="K14" i="224"/>
  <c r="P14" i="224"/>
  <c r="J14" i="224"/>
  <c r="O14" i="224"/>
  <c r="G14" i="224"/>
  <c r="N14" i="224"/>
  <c r="F14" i="224"/>
  <c r="R14" i="224" s="1"/>
  <c r="M14" i="224"/>
  <c r="L14" i="224"/>
  <c r="I14" i="224"/>
  <c r="H14" i="224"/>
  <c r="Q14" i="224" s="1"/>
  <c r="N62" i="224"/>
  <c r="I62" i="224"/>
  <c r="R62" i="224" s="1"/>
  <c r="F60" i="224"/>
  <c r="R60" i="224"/>
  <c r="L93" i="224"/>
  <c r="F93" i="224"/>
  <c r="N93" i="224"/>
  <c r="H93" i="224"/>
  <c r="J93" i="224"/>
  <c r="Q93" i="224" s="1"/>
  <c r="M93" i="224"/>
  <c r="R93" i="224" s="1"/>
  <c r="K93" i="224"/>
  <c r="I93" i="224"/>
  <c r="G93" i="224"/>
  <c r="P93" i="224"/>
  <c r="O93" i="224"/>
  <c r="P54" i="224"/>
  <c r="J54" i="224"/>
  <c r="K54" i="224"/>
  <c r="I54" i="224"/>
  <c r="H54" i="224"/>
  <c r="O54" i="224"/>
  <c r="G54" i="224"/>
  <c r="N54" i="224"/>
  <c r="M54" i="224"/>
  <c r="L54" i="224"/>
  <c r="Q54" i="224" s="1"/>
  <c r="F54" i="224"/>
  <c r="R54" i="224" s="1"/>
  <c r="M61" i="224"/>
  <c r="G61" i="224"/>
  <c r="J61" i="224"/>
  <c r="I61" i="224"/>
  <c r="P61" i="224"/>
  <c r="H61" i="224"/>
  <c r="F61" i="224"/>
  <c r="Q61" i="224" s="1"/>
  <c r="L61" i="224"/>
  <c r="O61" i="224"/>
  <c r="R61" i="224" s="1"/>
  <c r="N61" i="224"/>
  <c r="K61" i="224"/>
  <c r="K10" i="224"/>
  <c r="O10" i="224"/>
  <c r="H10" i="224"/>
  <c r="N10" i="224"/>
  <c r="G10" i="224"/>
  <c r="M10" i="224"/>
  <c r="F10" i="224"/>
  <c r="Q10" i="224" s="1"/>
  <c r="L10" i="224"/>
  <c r="P10" i="224"/>
  <c r="J10" i="224"/>
  <c r="I10" i="224"/>
  <c r="H67" i="224"/>
  <c r="R67" i="224" s="1"/>
  <c r="N58" i="224"/>
  <c r="H58" i="224"/>
  <c r="L58" i="224"/>
  <c r="O58" i="224"/>
  <c r="F58" i="224"/>
  <c r="M58" i="224"/>
  <c r="K58" i="224"/>
  <c r="J58" i="224"/>
  <c r="I58" i="224"/>
  <c r="G58" i="224"/>
  <c r="Q58" i="224" s="1"/>
  <c r="P58" i="224"/>
  <c r="R11" i="224"/>
  <c r="F11" i="224"/>
  <c r="F25" i="224" s="1"/>
  <c r="Q56" i="224"/>
  <c r="R56" i="224" s="1"/>
  <c r="I25" i="224"/>
  <c r="Q3" i="224"/>
  <c r="R3" i="224" s="1"/>
  <c r="K93" i="223"/>
  <c r="N93" i="223"/>
  <c r="H93" i="223"/>
  <c r="J93" i="223"/>
  <c r="M93" i="223"/>
  <c r="F93" i="223"/>
  <c r="Q93" i="223" s="1"/>
  <c r="G93" i="223"/>
  <c r="P93" i="223"/>
  <c r="L93" i="223"/>
  <c r="I93" i="223"/>
  <c r="O93" i="223"/>
  <c r="F24" i="223"/>
  <c r="R24" i="223" s="1"/>
  <c r="L24" i="223"/>
  <c r="M65" i="223"/>
  <c r="G65" i="223"/>
  <c r="J65" i="223"/>
  <c r="N65" i="223"/>
  <c r="I65" i="223"/>
  <c r="L65" i="223"/>
  <c r="F65" i="223"/>
  <c r="K65" i="223"/>
  <c r="H65" i="223"/>
  <c r="H77" i="223"/>
  <c r="N77" i="223" s="1"/>
  <c r="P61" i="223"/>
  <c r="J61" i="223"/>
  <c r="M61" i="223"/>
  <c r="G61" i="223"/>
  <c r="K61" i="223"/>
  <c r="I61" i="223"/>
  <c r="F61" i="223"/>
  <c r="Q61" i="223" s="1"/>
  <c r="L61" i="223"/>
  <c r="H61" i="223"/>
  <c r="O61" i="223"/>
  <c r="N61" i="223"/>
  <c r="P28" i="223"/>
  <c r="J28" i="223"/>
  <c r="K28" i="223"/>
  <c r="H28" i="223"/>
  <c r="M28" i="223"/>
  <c r="L28" i="223"/>
  <c r="I28" i="223"/>
  <c r="O28" i="223"/>
  <c r="G28" i="223"/>
  <c r="N28" i="223"/>
  <c r="F28" i="223"/>
  <c r="Q28" i="223" s="1"/>
  <c r="J74" i="223"/>
  <c r="M74" i="223"/>
  <c r="G74" i="223"/>
  <c r="K74" i="223"/>
  <c r="I74" i="223"/>
  <c r="N74" i="223"/>
  <c r="H74" i="223"/>
  <c r="F74" i="223"/>
  <c r="L74" i="223"/>
  <c r="R11" i="223"/>
  <c r="F11" i="223"/>
  <c r="J75" i="223"/>
  <c r="M75" i="223"/>
  <c r="G75" i="223"/>
  <c r="H75" i="223"/>
  <c r="I75" i="223"/>
  <c r="K75" i="223"/>
  <c r="F75" i="223"/>
  <c r="N75" i="223"/>
  <c r="L75" i="223"/>
  <c r="L33" i="223"/>
  <c r="F33" i="223"/>
  <c r="Q33" i="223" s="1"/>
  <c r="M33" i="223"/>
  <c r="P33" i="223"/>
  <c r="H33" i="223"/>
  <c r="O33" i="223"/>
  <c r="G33" i="223"/>
  <c r="K33" i="223"/>
  <c r="J33" i="223"/>
  <c r="N33" i="223"/>
  <c r="I33" i="223"/>
  <c r="F68" i="223"/>
  <c r="R68" i="223" s="1"/>
  <c r="D83" i="223"/>
  <c r="F79" i="223"/>
  <c r="R79" i="223" s="1"/>
  <c r="K58" i="223"/>
  <c r="N58" i="223"/>
  <c r="H58" i="223"/>
  <c r="O58" i="223"/>
  <c r="F58" i="223"/>
  <c r="I58" i="223"/>
  <c r="L58" i="223"/>
  <c r="P58" i="223"/>
  <c r="J58" i="223"/>
  <c r="G58" i="223"/>
  <c r="M58" i="223"/>
  <c r="L30" i="223"/>
  <c r="F30" i="223"/>
  <c r="Q30" i="223" s="1"/>
  <c r="K30" i="223"/>
  <c r="O30" i="223"/>
  <c r="G30" i="223"/>
  <c r="J30" i="223"/>
  <c r="N30" i="223"/>
  <c r="I30" i="223"/>
  <c r="P30" i="223"/>
  <c r="M30" i="223"/>
  <c r="H30" i="223"/>
  <c r="J72" i="223"/>
  <c r="J76" i="223" s="1"/>
  <c r="M72" i="223"/>
  <c r="G72" i="223"/>
  <c r="G76" i="223" s="1"/>
  <c r="H72" i="223"/>
  <c r="L72" i="223"/>
  <c r="N72" i="223"/>
  <c r="K72" i="223"/>
  <c r="K76" i="223" s="1"/>
  <c r="I72" i="223"/>
  <c r="I76" i="223" s="1"/>
  <c r="F72" i="223"/>
  <c r="Q90" i="223"/>
  <c r="L90" i="223"/>
  <c r="R90" i="223" s="1"/>
  <c r="M6" i="223"/>
  <c r="N6" i="223"/>
  <c r="G6" i="223"/>
  <c r="I6" i="223"/>
  <c r="H6" i="223"/>
  <c r="L6" i="223"/>
  <c r="F6" i="223"/>
  <c r="Q6" i="223" s="1"/>
  <c r="J6" i="223"/>
  <c r="K6" i="223"/>
  <c r="P6" i="223"/>
  <c r="O6" i="223"/>
  <c r="R63" i="223"/>
  <c r="F63" i="223"/>
  <c r="N32" i="223"/>
  <c r="H32" i="223"/>
  <c r="L32" i="223"/>
  <c r="M32" i="223"/>
  <c r="I32" i="223"/>
  <c r="R32" i="223" s="1"/>
  <c r="K32" i="223"/>
  <c r="G32" i="223"/>
  <c r="O32" i="223"/>
  <c r="J32" i="223"/>
  <c r="Q32" i="223"/>
  <c r="P32" i="223"/>
  <c r="F32" i="223"/>
  <c r="O8" i="223"/>
  <c r="I8" i="223"/>
  <c r="N8" i="223"/>
  <c r="G8" i="223"/>
  <c r="K8" i="223"/>
  <c r="M8" i="223"/>
  <c r="F8" i="223"/>
  <c r="J8" i="223"/>
  <c r="P8" i="223"/>
  <c r="L8" i="223"/>
  <c r="H8" i="223"/>
  <c r="M66" i="223"/>
  <c r="G66" i="223"/>
  <c r="J66" i="223"/>
  <c r="K66" i="223"/>
  <c r="H66" i="223"/>
  <c r="N66" i="223"/>
  <c r="L66" i="223"/>
  <c r="O66" i="223"/>
  <c r="R66" i="223" s="1"/>
  <c r="I66" i="223"/>
  <c r="F66" i="223"/>
  <c r="I42" i="223"/>
  <c r="I45" i="223" s="1"/>
  <c r="D45" i="223"/>
  <c r="R42" i="223"/>
  <c r="J73" i="223"/>
  <c r="M73" i="223"/>
  <c r="G73" i="223"/>
  <c r="N73" i="223"/>
  <c r="K73" i="223"/>
  <c r="O73" i="223"/>
  <c r="R73" i="223" s="1"/>
  <c r="H73" i="223"/>
  <c r="F73" i="223"/>
  <c r="L73" i="223"/>
  <c r="I73" i="223"/>
  <c r="N17" i="223"/>
  <c r="H17" i="223"/>
  <c r="K17" i="223"/>
  <c r="O17" i="223"/>
  <c r="F17" i="223"/>
  <c r="Q17" i="223" s="1"/>
  <c r="I17" i="223"/>
  <c r="M17" i="223"/>
  <c r="J17" i="223"/>
  <c r="P17" i="223"/>
  <c r="G17" i="223"/>
  <c r="L17" i="223"/>
  <c r="M53" i="223"/>
  <c r="G53" i="223"/>
  <c r="J53" i="223"/>
  <c r="K53" i="223"/>
  <c r="L53" i="223"/>
  <c r="O53" i="223"/>
  <c r="N53" i="223"/>
  <c r="H53" i="223"/>
  <c r="F53" i="223"/>
  <c r="R53" i="223" s="1"/>
  <c r="I53" i="223"/>
  <c r="L27" i="223"/>
  <c r="F27" i="223"/>
  <c r="J27" i="223"/>
  <c r="N27" i="223"/>
  <c r="M27" i="223"/>
  <c r="H27" i="223"/>
  <c r="O27" i="223"/>
  <c r="K27" i="223"/>
  <c r="I27" i="223"/>
  <c r="P27" i="223"/>
  <c r="G27" i="223"/>
  <c r="O56" i="223"/>
  <c r="I56" i="223"/>
  <c r="L56" i="223"/>
  <c r="F56" i="223"/>
  <c r="Q56" i="223" s="1"/>
  <c r="P56" i="223"/>
  <c r="G56" i="223"/>
  <c r="N56" i="223"/>
  <c r="M56" i="223"/>
  <c r="K56" i="223"/>
  <c r="H56" i="223"/>
  <c r="J56" i="223"/>
  <c r="K7" i="223"/>
  <c r="N7" i="223"/>
  <c r="G7" i="223"/>
  <c r="P7" i="223"/>
  <c r="O7" i="223"/>
  <c r="M7" i="223"/>
  <c r="F7" i="223"/>
  <c r="I7" i="223"/>
  <c r="H7" i="223"/>
  <c r="L7" i="223"/>
  <c r="J7" i="223"/>
  <c r="M50" i="223"/>
  <c r="G50" i="223"/>
  <c r="J50" i="223"/>
  <c r="K50" i="223"/>
  <c r="L50" i="223"/>
  <c r="I50" i="223"/>
  <c r="F50" i="223"/>
  <c r="N50" i="223"/>
  <c r="H50" i="223"/>
  <c r="M49" i="223"/>
  <c r="G49" i="223"/>
  <c r="J49" i="223"/>
  <c r="N49" i="223"/>
  <c r="F49" i="223"/>
  <c r="F70" i="223" s="1"/>
  <c r="K49" i="223"/>
  <c r="I49" i="223"/>
  <c r="H49" i="223"/>
  <c r="D70" i="223"/>
  <c r="L49" i="223"/>
  <c r="D92" i="223"/>
  <c r="F89" i="223"/>
  <c r="L89" i="223" s="1"/>
  <c r="F82" i="223"/>
  <c r="R82" i="223" s="1"/>
  <c r="F15" i="223"/>
  <c r="L15" i="223" s="1"/>
  <c r="R15" i="223" s="1"/>
  <c r="M51" i="223"/>
  <c r="G51" i="223"/>
  <c r="R51" i="223"/>
  <c r="J51" i="223"/>
  <c r="H51" i="223"/>
  <c r="N51" i="223"/>
  <c r="L51" i="223"/>
  <c r="F51" i="223"/>
  <c r="O51" i="223"/>
  <c r="K51" i="223"/>
  <c r="I51" i="223"/>
  <c r="N26" i="223"/>
  <c r="F26" i="223"/>
  <c r="Q26" i="223" s="1"/>
  <c r="I26" i="223"/>
  <c r="J26" i="223"/>
  <c r="D37" i="223"/>
  <c r="O26" i="223"/>
  <c r="M26" i="223"/>
  <c r="H26" i="223"/>
  <c r="K26" i="223"/>
  <c r="P26" i="223"/>
  <c r="L44" i="223"/>
  <c r="L45" i="223" s="1"/>
  <c r="R44" i="223"/>
  <c r="N29" i="223"/>
  <c r="H29" i="223"/>
  <c r="K29" i="223"/>
  <c r="L29" i="223"/>
  <c r="J29" i="223"/>
  <c r="P29" i="223"/>
  <c r="F29" i="223"/>
  <c r="M29" i="223"/>
  <c r="I29" i="223"/>
  <c r="G29" i="223"/>
  <c r="O29" i="223"/>
  <c r="F88" i="223"/>
  <c r="L88" i="223" s="1"/>
  <c r="D87" i="223"/>
  <c r="F36" i="223"/>
  <c r="L36" i="223" s="1"/>
  <c r="F81" i="223"/>
  <c r="R81" i="223" s="1"/>
  <c r="H67" i="223"/>
  <c r="R67" i="223" s="1"/>
  <c r="D25" i="223"/>
  <c r="M3" i="223"/>
  <c r="G3" i="223"/>
  <c r="P3" i="223"/>
  <c r="H3" i="223"/>
  <c r="L3" i="223"/>
  <c r="F3" i="223"/>
  <c r="O3" i="223"/>
  <c r="N3" i="223"/>
  <c r="K3" i="223"/>
  <c r="J3" i="223"/>
  <c r="I3" i="223"/>
  <c r="I25" i="223" s="1"/>
  <c r="L12" i="223"/>
  <c r="F12" i="223"/>
  <c r="M12" i="223"/>
  <c r="K12" i="223"/>
  <c r="I12" i="223"/>
  <c r="O12" i="223" s="1"/>
  <c r="H12" i="223"/>
  <c r="N12" i="223"/>
  <c r="J12" i="223"/>
  <c r="G12" i="223"/>
  <c r="D47" i="223"/>
  <c r="K46" i="223"/>
  <c r="K47" i="223" s="1"/>
  <c r="F46" i="223"/>
  <c r="F47" i="223" s="1"/>
  <c r="N46" i="223"/>
  <c r="N47" i="223" s="1"/>
  <c r="K10" i="223"/>
  <c r="O10" i="223"/>
  <c r="H10" i="223"/>
  <c r="J10" i="223"/>
  <c r="P10" i="223"/>
  <c r="N10" i="223"/>
  <c r="G10" i="223"/>
  <c r="I10" i="223"/>
  <c r="M10" i="223"/>
  <c r="F10" i="223"/>
  <c r="Q10" i="223" s="1"/>
  <c r="L10" i="223"/>
  <c r="O59" i="223"/>
  <c r="I59" i="223"/>
  <c r="L59" i="223"/>
  <c r="F59" i="223"/>
  <c r="J59" i="223"/>
  <c r="P59" i="223"/>
  <c r="K59" i="223"/>
  <c r="H59" i="223"/>
  <c r="N59" i="223"/>
  <c r="M59" i="223"/>
  <c r="G59" i="223"/>
  <c r="M52" i="223"/>
  <c r="G52" i="223"/>
  <c r="J52" i="223"/>
  <c r="N52" i="223"/>
  <c r="L52" i="223"/>
  <c r="F52" i="223"/>
  <c r="K52" i="223"/>
  <c r="I52" i="223"/>
  <c r="H52" i="223"/>
  <c r="F43" i="223"/>
  <c r="F45" i="223" s="1"/>
  <c r="L13" i="223"/>
  <c r="F13" i="223"/>
  <c r="Q13" i="223" s="1"/>
  <c r="N13" i="223"/>
  <c r="G13" i="223"/>
  <c r="I13" i="223"/>
  <c r="M13" i="223"/>
  <c r="P13" i="223"/>
  <c r="H13" i="223"/>
  <c r="O13" i="223"/>
  <c r="K13" i="223"/>
  <c r="J13" i="223"/>
  <c r="M57" i="223"/>
  <c r="G57" i="223"/>
  <c r="P57" i="223"/>
  <c r="J57" i="223"/>
  <c r="K57" i="223"/>
  <c r="L57" i="223"/>
  <c r="N57" i="223"/>
  <c r="F57" i="223"/>
  <c r="O57" i="223"/>
  <c r="I57" i="223"/>
  <c r="H57" i="223"/>
  <c r="P16" i="223"/>
  <c r="J16" i="223"/>
  <c r="K16" i="223"/>
  <c r="L16" i="223"/>
  <c r="G16" i="223"/>
  <c r="M16" i="223"/>
  <c r="I16" i="223"/>
  <c r="N16" i="223"/>
  <c r="H16" i="223"/>
  <c r="O16" i="223"/>
  <c r="F16" i="223"/>
  <c r="Q16" i="223" s="1"/>
  <c r="R16" i="223" s="1"/>
  <c r="K55" i="223"/>
  <c r="N55" i="223"/>
  <c r="H55" i="223"/>
  <c r="L55" i="223"/>
  <c r="G55" i="223"/>
  <c r="O55" i="223"/>
  <c r="M55" i="223"/>
  <c r="F55" i="223"/>
  <c r="Q55" i="223" s="1"/>
  <c r="J55" i="223"/>
  <c r="I55" i="223"/>
  <c r="R55" i="223" s="1"/>
  <c r="P55" i="223"/>
  <c r="P14" i="223"/>
  <c r="J14" i="223"/>
  <c r="N14" i="223"/>
  <c r="G14" i="223"/>
  <c r="L14" i="223"/>
  <c r="O14" i="223"/>
  <c r="K14" i="223"/>
  <c r="R14" i="223" s="1"/>
  <c r="H14" i="223"/>
  <c r="F14" i="223"/>
  <c r="M14" i="223"/>
  <c r="I14" i="223"/>
  <c r="Q14" i="223"/>
  <c r="F80" i="223"/>
  <c r="R80" i="223"/>
  <c r="F69" i="223"/>
  <c r="L69" i="223" s="1"/>
  <c r="R69" i="223" s="1"/>
  <c r="K4" i="223"/>
  <c r="P4" i="223"/>
  <c r="J4" i="223"/>
  <c r="H4" i="223"/>
  <c r="M4" i="223"/>
  <c r="L4" i="223"/>
  <c r="O4" i="223"/>
  <c r="I4" i="223"/>
  <c r="N4" i="223"/>
  <c r="G4" i="223"/>
  <c r="F4" i="223"/>
  <c r="Q4" i="223" s="1"/>
  <c r="O5" i="223"/>
  <c r="I5" i="223"/>
  <c r="F5" i="223"/>
  <c r="N5" i="223"/>
  <c r="H5" i="223"/>
  <c r="L5" i="223"/>
  <c r="P5" i="223"/>
  <c r="M5" i="223"/>
  <c r="G5" i="223"/>
  <c r="K5" i="223"/>
  <c r="J5" i="223"/>
  <c r="P31" i="223"/>
  <c r="J31" i="223"/>
  <c r="L31" i="223"/>
  <c r="I31" i="223"/>
  <c r="M31" i="223"/>
  <c r="K31" i="223"/>
  <c r="H31" i="223"/>
  <c r="N31" i="223"/>
  <c r="O31" i="223"/>
  <c r="G31" i="223"/>
  <c r="F31" i="223"/>
  <c r="Q31" i="223" s="1"/>
  <c r="D76" i="223"/>
  <c r="D109" i="223" s="1"/>
  <c r="F71" i="223"/>
  <c r="F76" i="223" s="1"/>
  <c r="R60" i="223"/>
  <c r="F60" i="223"/>
  <c r="I62" i="223"/>
  <c r="N62" i="223"/>
  <c r="R62" i="223" s="1"/>
  <c r="H94" i="223"/>
  <c r="O94" i="223" s="1"/>
  <c r="R94" i="223" s="1"/>
  <c r="M64" i="223"/>
  <c r="G64" i="223"/>
  <c r="J64" i="223"/>
  <c r="H64" i="223"/>
  <c r="K64" i="223"/>
  <c r="L64" i="223"/>
  <c r="I64" i="223"/>
  <c r="N64" i="223"/>
  <c r="F64" i="223"/>
  <c r="M54" i="223"/>
  <c r="G54" i="223"/>
  <c r="P54" i="223"/>
  <c r="J54" i="223"/>
  <c r="H54" i="223"/>
  <c r="K54" i="223"/>
  <c r="O54" i="223"/>
  <c r="I54" i="223"/>
  <c r="N54" i="223"/>
  <c r="Q54" i="223" s="1"/>
  <c r="L54" i="223"/>
  <c r="F54" i="223"/>
  <c r="R54" i="223" s="1"/>
  <c r="M9" i="223"/>
  <c r="G9" i="223"/>
  <c r="Q9" i="223" s="1"/>
  <c r="R9" i="223" s="1"/>
  <c r="O9" i="223"/>
  <c r="H9" i="223"/>
  <c r="K9" i="223"/>
  <c r="J9" i="223"/>
  <c r="I9" i="223"/>
  <c r="N9" i="223"/>
  <c r="F9" i="223"/>
  <c r="L9" i="223"/>
  <c r="P9" i="223"/>
  <c r="G92" i="222"/>
  <c r="K92" i="222"/>
  <c r="J92" i="222"/>
  <c r="H92" i="222"/>
  <c r="L92" i="222"/>
  <c r="I92" i="222"/>
  <c r="F92" i="222"/>
  <c r="R17" i="222"/>
  <c r="R65" i="222"/>
  <c r="R66" i="222"/>
  <c r="R55" i="222"/>
  <c r="R54" i="222"/>
  <c r="R52" i="222"/>
  <c r="R82" i="222"/>
  <c r="F82" i="222"/>
  <c r="F60" i="222"/>
  <c r="R60" i="222"/>
  <c r="O29" i="222"/>
  <c r="I29" i="222"/>
  <c r="Q29" i="222" s="1"/>
  <c r="N29" i="222"/>
  <c r="G29" i="222"/>
  <c r="L29" i="222"/>
  <c r="F29" i="222"/>
  <c r="K29" i="222"/>
  <c r="P29" i="222"/>
  <c r="M29" i="222"/>
  <c r="J29" i="222"/>
  <c r="H29" i="222"/>
  <c r="F80" i="222"/>
  <c r="R80" i="222" s="1"/>
  <c r="L59" i="222"/>
  <c r="F59" i="222"/>
  <c r="Q59" i="222" s="1"/>
  <c r="M59" i="222"/>
  <c r="P59" i="222"/>
  <c r="H59" i="222"/>
  <c r="N59" i="222"/>
  <c r="J59" i="222"/>
  <c r="I59" i="222"/>
  <c r="G59" i="222"/>
  <c r="O59" i="222"/>
  <c r="K59" i="222"/>
  <c r="H77" i="222"/>
  <c r="N77" i="222" s="1"/>
  <c r="M9" i="222"/>
  <c r="G9" i="222"/>
  <c r="N9" i="222"/>
  <c r="F9" i="222"/>
  <c r="R9" i="222" s="1"/>
  <c r="J9" i="222"/>
  <c r="L9" i="222"/>
  <c r="K9" i="222"/>
  <c r="H9" i="222"/>
  <c r="P9" i="222"/>
  <c r="Q9" i="222"/>
  <c r="O9" i="222"/>
  <c r="I9" i="222"/>
  <c r="R46" i="222"/>
  <c r="L15" i="222"/>
  <c r="R15" i="222" s="1"/>
  <c r="D87" i="222"/>
  <c r="L88" i="222"/>
  <c r="F88" i="222"/>
  <c r="R88" i="222" s="1"/>
  <c r="H94" i="222"/>
  <c r="O94" i="222"/>
  <c r="R94" i="222" s="1"/>
  <c r="M6" i="222"/>
  <c r="G6" i="222"/>
  <c r="L6" i="222"/>
  <c r="K6" i="222"/>
  <c r="J6" i="222"/>
  <c r="F6" i="222"/>
  <c r="O6" i="222"/>
  <c r="N6" i="222"/>
  <c r="P6" i="222"/>
  <c r="I6" i="222"/>
  <c r="I25" i="222" s="1"/>
  <c r="H6" i="222"/>
  <c r="M30" i="222"/>
  <c r="G30" i="222"/>
  <c r="O30" i="222"/>
  <c r="H30" i="222"/>
  <c r="L30" i="222"/>
  <c r="L37" i="222" s="1"/>
  <c r="N30" i="222"/>
  <c r="K30" i="222"/>
  <c r="I30" i="222"/>
  <c r="J30" i="222"/>
  <c r="F30" i="222"/>
  <c r="P30" i="222"/>
  <c r="D93" i="222"/>
  <c r="F69" i="222"/>
  <c r="L69" i="222"/>
  <c r="R69" i="222" s="1"/>
  <c r="D83" i="222"/>
  <c r="F79" i="222"/>
  <c r="F83" i="222" s="1"/>
  <c r="Q47" i="222"/>
  <c r="R47" i="222" s="1"/>
  <c r="O8" i="222"/>
  <c r="I8" i="222"/>
  <c r="M8" i="222"/>
  <c r="F8" i="222"/>
  <c r="L8" i="222"/>
  <c r="K8" i="222"/>
  <c r="G8" i="222"/>
  <c r="N8" i="222"/>
  <c r="P8" i="222"/>
  <c r="J8" i="222"/>
  <c r="H8" i="222"/>
  <c r="Q8" i="222" s="1"/>
  <c r="L44" i="222"/>
  <c r="L45" i="222" s="1"/>
  <c r="R44" i="222"/>
  <c r="R73" i="222"/>
  <c r="O53" i="222"/>
  <c r="R53" i="222" s="1"/>
  <c r="D76" i="222"/>
  <c r="R71" i="222"/>
  <c r="F71" i="222"/>
  <c r="L13" i="222"/>
  <c r="F13" i="222"/>
  <c r="Q13" i="222" s="1"/>
  <c r="N13" i="222"/>
  <c r="G13" i="222"/>
  <c r="M13" i="222"/>
  <c r="J13" i="222"/>
  <c r="K13" i="222"/>
  <c r="P13" i="222"/>
  <c r="O13" i="222"/>
  <c r="I13" i="222"/>
  <c r="H13" i="222"/>
  <c r="O5" i="222"/>
  <c r="I5" i="222"/>
  <c r="L5" i="222"/>
  <c r="K5" i="222"/>
  <c r="J5" i="222"/>
  <c r="F5" i="222"/>
  <c r="Q5" i="222" s="1"/>
  <c r="M5" i="222"/>
  <c r="P5" i="222"/>
  <c r="N5" i="222"/>
  <c r="H5" i="222"/>
  <c r="G5" i="222"/>
  <c r="J49" i="222"/>
  <c r="J70" i="222" s="1"/>
  <c r="M49" i="222"/>
  <c r="F49" i="222"/>
  <c r="H49" i="222"/>
  <c r="N49" i="222"/>
  <c r="K49" i="222"/>
  <c r="I49" i="222"/>
  <c r="I70" i="222" s="1"/>
  <c r="G49" i="222"/>
  <c r="D70" i="222"/>
  <c r="L49" i="222"/>
  <c r="F43" i="222"/>
  <c r="F45" i="222" s="1"/>
  <c r="Q45" i="222" s="1"/>
  <c r="K28" i="222"/>
  <c r="N28" i="222"/>
  <c r="G28" i="222"/>
  <c r="L28" i="222"/>
  <c r="I28" i="222"/>
  <c r="H28" i="222"/>
  <c r="P28" i="222"/>
  <c r="F28" i="222"/>
  <c r="Q28" i="222" s="1"/>
  <c r="O28" i="222"/>
  <c r="M28" i="222"/>
  <c r="J28" i="222"/>
  <c r="M72" i="222"/>
  <c r="G72" i="222"/>
  <c r="L72" i="222"/>
  <c r="J72" i="222"/>
  <c r="H72" i="222"/>
  <c r="N72" i="222"/>
  <c r="F72" i="222"/>
  <c r="K72" i="222"/>
  <c r="I72" i="222"/>
  <c r="O72" i="222"/>
  <c r="R72" i="222" s="1"/>
  <c r="F81" i="222"/>
  <c r="R81" i="222" s="1"/>
  <c r="O32" i="222"/>
  <c r="I32" i="222"/>
  <c r="P32" i="222"/>
  <c r="H32" i="222"/>
  <c r="M32" i="222"/>
  <c r="F32" i="222"/>
  <c r="G32" i="222"/>
  <c r="L32" i="222"/>
  <c r="N32" i="222"/>
  <c r="K32" i="222"/>
  <c r="J32" i="222"/>
  <c r="L16" i="222"/>
  <c r="F16" i="222"/>
  <c r="Q16" i="222" s="1"/>
  <c r="P16" i="222"/>
  <c r="J16" i="222"/>
  <c r="H16" i="222"/>
  <c r="O16" i="222"/>
  <c r="G16" i="222"/>
  <c r="M16" i="222"/>
  <c r="N16" i="222"/>
  <c r="K16" i="222"/>
  <c r="I16" i="222"/>
  <c r="G37" i="222"/>
  <c r="K10" i="222"/>
  <c r="N10" i="222"/>
  <c r="G10" i="222"/>
  <c r="J10" i="222"/>
  <c r="M10" i="222"/>
  <c r="F10" i="222"/>
  <c r="Q10" i="222" s="1"/>
  <c r="L10" i="222"/>
  <c r="I10" i="222"/>
  <c r="H10" i="222"/>
  <c r="P10" i="222"/>
  <c r="O10" i="222"/>
  <c r="I62" i="222"/>
  <c r="R62" i="222" s="1"/>
  <c r="N62" i="222"/>
  <c r="K4" i="222"/>
  <c r="L4" i="222"/>
  <c r="J4" i="222"/>
  <c r="J25" i="222" s="1"/>
  <c r="P4" i="222"/>
  <c r="P25" i="222" s="1"/>
  <c r="I4" i="222"/>
  <c r="F4" i="222"/>
  <c r="F25" i="222" s="1"/>
  <c r="M4" i="222"/>
  <c r="M25" i="222" s="1"/>
  <c r="O4" i="222"/>
  <c r="N4" i="222"/>
  <c r="D25" i="222"/>
  <c r="H4" i="222"/>
  <c r="H25" i="222" s="1"/>
  <c r="G4" i="222"/>
  <c r="G25" i="222" s="1"/>
  <c r="G48" i="222" s="1"/>
  <c r="M61" i="222"/>
  <c r="G61" i="222"/>
  <c r="J61" i="222"/>
  <c r="P61" i="222"/>
  <c r="H61" i="222"/>
  <c r="Q61" i="222" s="1"/>
  <c r="N61" i="222"/>
  <c r="F61" i="222"/>
  <c r="O61" i="222"/>
  <c r="L61" i="222"/>
  <c r="K61" i="222"/>
  <c r="I61" i="222"/>
  <c r="J50" i="222"/>
  <c r="H50" i="222"/>
  <c r="M50" i="222"/>
  <c r="K50" i="222"/>
  <c r="L50" i="222"/>
  <c r="I50" i="222"/>
  <c r="G50" i="222"/>
  <c r="O50" i="222" s="1"/>
  <c r="F50" i="222"/>
  <c r="R50" i="222" s="1"/>
  <c r="N50" i="222"/>
  <c r="K31" i="222"/>
  <c r="O31" i="222"/>
  <c r="H31" i="222"/>
  <c r="M31" i="222"/>
  <c r="F31" i="222"/>
  <c r="Q31" i="222" s="1"/>
  <c r="J31" i="222"/>
  <c r="P31" i="222"/>
  <c r="I31" i="222"/>
  <c r="G31" i="222"/>
  <c r="N31" i="222"/>
  <c r="L31" i="222"/>
  <c r="M75" i="222"/>
  <c r="G75" i="222"/>
  <c r="L75" i="222"/>
  <c r="I75" i="222"/>
  <c r="F75" i="222"/>
  <c r="R75" i="222" s="1"/>
  <c r="N75" i="222"/>
  <c r="K75" i="222"/>
  <c r="J75" i="222"/>
  <c r="H75" i="222"/>
  <c r="O75" i="222" s="1"/>
  <c r="L89" i="222"/>
  <c r="F89" i="222"/>
  <c r="R89" i="222" s="1"/>
  <c r="P26" i="222"/>
  <c r="I26" i="222"/>
  <c r="D37" i="222"/>
  <c r="N26" i="222"/>
  <c r="F26" i="222"/>
  <c r="H26" i="222"/>
  <c r="Q26" i="222" s="1"/>
  <c r="O26" i="222"/>
  <c r="O37" i="222" s="1"/>
  <c r="M26" i="222"/>
  <c r="K26" i="222"/>
  <c r="J26" i="222"/>
  <c r="Q90" i="222"/>
  <c r="L90" i="222"/>
  <c r="R90" i="222" s="1"/>
  <c r="L14" i="222"/>
  <c r="F14" i="222"/>
  <c r="P14" i="222"/>
  <c r="J14" i="222"/>
  <c r="H14" i="222"/>
  <c r="M14" i="222"/>
  <c r="O14" i="222"/>
  <c r="G14" i="222"/>
  <c r="R14" i="222" s="1"/>
  <c r="N14" i="222"/>
  <c r="K14" i="222"/>
  <c r="Q14" i="222" s="1"/>
  <c r="I14" i="222"/>
  <c r="Q3" i="222"/>
  <c r="R3" i="222" s="1"/>
  <c r="N58" i="222"/>
  <c r="H58" i="222"/>
  <c r="L58" i="222"/>
  <c r="M58" i="222"/>
  <c r="J58" i="222"/>
  <c r="K58" i="222"/>
  <c r="I58" i="222"/>
  <c r="G58" i="222"/>
  <c r="Q58" i="222"/>
  <c r="F58" i="222"/>
  <c r="R58" i="222" s="1"/>
  <c r="P58" i="222"/>
  <c r="O58" i="222"/>
  <c r="K7" i="222"/>
  <c r="M7" i="222"/>
  <c r="F7" i="222"/>
  <c r="L7" i="222"/>
  <c r="J7" i="222"/>
  <c r="G7" i="222"/>
  <c r="N7" i="222"/>
  <c r="P7" i="222"/>
  <c r="O7" i="222"/>
  <c r="I7" i="222"/>
  <c r="H7" i="222"/>
  <c r="Q7" i="222" s="1"/>
  <c r="F68" i="222"/>
  <c r="R68" i="222" s="1"/>
  <c r="J64" i="222"/>
  <c r="K64" i="222"/>
  <c r="M64" i="222"/>
  <c r="I64" i="222"/>
  <c r="L64" i="222"/>
  <c r="O64" i="222" s="1"/>
  <c r="H64" i="222"/>
  <c r="R64" i="222" s="1"/>
  <c r="G64" i="222"/>
  <c r="F64" i="222"/>
  <c r="N64" i="222"/>
  <c r="P57" i="222"/>
  <c r="P70" i="222" s="1"/>
  <c r="P78" i="222" s="1"/>
  <c r="J57" i="222"/>
  <c r="L57" i="222"/>
  <c r="I57" i="222"/>
  <c r="O57" i="222"/>
  <c r="G57" i="222"/>
  <c r="M57" i="222"/>
  <c r="K57" i="222"/>
  <c r="H57" i="222"/>
  <c r="F57" i="222"/>
  <c r="N57" i="222"/>
  <c r="R24" i="222"/>
  <c r="F24" i="222"/>
  <c r="L24" i="222"/>
  <c r="R11" i="222"/>
  <c r="F11" i="222"/>
  <c r="K25" i="222"/>
  <c r="R13" i="221"/>
  <c r="R61" i="221"/>
  <c r="R3" i="221"/>
  <c r="R6" i="221"/>
  <c r="N46" i="221"/>
  <c r="N47" i="221" s="1"/>
  <c r="F46" i="221"/>
  <c r="F47" i="221" s="1"/>
  <c r="R46" i="221"/>
  <c r="K46" i="221"/>
  <c r="K47" i="221" s="1"/>
  <c r="D47" i="221"/>
  <c r="O55" i="221"/>
  <c r="I55" i="221"/>
  <c r="L55" i="221"/>
  <c r="K55" i="221"/>
  <c r="J55" i="221"/>
  <c r="F55" i="221"/>
  <c r="P55" i="221"/>
  <c r="N55" i="221"/>
  <c r="M55" i="221"/>
  <c r="H55" i="221"/>
  <c r="G55" i="221"/>
  <c r="Q55" i="221" s="1"/>
  <c r="K49" i="221"/>
  <c r="N49" i="221"/>
  <c r="G49" i="221"/>
  <c r="M49" i="221"/>
  <c r="F49" i="221"/>
  <c r="L49" i="221"/>
  <c r="H49" i="221"/>
  <c r="D70" i="221"/>
  <c r="J49" i="221"/>
  <c r="I49" i="221"/>
  <c r="K57" i="221"/>
  <c r="M57" i="221"/>
  <c r="F57" i="221"/>
  <c r="Q57" i="221" s="1"/>
  <c r="L57" i="221"/>
  <c r="J57" i="221"/>
  <c r="G57" i="221"/>
  <c r="P57" i="221"/>
  <c r="O57" i="221"/>
  <c r="N57" i="221"/>
  <c r="I57" i="221"/>
  <c r="H57" i="221"/>
  <c r="F69" i="221"/>
  <c r="R69" i="221"/>
  <c r="L69" i="221"/>
  <c r="R17" i="221"/>
  <c r="Q61" i="221"/>
  <c r="L88" i="221"/>
  <c r="F88" i="221"/>
  <c r="D87" i="221"/>
  <c r="O58" i="221"/>
  <c r="I58" i="221"/>
  <c r="M58" i="221"/>
  <c r="F58" i="221"/>
  <c r="Q58" i="221" s="1"/>
  <c r="L58" i="221"/>
  <c r="K58" i="221"/>
  <c r="G58" i="221"/>
  <c r="P58" i="221"/>
  <c r="J58" i="221"/>
  <c r="H58" i="221"/>
  <c r="N58" i="221"/>
  <c r="M56" i="221"/>
  <c r="G56" i="221"/>
  <c r="L56" i="221"/>
  <c r="K56" i="221"/>
  <c r="J56" i="221"/>
  <c r="F56" i="221"/>
  <c r="P56" i="221"/>
  <c r="O56" i="221"/>
  <c r="I56" i="221"/>
  <c r="H56" i="221"/>
  <c r="Q56" i="221" s="1"/>
  <c r="R56" i="221" s="1"/>
  <c r="N56" i="221"/>
  <c r="F60" i="221"/>
  <c r="R60" i="221" s="1"/>
  <c r="R71" i="221"/>
  <c r="F71" i="221"/>
  <c r="D76" i="221"/>
  <c r="R26" i="221"/>
  <c r="Q33" i="221"/>
  <c r="R33" i="221" s="1"/>
  <c r="F11" i="221"/>
  <c r="R11" i="221" s="1"/>
  <c r="M14" i="221"/>
  <c r="M25" i="221" s="1"/>
  <c r="G14" i="221"/>
  <c r="L14" i="221"/>
  <c r="F14" i="221"/>
  <c r="Q14" i="221" s="1"/>
  <c r="K14" i="221"/>
  <c r="O14" i="221"/>
  <c r="H14" i="221"/>
  <c r="P14" i="221"/>
  <c r="N14" i="221"/>
  <c r="J14" i="221"/>
  <c r="I14" i="221"/>
  <c r="M59" i="221"/>
  <c r="G59" i="221"/>
  <c r="N59" i="221"/>
  <c r="F59" i="221"/>
  <c r="L59" i="221"/>
  <c r="K59" i="221"/>
  <c r="H59" i="221"/>
  <c r="P59" i="221"/>
  <c r="O59" i="221"/>
  <c r="J59" i="221"/>
  <c r="I59" i="221"/>
  <c r="D92" i="221"/>
  <c r="F79" i="221"/>
  <c r="D83" i="221"/>
  <c r="R79" i="221"/>
  <c r="K51" i="221"/>
  <c r="L51" i="221"/>
  <c r="J51" i="221"/>
  <c r="I51" i="221"/>
  <c r="M51" i="221"/>
  <c r="H51" i="221"/>
  <c r="G51" i="221"/>
  <c r="F51" i="221"/>
  <c r="N51" i="221"/>
  <c r="K64" i="221"/>
  <c r="L64" i="221"/>
  <c r="J64" i="221"/>
  <c r="I64" i="221"/>
  <c r="M64" i="221"/>
  <c r="H64" i="221"/>
  <c r="G64" i="221"/>
  <c r="F64" i="221"/>
  <c r="N64" i="221"/>
  <c r="R10" i="221"/>
  <c r="R28" i="221"/>
  <c r="F89" i="221"/>
  <c r="L89" i="221"/>
  <c r="R89" i="221" s="1"/>
  <c r="K50" i="221"/>
  <c r="I50" i="221"/>
  <c r="H50" i="221"/>
  <c r="N50" i="221"/>
  <c r="G50" i="221"/>
  <c r="J50" i="221"/>
  <c r="F50" i="221"/>
  <c r="O50" i="221" s="1"/>
  <c r="M50" i="221"/>
  <c r="L50" i="221"/>
  <c r="O93" i="221"/>
  <c r="I93" i="221"/>
  <c r="J93" i="221"/>
  <c r="P93" i="221"/>
  <c r="H93" i="221"/>
  <c r="N93" i="221"/>
  <c r="G93" i="221"/>
  <c r="M93" i="221"/>
  <c r="L93" i="221"/>
  <c r="K93" i="221"/>
  <c r="F93" i="221"/>
  <c r="F80" i="221"/>
  <c r="R80" i="221" s="1"/>
  <c r="L8" i="221"/>
  <c r="F8" i="221"/>
  <c r="Q8" i="221" s="1"/>
  <c r="K8" i="221"/>
  <c r="P8" i="221"/>
  <c r="P25" i="221" s="1"/>
  <c r="P48" i="221" s="1"/>
  <c r="J8" i="221"/>
  <c r="N8" i="221"/>
  <c r="O8" i="221"/>
  <c r="M8" i="221"/>
  <c r="G8" i="221"/>
  <c r="I8" i="221"/>
  <c r="I25" i="221" s="1"/>
  <c r="H8" i="221"/>
  <c r="L44" i="221"/>
  <c r="L45" i="221" s="1"/>
  <c r="F43" i="221"/>
  <c r="F45" i="221" s="1"/>
  <c r="N72" i="221"/>
  <c r="H72" i="221"/>
  <c r="M72" i="221"/>
  <c r="F72" i="221"/>
  <c r="L72" i="221"/>
  <c r="K72" i="221"/>
  <c r="G72" i="221"/>
  <c r="J72" i="221"/>
  <c r="J76" i="221" s="1"/>
  <c r="I72" i="221"/>
  <c r="O94" i="221"/>
  <c r="R94" i="221"/>
  <c r="H94" i="221"/>
  <c r="K52" i="221"/>
  <c r="N52" i="221"/>
  <c r="G52" i="221"/>
  <c r="M52" i="221"/>
  <c r="F52" i="221"/>
  <c r="L52" i="221"/>
  <c r="J52" i="221"/>
  <c r="I52" i="221"/>
  <c r="H52" i="221"/>
  <c r="K65" i="221"/>
  <c r="N65" i="221"/>
  <c r="G65" i="221"/>
  <c r="M65" i="221"/>
  <c r="F65" i="221"/>
  <c r="L65" i="221"/>
  <c r="J65" i="221"/>
  <c r="I65" i="221"/>
  <c r="H65" i="221"/>
  <c r="J25" i="221"/>
  <c r="R7" i="221"/>
  <c r="R74" i="221"/>
  <c r="L24" i="221"/>
  <c r="R24" i="221" s="1"/>
  <c r="R12" i="221"/>
  <c r="M16" i="221"/>
  <c r="G16" i="221"/>
  <c r="L16" i="221"/>
  <c r="F16" i="221"/>
  <c r="K16" i="221"/>
  <c r="H16" i="221"/>
  <c r="J16" i="221"/>
  <c r="I16" i="221"/>
  <c r="P16" i="221"/>
  <c r="O16" i="221"/>
  <c r="N16" i="221"/>
  <c r="N73" i="221"/>
  <c r="H73" i="221"/>
  <c r="I73" i="221"/>
  <c r="G73" i="221"/>
  <c r="M73" i="221"/>
  <c r="F73" i="221"/>
  <c r="O73" i="221" s="1"/>
  <c r="J73" i="221"/>
  <c r="K73" i="221"/>
  <c r="L73" i="221"/>
  <c r="L5" i="221"/>
  <c r="F5" i="221"/>
  <c r="K5" i="221"/>
  <c r="K25" i="221" s="1"/>
  <c r="P5" i="221"/>
  <c r="J5" i="221"/>
  <c r="H5" i="221"/>
  <c r="H25" i="221" s="1"/>
  <c r="M5" i="221"/>
  <c r="G5" i="221"/>
  <c r="Q5" i="221" s="1"/>
  <c r="O5" i="221"/>
  <c r="O25" i="221" s="1"/>
  <c r="N5" i="221"/>
  <c r="N25" i="221" s="1"/>
  <c r="N48" i="221" s="1"/>
  <c r="I5" i="221"/>
  <c r="R63" i="221"/>
  <c r="F63" i="221"/>
  <c r="N75" i="221"/>
  <c r="H75" i="221"/>
  <c r="M75" i="221"/>
  <c r="F75" i="221"/>
  <c r="L75" i="221"/>
  <c r="K75" i="221"/>
  <c r="J75" i="221"/>
  <c r="I75" i="221"/>
  <c r="G75" i="221"/>
  <c r="O75" i="221" s="1"/>
  <c r="K29" i="221"/>
  <c r="P29" i="221"/>
  <c r="J29" i="221"/>
  <c r="N29" i="221"/>
  <c r="F29" i="221"/>
  <c r="Q29" i="221" s="1"/>
  <c r="M29" i="221"/>
  <c r="L29" i="221"/>
  <c r="G29" i="221"/>
  <c r="O29" i="221"/>
  <c r="I29" i="221"/>
  <c r="I37" i="221" s="1"/>
  <c r="H29" i="221"/>
  <c r="K53" i="221"/>
  <c r="I53" i="221"/>
  <c r="H53" i="221"/>
  <c r="N53" i="221"/>
  <c r="G53" i="221"/>
  <c r="M53" i="221"/>
  <c r="L53" i="221"/>
  <c r="J53" i="221"/>
  <c r="F53" i="221"/>
  <c r="K66" i="221"/>
  <c r="I66" i="221"/>
  <c r="H66" i="221"/>
  <c r="N66" i="221"/>
  <c r="G66" i="221"/>
  <c r="M66" i="221"/>
  <c r="L66" i="221"/>
  <c r="J66" i="221"/>
  <c r="F66" i="221"/>
  <c r="O66" i="221" s="1"/>
  <c r="L25" i="221"/>
  <c r="Q31" i="221"/>
  <c r="R31" i="221" s="1"/>
  <c r="O27" i="221"/>
  <c r="I27" i="221"/>
  <c r="N27" i="221"/>
  <c r="N37" i="221" s="1"/>
  <c r="H27" i="221"/>
  <c r="H37" i="221" s="1"/>
  <c r="P27" i="221"/>
  <c r="P37" i="221" s="1"/>
  <c r="F27" i="221"/>
  <c r="Q27" i="221" s="1"/>
  <c r="M27" i="221"/>
  <c r="L27" i="221"/>
  <c r="K27" i="221"/>
  <c r="K37" i="221" s="1"/>
  <c r="J27" i="221"/>
  <c r="J37" i="221" s="1"/>
  <c r="G27" i="221"/>
  <c r="F81" i="221"/>
  <c r="R81" i="221" s="1"/>
  <c r="O32" i="221"/>
  <c r="K32" i="221"/>
  <c r="J32" i="221"/>
  <c r="H32" i="221"/>
  <c r="P32" i="221"/>
  <c r="G32" i="221"/>
  <c r="N32" i="221"/>
  <c r="F32" i="221"/>
  <c r="Q32" i="221" s="1"/>
  <c r="M32" i="221"/>
  <c r="L32" i="221"/>
  <c r="I32" i="221"/>
  <c r="R36" i="221"/>
  <c r="F36" i="221"/>
  <c r="L36" i="221"/>
  <c r="K54" i="221"/>
  <c r="L54" i="221"/>
  <c r="J54" i="221"/>
  <c r="P54" i="221"/>
  <c r="I54" i="221"/>
  <c r="F54" i="221"/>
  <c r="O54" i="221"/>
  <c r="N54" i="221"/>
  <c r="H54" i="221"/>
  <c r="G54" i="221"/>
  <c r="M54" i="221"/>
  <c r="H67" i="221"/>
  <c r="R67" i="221"/>
  <c r="D25" i="221"/>
  <c r="G25" i="221"/>
  <c r="N93" i="220"/>
  <c r="H93" i="220"/>
  <c r="K93" i="220"/>
  <c r="J93" i="220"/>
  <c r="G93" i="220"/>
  <c r="P93" i="220"/>
  <c r="O93" i="220"/>
  <c r="M93" i="220"/>
  <c r="I93" i="220"/>
  <c r="Q93" i="220" s="1"/>
  <c r="L93" i="220"/>
  <c r="F93" i="220"/>
  <c r="G92" i="220"/>
  <c r="H92" i="220"/>
  <c r="F92" i="220"/>
  <c r="I92" i="220"/>
  <c r="L92" i="220"/>
  <c r="K92" i="220"/>
  <c r="J92" i="220"/>
  <c r="R57" i="220"/>
  <c r="R5" i="220"/>
  <c r="L76" i="220"/>
  <c r="L44" i="220"/>
  <c r="L45" i="220" s="1"/>
  <c r="R44" i="220"/>
  <c r="Q9" i="220"/>
  <c r="R9" i="220" s="1"/>
  <c r="N3" i="220"/>
  <c r="H3" i="220"/>
  <c r="M3" i="220"/>
  <c r="G3" i="220"/>
  <c r="Q3" i="220" s="1"/>
  <c r="L3" i="220"/>
  <c r="F3" i="220"/>
  <c r="D25" i="220"/>
  <c r="K3" i="220"/>
  <c r="I3" i="220"/>
  <c r="P3" i="220"/>
  <c r="O3" i="220"/>
  <c r="J3" i="220"/>
  <c r="N58" i="220"/>
  <c r="H58" i="220"/>
  <c r="Q58" i="220" s="1"/>
  <c r="P58" i="220"/>
  <c r="I58" i="220"/>
  <c r="O58" i="220"/>
  <c r="G58" i="220"/>
  <c r="L58" i="220"/>
  <c r="K58" i="220"/>
  <c r="J58" i="220"/>
  <c r="F58" i="220"/>
  <c r="M58" i="220"/>
  <c r="M74" i="220"/>
  <c r="M76" i="220" s="1"/>
  <c r="M78" i="220" s="1"/>
  <c r="G74" i="220"/>
  <c r="G76" i="220" s="1"/>
  <c r="G78" i="220" s="1"/>
  <c r="N74" i="220"/>
  <c r="F74" i="220"/>
  <c r="L74" i="220"/>
  <c r="H74" i="220"/>
  <c r="O74" i="220" s="1"/>
  <c r="R74" i="220" s="1"/>
  <c r="K74" i="220"/>
  <c r="J74" i="220"/>
  <c r="I74" i="220"/>
  <c r="J66" i="220"/>
  <c r="L66" i="220"/>
  <c r="K66" i="220"/>
  <c r="F66" i="220"/>
  <c r="O66" i="220" s="1"/>
  <c r="N66" i="220"/>
  <c r="M66" i="220"/>
  <c r="I66" i="220"/>
  <c r="H66" i="220"/>
  <c r="G66" i="220"/>
  <c r="I62" i="220"/>
  <c r="N62" i="220" s="1"/>
  <c r="R62" i="220" s="1"/>
  <c r="H94" i="220"/>
  <c r="R47" i="220"/>
  <c r="Q47" i="220"/>
  <c r="R29" i="220"/>
  <c r="K12" i="220"/>
  <c r="M12" i="220"/>
  <c r="F12" i="220"/>
  <c r="O12" i="220" s="1"/>
  <c r="L12" i="220"/>
  <c r="J12" i="220"/>
  <c r="I12" i="220"/>
  <c r="N12" i="220"/>
  <c r="H12" i="220"/>
  <c r="G12" i="220"/>
  <c r="M75" i="220"/>
  <c r="G75" i="220"/>
  <c r="I75" i="220"/>
  <c r="H75" i="220"/>
  <c r="N75" i="220"/>
  <c r="J75" i="220"/>
  <c r="L75" i="220"/>
  <c r="K75" i="220"/>
  <c r="K76" i="220" s="1"/>
  <c r="F75" i="220"/>
  <c r="O75" i="220" s="1"/>
  <c r="F82" i="220"/>
  <c r="R82" i="220" s="1"/>
  <c r="D76" i="220"/>
  <c r="F71" i="220"/>
  <c r="R71" i="220"/>
  <c r="N77" i="220"/>
  <c r="R77" i="220" s="1"/>
  <c r="H77" i="220"/>
  <c r="J76" i="220"/>
  <c r="Q7" i="220"/>
  <c r="R7" i="220" s="1"/>
  <c r="J64" i="220"/>
  <c r="N64" i="220"/>
  <c r="G64" i="220"/>
  <c r="O64" i="220" s="1"/>
  <c r="M64" i="220"/>
  <c r="F64" i="220"/>
  <c r="H64" i="220"/>
  <c r="L64" i="220"/>
  <c r="K64" i="220"/>
  <c r="I64" i="220"/>
  <c r="N28" i="220"/>
  <c r="H28" i="220"/>
  <c r="O28" i="220"/>
  <c r="G28" i="220"/>
  <c r="G37" i="220" s="1"/>
  <c r="J28" i="220"/>
  <c r="I28" i="220"/>
  <c r="P28" i="220"/>
  <c r="F28" i="220"/>
  <c r="M28" i="220"/>
  <c r="L28" i="220"/>
  <c r="K28" i="220"/>
  <c r="Q31" i="220"/>
  <c r="R31" i="220" s="1"/>
  <c r="R4" i="220"/>
  <c r="R73" i="220"/>
  <c r="M61" i="220"/>
  <c r="G61" i="220"/>
  <c r="N61" i="220"/>
  <c r="F61" i="220"/>
  <c r="Q61" i="220" s="1"/>
  <c r="L61" i="220"/>
  <c r="H61" i="220"/>
  <c r="I61" i="220"/>
  <c r="P61" i="220"/>
  <c r="P70" i="220" s="1"/>
  <c r="P78" i="220" s="1"/>
  <c r="K61" i="220"/>
  <c r="O61" i="220"/>
  <c r="J61" i="220"/>
  <c r="P10" i="220"/>
  <c r="J10" i="220"/>
  <c r="O10" i="220"/>
  <c r="H10" i="220"/>
  <c r="N10" i="220"/>
  <c r="G10" i="220"/>
  <c r="M10" i="220"/>
  <c r="F10" i="220"/>
  <c r="L10" i="220"/>
  <c r="I10" i="220"/>
  <c r="K10" i="220"/>
  <c r="K13" i="220"/>
  <c r="O13" i="220"/>
  <c r="H13" i="220"/>
  <c r="N13" i="220"/>
  <c r="G13" i="220"/>
  <c r="M13" i="220"/>
  <c r="F13" i="220"/>
  <c r="L13" i="220"/>
  <c r="P13" i="220"/>
  <c r="J13" i="220"/>
  <c r="I13" i="220"/>
  <c r="D83" i="220"/>
  <c r="R79" i="220"/>
  <c r="F79" i="220"/>
  <c r="R49" i="220"/>
  <c r="R30" i="220"/>
  <c r="R60" i="220"/>
  <c r="F60" i="220"/>
  <c r="L15" i="220"/>
  <c r="F15" i="220"/>
  <c r="R15" i="220" s="1"/>
  <c r="N6" i="220"/>
  <c r="H6" i="220"/>
  <c r="M6" i="220"/>
  <c r="G6" i="220"/>
  <c r="L6" i="220"/>
  <c r="F6" i="220"/>
  <c r="R6" i="220" s="1"/>
  <c r="Q6" i="220"/>
  <c r="K6" i="220"/>
  <c r="J6" i="220"/>
  <c r="I6" i="220"/>
  <c r="P6" i="220"/>
  <c r="O6" i="220"/>
  <c r="L36" i="220"/>
  <c r="R36" i="220" s="1"/>
  <c r="R52" i="220"/>
  <c r="O51" i="220"/>
  <c r="R51" i="220" s="1"/>
  <c r="F80" i="220"/>
  <c r="R80" i="220" s="1"/>
  <c r="M17" i="220"/>
  <c r="G17" i="220"/>
  <c r="L17" i="220"/>
  <c r="K17" i="220"/>
  <c r="J17" i="220"/>
  <c r="P17" i="220"/>
  <c r="I17" i="220"/>
  <c r="O17" i="220"/>
  <c r="N17" i="220"/>
  <c r="H17" i="220"/>
  <c r="Q17" i="220" s="1"/>
  <c r="F17" i="220"/>
  <c r="F24" i="220"/>
  <c r="L24" i="220" s="1"/>
  <c r="D87" i="220"/>
  <c r="R88" i="220"/>
  <c r="L88" i="220"/>
  <c r="F88" i="220"/>
  <c r="R81" i="220"/>
  <c r="F81" i="220"/>
  <c r="L59" i="220"/>
  <c r="F59" i="220"/>
  <c r="Q59" i="220" s="1"/>
  <c r="P59" i="220"/>
  <c r="I59" i="220"/>
  <c r="O59" i="220"/>
  <c r="H59" i="220"/>
  <c r="R59" i="220" s="1"/>
  <c r="M59" i="220"/>
  <c r="K59" i="220"/>
  <c r="J59" i="220"/>
  <c r="G59" i="220"/>
  <c r="N59" i="220"/>
  <c r="O14" i="220"/>
  <c r="I14" i="220"/>
  <c r="P14" i="220"/>
  <c r="H14" i="220"/>
  <c r="N14" i="220"/>
  <c r="G14" i="220"/>
  <c r="M14" i="220"/>
  <c r="F14" i="220"/>
  <c r="L14" i="220"/>
  <c r="J14" i="220"/>
  <c r="K14" i="220"/>
  <c r="Q14" i="220" s="1"/>
  <c r="R8" i="220"/>
  <c r="J53" i="220"/>
  <c r="L53" i="220"/>
  <c r="K53" i="220"/>
  <c r="H53" i="220"/>
  <c r="N53" i="220"/>
  <c r="M53" i="220"/>
  <c r="G53" i="220"/>
  <c r="I53" i="220"/>
  <c r="F53" i="220"/>
  <c r="O53" i="220" s="1"/>
  <c r="Q27" i="220"/>
  <c r="R27" i="220" s="1"/>
  <c r="Q90" i="220"/>
  <c r="L90" i="220"/>
  <c r="R90" i="220" s="1"/>
  <c r="N76" i="220"/>
  <c r="D45" i="220"/>
  <c r="O16" i="220"/>
  <c r="I16" i="220"/>
  <c r="L16" i="220"/>
  <c r="K16" i="220"/>
  <c r="J16" i="220"/>
  <c r="P16" i="220"/>
  <c r="H16" i="220"/>
  <c r="M16" i="220"/>
  <c r="G16" i="220"/>
  <c r="R16" i="220" s="1"/>
  <c r="F16" i="220"/>
  <c r="Q16" i="220" s="1"/>
  <c r="N16" i="220"/>
  <c r="K26" i="220"/>
  <c r="D37" i="220"/>
  <c r="N26" i="220"/>
  <c r="J26" i="220"/>
  <c r="J37" i="220" s="1"/>
  <c r="I26" i="220"/>
  <c r="H26" i="220"/>
  <c r="P26" i="220"/>
  <c r="P37" i="220" s="1"/>
  <c r="F26" i="220"/>
  <c r="F37" i="220" s="1"/>
  <c r="M26" i="220"/>
  <c r="O26" i="220"/>
  <c r="L32" i="220"/>
  <c r="F32" i="220"/>
  <c r="R32" i="220" s="1"/>
  <c r="Q32" i="220"/>
  <c r="K32" i="220"/>
  <c r="J32" i="220"/>
  <c r="P32" i="220"/>
  <c r="G32" i="220"/>
  <c r="O32" i="220"/>
  <c r="N32" i="220"/>
  <c r="M32" i="220"/>
  <c r="I32" i="220"/>
  <c r="H32" i="220"/>
  <c r="J50" i="220"/>
  <c r="J70" i="220" s="1"/>
  <c r="L50" i="220"/>
  <c r="L70" i="220" s="1"/>
  <c r="K50" i="220"/>
  <c r="M50" i="220"/>
  <c r="M70" i="220" s="1"/>
  <c r="N50" i="220"/>
  <c r="F50" i="220"/>
  <c r="F70" i="220" s="1"/>
  <c r="I50" i="220"/>
  <c r="I70" i="220" s="1"/>
  <c r="H50" i="220"/>
  <c r="H70" i="220" s="1"/>
  <c r="G50" i="220"/>
  <c r="G70" i="220" s="1"/>
  <c r="F89" i="220"/>
  <c r="I76" i="220"/>
  <c r="Q56" i="220"/>
  <c r="R56" i="220" s="1"/>
  <c r="Q57" i="220"/>
  <c r="F11" i="220"/>
  <c r="R11" i="220" s="1"/>
  <c r="R55" i="220"/>
  <c r="L59" i="219"/>
  <c r="F59" i="219"/>
  <c r="K59" i="219"/>
  <c r="J59" i="219"/>
  <c r="I59" i="219"/>
  <c r="H59" i="219"/>
  <c r="G59" i="219"/>
  <c r="P59" i="219"/>
  <c r="O59" i="219"/>
  <c r="Q59" i="219" s="1"/>
  <c r="N59" i="219"/>
  <c r="M59" i="219"/>
  <c r="L30" i="219"/>
  <c r="F30" i="219"/>
  <c r="K30" i="219"/>
  <c r="M30" i="219"/>
  <c r="O30" i="219"/>
  <c r="N30" i="219"/>
  <c r="J30" i="219"/>
  <c r="I30" i="219"/>
  <c r="Q30" i="219" s="1"/>
  <c r="P30" i="219"/>
  <c r="H30" i="219"/>
  <c r="G30" i="219"/>
  <c r="F81" i="219"/>
  <c r="R81" i="219" s="1"/>
  <c r="F11" i="219"/>
  <c r="R11" i="219" s="1"/>
  <c r="F69" i="219"/>
  <c r="L69" i="219" s="1"/>
  <c r="R69" i="219" s="1"/>
  <c r="F80" i="219"/>
  <c r="R80" i="219" s="1"/>
  <c r="J53" i="219"/>
  <c r="N53" i="219"/>
  <c r="G53" i="219"/>
  <c r="M53" i="219"/>
  <c r="F53" i="219"/>
  <c r="L53" i="219"/>
  <c r="K53" i="219"/>
  <c r="I53" i="219"/>
  <c r="H53" i="219"/>
  <c r="J65" i="219"/>
  <c r="L65" i="219"/>
  <c r="K65" i="219"/>
  <c r="N65" i="219"/>
  <c r="I65" i="219"/>
  <c r="H65" i="219"/>
  <c r="G65" i="219"/>
  <c r="F65" i="219"/>
  <c r="O65" i="219" s="1"/>
  <c r="M65" i="219"/>
  <c r="F89" i="219"/>
  <c r="L89" i="219" s="1"/>
  <c r="N55" i="219"/>
  <c r="H55" i="219"/>
  <c r="J55" i="219"/>
  <c r="P55" i="219"/>
  <c r="I55" i="219"/>
  <c r="L55" i="219"/>
  <c r="M55" i="219"/>
  <c r="K55" i="219"/>
  <c r="G55" i="219"/>
  <c r="F55" i="219"/>
  <c r="O55" i="219"/>
  <c r="P31" i="219"/>
  <c r="J31" i="219"/>
  <c r="O31" i="219"/>
  <c r="I31" i="219"/>
  <c r="R31" i="219" s="1"/>
  <c r="G31" i="219"/>
  <c r="L31" i="219"/>
  <c r="K31" i="219"/>
  <c r="H31" i="219"/>
  <c r="F31" i="219"/>
  <c r="Q31" i="219" s="1"/>
  <c r="M31" i="219"/>
  <c r="N31" i="219"/>
  <c r="O13" i="219"/>
  <c r="I13" i="219"/>
  <c r="P13" i="219"/>
  <c r="H13" i="219"/>
  <c r="N13" i="219"/>
  <c r="G13" i="219"/>
  <c r="M13" i="219"/>
  <c r="F13" i="219"/>
  <c r="L13" i="219"/>
  <c r="J13" i="219"/>
  <c r="K13" i="219"/>
  <c r="N58" i="219"/>
  <c r="H58" i="219"/>
  <c r="K58" i="219"/>
  <c r="J58" i="219"/>
  <c r="M58" i="219"/>
  <c r="I58" i="219"/>
  <c r="G58" i="219"/>
  <c r="F58" i="219"/>
  <c r="P58" i="219"/>
  <c r="O58" i="219"/>
  <c r="L58" i="219"/>
  <c r="N7" i="219"/>
  <c r="H7" i="219"/>
  <c r="O7" i="219"/>
  <c r="G7" i="219"/>
  <c r="M7" i="219"/>
  <c r="F7" i="219"/>
  <c r="L7" i="219"/>
  <c r="Q7" i="219" s="1"/>
  <c r="K7" i="219"/>
  <c r="P7" i="219"/>
  <c r="J7" i="219"/>
  <c r="I7" i="219"/>
  <c r="F82" i="219"/>
  <c r="R82" i="219" s="1"/>
  <c r="D87" i="219"/>
  <c r="L88" i="219"/>
  <c r="R88" i="219" s="1"/>
  <c r="F88" i="219"/>
  <c r="P54" i="219"/>
  <c r="J54" i="219"/>
  <c r="I54" i="219"/>
  <c r="O54" i="219"/>
  <c r="H54" i="219"/>
  <c r="N54" i="219"/>
  <c r="M54" i="219"/>
  <c r="L54" i="219"/>
  <c r="K54" i="219"/>
  <c r="G54" i="219"/>
  <c r="F54" i="219"/>
  <c r="F36" i="219"/>
  <c r="L36" i="219"/>
  <c r="R36" i="219"/>
  <c r="I42" i="219"/>
  <c r="I45" i="219" s="1"/>
  <c r="D45" i="219"/>
  <c r="R42" i="219"/>
  <c r="D93" i="219"/>
  <c r="F43" i="219"/>
  <c r="F45" i="219" s="1"/>
  <c r="N10" i="219"/>
  <c r="H10" i="219"/>
  <c r="P10" i="219"/>
  <c r="I10" i="219"/>
  <c r="O10" i="219"/>
  <c r="G10" i="219"/>
  <c r="M10" i="219"/>
  <c r="F10" i="219"/>
  <c r="L10" i="219"/>
  <c r="K10" i="219"/>
  <c r="J10" i="219"/>
  <c r="N29" i="219"/>
  <c r="H29" i="219"/>
  <c r="M29" i="219"/>
  <c r="G29" i="219"/>
  <c r="I29" i="219"/>
  <c r="F29" i="219"/>
  <c r="R29" i="219" s="1"/>
  <c r="P29" i="219"/>
  <c r="O29" i="219"/>
  <c r="L29" i="219"/>
  <c r="Q29" i="219" s="1"/>
  <c r="J29" i="219"/>
  <c r="K29" i="219"/>
  <c r="R63" i="219"/>
  <c r="F63" i="219"/>
  <c r="M14" i="219"/>
  <c r="G14" i="219"/>
  <c r="P14" i="219"/>
  <c r="I14" i="219"/>
  <c r="O14" i="219"/>
  <c r="H14" i="219"/>
  <c r="Q14" i="219" s="1"/>
  <c r="R14" i="219" s="1"/>
  <c r="N14" i="219"/>
  <c r="F14" i="219"/>
  <c r="L14" i="219"/>
  <c r="K14" i="219"/>
  <c r="J14" i="219"/>
  <c r="J66" i="219"/>
  <c r="N66" i="219"/>
  <c r="G66" i="219"/>
  <c r="M66" i="219"/>
  <c r="F66" i="219"/>
  <c r="L66" i="219"/>
  <c r="K66" i="219"/>
  <c r="I66" i="219"/>
  <c r="H66" i="219"/>
  <c r="L8" i="219"/>
  <c r="F8" i="219"/>
  <c r="O8" i="219"/>
  <c r="H8" i="219"/>
  <c r="N8" i="219"/>
  <c r="G8" i="219"/>
  <c r="M8" i="219"/>
  <c r="K8" i="219"/>
  <c r="P8" i="219"/>
  <c r="J8" i="219"/>
  <c r="I8" i="219"/>
  <c r="D25" i="219"/>
  <c r="L3" i="219"/>
  <c r="F3" i="219"/>
  <c r="K3" i="219"/>
  <c r="P3" i="219"/>
  <c r="J3" i="219"/>
  <c r="O3" i="219"/>
  <c r="I3" i="219"/>
  <c r="M3" i="219"/>
  <c r="H3" i="219"/>
  <c r="Q3" i="219" s="1"/>
  <c r="G3" i="219"/>
  <c r="N3" i="219"/>
  <c r="J64" i="219"/>
  <c r="I64" i="219"/>
  <c r="H64" i="219"/>
  <c r="N64" i="219"/>
  <c r="K64" i="219"/>
  <c r="G64" i="219"/>
  <c r="F64" i="219"/>
  <c r="M64" i="219"/>
  <c r="O64" i="219" s="1"/>
  <c r="L64" i="219"/>
  <c r="L44" i="219"/>
  <c r="L45" i="219" s="1"/>
  <c r="R44" i="219"/>
  <c r="J49" i="219"/>
  <c r="L49" i="219"/>
  <c r="D70" i="219"/>
  <c r="K49" i="219"/>
  <c r="I49" i="219"/>
  <c r="H49" i="219"/>
  <c r="G49" i="219"/>
  <c r="F49" i="219"/>
  <c r="N49" i="219"/>
  <c r="M49" i="219"/>
  <c r="I62" i="219"/>
  <c r="H94" i="219"/>
  <c r="O94" i="219" s="1"/>
  <c r="R94" i="219" s="1"/>
  <c r="P4" i="219"/>
  <c r="J4" i="219"/>
  <c r="O4" i="219"/>
  <c r="I4" i="219"/>
  <c r="N4" i="219"/>
  <c r="H4" i="219"/>
  <c r="M4" i="219"/>
  <c r="G4" i="219"/>
  <c r="Q4" i="219"/>
  <c r="L4" i="219"/>
  <c r="K4" i="219"/>
  <c r="F4" i="219"/>
  <c r="R4" i="219" s="1"/>
  <c r="L56" i="219"/>
  <c r="F56" i="219"/>
  <c r="J56" i="219"/>
  <c r="P56" i="219"/>
  <c r="I56" i="219"/>
  <c r="H56" i="219"/>
  <c r="M56" i="219"/>
  <c r="K56" i="219"/>
  <c r="G56" i="219"/>
  <c r="Q56" i="219" s="1"/>
  <c r="O56" i="219"/>
  <c r="N56" i="219"/>
  <c r="M61" i="219"/>
  <c r="G61" i="219"/>
  <c r="P61" i="219"/>
  <c r="I61" i="219"/>
  <c r="O61" i="219"/>
  <c r="H61" i="219"/>
  <c r="N61" i="219"/>
  <c r="L61" i="219"/>
  <c r="K61" i="219"/>
  <c r="J61" i="219"/>
  <c r="F61" i="219"/>
  <c r="Q90" i="219"/>
  <c r="L90" i="219"/>
  <c r="R90" i="219" s="1"/>
  <c r="M75" i="219"/>
  <c r="G75" i="219"/>
  <c r="K75" i="219"/>
  <c r="J75" i="219"/>
  <c r="N75" i="219"/>
  <c r="L75" i="219"/>
  <c r="F75" i="219"/>
  <c r="I75" i="219"/>
  <c r="H75" i="219"/>
  <c r="P6" i="219"/>
  <c r="J6" i="219"/>
  <c r="N6" i="219"/>
  <c r="G6" i="219"/>
  <c r="Q6" i="219" s="1"/>
  <c r="M6" i="219"/>
  <c r="F6" i="219"/>
  <c r="R6" i="219" s="1"/>
  <c r="L6" i="219"/>
  <c r="K6" i="219"/>
  <c r="H6" i="219"/>
  <c r="O6" i="219"/>
  <c r="I6" i="219"/>
  <c r="N5" i="219"/>
  <c r="H5" i="219"/>
  <c r="Q5" i="219" s="1"/>
  <c r="M5" i="219"/>
  <c r="G5" i="219"/>
  <c r="L5" i="219"/>
  <c r="F5" i="219"/>
  <c r="K5" i="219"/>
  <c r="P5" i="219"/>
  <c r="O5" i="219"/>
  <c r="J5" i="219"/>
  <c r="I5" i="219"/>
  <c r="K46" i="219"/>
  <c r="K47" i="219" s="1"/>
  <c r="D47" i="219"/>
  <c r="N46" i="219"/>
  <c r="N47" i="219" s="1"/>
  <c r="F46" i="219"/>
  <c r="F47" i="219" s="1"/>
  <c r="M72" i="219"/>
  <c r="G72" i="219"/>
  <c r="G76" i="219" s="1"/>
  <c r="K72" i="219"/>
  <c r="J72" i="219"/>
  <c r="F72" i="219"/>
  <c r="L72" i="219"/>
  <c r="I72" i="219"/>
  <c r="H72" i="219"/>
  <c r="H76" i="219" s="1"/>
  <c r="N72" i="219"/>
  <c r="N32" i="219"/>
  <c r="H32" i="219"/>
  <c r="M32" i="219"/>
  <c r="G32" i="219"/>
  <c r="K32" i="219"/>
  <c r="I32" i="219"/>
  <c r="F32" i="219"/>
  <c r="P32" i="219"/>
  <c r="O32" i="219"/>
  <c r="L32" i="219"/>
  <c r="J32" i="219"/>
  <c r="I12" i="219"/>
  <c r="M12" i="219"/>
  <c r="R12" i="219" s="1"/>
  <c r="F12" i="219"/>
  <c r="O12" i="219" s="1"/>
  <c r="L12" i="219"/>
  <c r="K12" i="219"/>
  <c r="J12" i="219"/>
  <c r="N12" i="219"/>
  <c r="H12" i="219"/>
  <c r="G12" i="219"/>
  <c r="M74" i="219"/>
  <c r="G74" i="219"/>
  <c r="I74" i="219"/>
  <c r="H74" i="219"/>
  <c r="N74" i="219"/>
  <c r="L74" i="219"/>
  <c r="K74" i="219"/>
  <c r="J74" i="219"/>
  <c r="F74" i="219"/>
  <c r="O74" i="219" s="1"/>
  <c r="R15" i="219"/>
  <c r="L15" i="219"/>
  <c r="F15" i="219"/>
  <c r="F68" i="219"/>
  <c r="R68" i="219" s="1"/>
  <c r="J52" i="219"/>
  <c r="L52" i="219"/>
  <c r="K52" i="219"/>
  <c r="G52" i="219"/>
  <c r="M52" i="219"/>
  <c r="I52" i="219"/>
  <c r="H52" i="219"/>
  <c r="F52" i="219"/>
  <c r="N52" i="219"/>
  <c r="N77" i="219"/>
  <c r="R77" i="219" s="1"/>
  <c r="H77" i="219"/>
  <c r="M26" i="219"/>
  <c r="J26" i="219"/>
  <c r="J37" i="219" s="1"/>
  <c r="K26" i="219"/>
  <c r="I26" i="219"/>
  <c r="H26" i="219"/>
  <c r="D37" i="219"/>
  <c r="P26" i="219"/>
  <c r="F26" i="219"/>
  <c r="F37" i="219" s="1"/>
  <c r="O26" i="219"/>
  <c r="N26" i="219"/>
  <c r="G92" i="219"/>
  <c r="J92" i="219"/>
  <c r="I92" i="219"/>
  <c r="K92" i="219"/>
  <c r="H92" i="219"/>
  <c r="L92" i="219"/>
  <c r="F92" i="219"/>
  <c r="P28" i="219"/>
  <c r="J28" i="219"/>
  <c r="O28" i="219"/>
  <c r="I28" i="219"/>
  <c r="M28" i="219"/>
  <c r="K28" i="219"/>
  <c r="H28" i="219"/>
  <c r="G28" i="219"/>
  <c r="F28" i="219"/>
  <c r="N28" i="219"/>
  <c r="L28" i="219"/>
  <c r="R71" i="219"/>
  <c r="D76" i="219"/>
  <c r="F71" i="219"/>
  <c r="P57" i="219"/>
  <c r="J57" i="219"/>
  <c r="K57" i="219"/>
  <c r="I57" i="219"/>
  <c r="O57" i="219"/>
  <c r="F57" i="219"/>
  <c r="L57" i="219"/>
  <c r="H57" i="219"/>
  <c r="G57" i="219"/>
  <c r="N57" i="219"/>
  <c r="M57" i="219"/>
  <c r="L33" i="219"/>
  <c r="M33" i="219"/>
  <c r="F33" i="219"/>
  <c r="K33" i="219"/>
  <c r="P33" i="219"/>
  <c r="G33" i="219"/>
  <c r="Q33" i="219" s="1"/>
  <c r="O33" i="219"/>
  <c r="N33" i="219"/>
  <c r="J33" i="219"/>
  <c r="I33" i="219"/>
  <c r="H33" i="219"/>
  <c r="P9" i="219"/>
  <c r="J9" i="219"/>
  <c r="O9" i="219"/>
  <c r="H9" i="219"/>
  <c r="N9" i="219"/>
  <c r="G9" i="219"/>
  <c r="Q9" i="219" s="1"/>
  <c r="M9" i="219"/>
  <c r="F9" i="219"/>
  <c r="L9" i="219"/>
  <c r="I9" i="219"/>
  <c r="K9" i="219"/>
  <c r="J51" i="219"/>
  <c r="I51" i="219"/>
  <c r="H51" i="219"/>
  <c r="O51" i="219" s="1"/>
  <c r="G51" i="219"/>
  <c r="R51" i="219" s="1"/>
  <c r="L51" i="219"/>
  <c r="K51" i="219"/>
  <c r="F51" i="219"/>
  <c r="N51" i="219"/>
  <c r="M51" i="219"/>
  <c r="J50" i="219"/>
  <c r="N50" i="219"/>
  <c r="G50" i="219"/>
  <c r="M50" i="219"/>
  <c r="F50" i="219"/>
  <c r="I50" i="219"/>
  <c r="K50" i="219"/>
  <c r="H50" i="219"/>
  <c r="L50" i="219"/>
  <c r="F24" i="219"/>
  <c r="M16" i="219"/>
  <c r="G16" i="219"/>
  <c r="L16" i="219"/>
  <c r="K16" i="219"/>
  <c r="J16" i="219"/>
  <c r="P16" i="219"/>
  <c r="I16" i="219"/>
  <c r="O16" i="219"/>
  <c r="R16" i="219" s="1"/>
  <c r="N16" i="219"/>
  <c r="H16" i="219"/>
  <c r="Q16" i="219" s="1"/>
  <c r="F16" i="219"/>
  <c r="K17" i="219"/>
  <c r="M17" i="219"/>
  <c r="F17" i="219"/>
  <c r="L17" i="219"/>
  <c r="J17" i="219"/>
  <c r="P17" i="219"/>
  <c r="I17" i="219"/>
  <c r="G17" i="219"/>
  <c r="O17" i="219"/>
  <c r="N17" i="219"/>
  <c r="H17" i="219"/>
  <c r="K27" i="219"/>
  <c r="L27" i="219"/>
  <c r="O27" i="219"/>
  <c r="G27" i="219"/>
  <c r="N27" i="219"/>
  <c r="F27" i="219"/>
  <c r="M27" i="219"/>
  <c r="J27" i="219"/>
  <c r="H27" i="219"/>
  <c r="P27" i="219"/>
  <c r="I27" i="219"/>
  <c r="M73" i="219"/>
  <c r="G73" i="219"/>
  <c r="N73" i="219"/>
  <c r="F73" i="219"/>
  <c r="O73" i="219" s="1"/>
  <c r="L73" i="219"/>
  <c r="K73" i="219"/>
  <c r="R73" i="219" s="1"/>
  <c r="J73" i="219"/>
  <c r="I73" i="219"/>
  <c r="H73" i="219"/>
  <c r="F60" i="219"/>
  <c r="R60" i="219" s="1"/>
  <c r="D83" i="219"/>
  <c r="R79" i="219"/>
  <c r="F79" i="219"/>
  <c r="R9" i="218"/>
  <c r="Q9" i="218"/>
  <c r="P93" i="218"/>
  <c r="J93" i="218"/>
  <c r="Q93" i="218" s="1"/>
  <c r="O93" i="218"/>
  <c r="I93" i="218"/>
  <c r="M93" i="218"/>
  <c r="L93" i="218"/>
  <c r="K93" i="218"/>
  <c r="G93" i="218"/>
  <c r="N93" i="218"/>
  <c r="H93" i="218"/>
  <c r="F93" i="218"/>
  <c r="D92" i="218"/>
  <c r="L65" i="218"/>
  <c r="F65" i="218"/>
  <c r="R65" i="218" s="1"/>
  <c r="K65" i="218"/>
  <c r="N65" i="218"/>
  <c r="M65" i="218"/>
  <c r="J65" i="218"/>
  <c r="O65" i="218" s="1"/>
  <c r="H65" i="218"/>
  <c r="I65" i="218"/>
  <c r="G65" i="218"/>
  <c r="N59" i="218"/>
  <c r="H59" i="218"/>
  <c r="M59" i="218"/>
  <c r="G59" i="218"/>
  <c r="J59" i="218"/>
  <c r="I59" i="218"/>
  <c r="P59" i="218"/>
  <c r="F59" i="218"/>
  <c r="L59" i="218"/>
  <c r="O59" i="218"/>
  <c r="K59" i="218"/>
  <c r="Q59" i="218" s="1"/>
  <c r="L44" i="218"/>
  <c r="L45" i="218" s="1"/>
  <c r="M13" i="218"/>
  <c r="G13" i="218"/>
  <c r="K13" i="218"/>
  <c r="O13" i="218"/>
  <c r="I13" i="218"/>
  <c r="L13" i="218"/>
  <c r="F13" i="218"/>
  <c r="R13" i="218" s="1"/>
  <c r="J13" i="218"/>
  <c r="Q13" i="218" s="1"/>
  <c r="H13" i="218"/>
  <c r="P13" i="218"/>
  <c r="N13" i="218"/>
  <c r="N46" i="218"/>
  <c r="N47" i="218" s="1"/>
  <c r="K46" i="218"/>
  <c r="K47" i="218" s="1"/>
  <c r="D47" i="218"/>
  <c r="F46" i="218"/>
  <c r="F47" i="218" s="1"/>
  <c r="K16" i="218"/>
  <c r="O16" i="218"/>
  <c r="I16" i="218"/>
  <c r="M16" i="218"/>
  <c r="G16" i="218"/>
  <c r="P16" i="218"/>
  <c r="N16" i="218"/>
  <c r="J16" i="218"/>
  <c r="L16" i="218"/>
  <c r="F16" i="218"/>
  <c r="R16" i="218" s="1"/>
  <c r="H16" i="218"/>
  <c r="Q16" i="218" s="1"/>
  <c r="L53" i="218"/>
  <c r="F53" i="218"/>
  <c r="K53" i="218"/>
  <c r="J53" i="218"/>
  <c r="H53" i="218"/>
  <c r="O53" i="218" s="1"/>
  <c r="N53" i="218"/>
  <c r="I53" i="218"/>
  <c r="G53" i="218"/>
  <c r="M53" i="218"/>
  <c r="L66" i="218"/>
  <c r="F66" i="218"/>
  <c r="K66" i="218"/>
  <c r="J66" i="218"/>
  <c r="I66" i="218"/>
  <c r="H66" i="218"/>
  <c r="N66" i="218"/>
  <c r="M66" i="218"/>
  <c r="G66" i="218"/>
  <c r="F43" i="218"/>
  <c r="F45" i="218" s="1"/>
  <c r="R43" i="218"/>
  <c r="L7" i="218"/>
  <c r="F7" i="218"/>
  <c r="O7" i="218"/>
  <c r="I7" i="218"/>
  <c r="K7" i="218"/>
  <c r="P7" i="218"/>
  <c r="J7" i="218"/>
  <c r="M7" i="218"/>
  <c r="N7" i="218"/>
  <c r="H7" i="218"/>
  <c r="G7" i="218"/>
  <c r="Q7" i="218" s="1"/>
  <c r="H94" i="218"/>
  <c r="R10" i="218"/>
  <c r="K14" i="218"/>
  <c r="O14" i="218"/>
  <c r="I14" i="218"/>
  <c r="M14" i="218"/>
  <c r="G14" i="218"/>
  <c r="J14" i="218"/>
  <c r="P14" i="218"/>
  <c r="H14" i="218"/>
  <c r="F14" i="218"/>
  <c r="N14" i="218"/>
  <c r="N25" i="218" s="1"/>
  <c r="L14" i="218"/>
  <c r="F24" i="218"/>
  <c r="P58" i="218"/>
  <c r="J58" i="218"/>
  <c r="O58" i="218"/>
  <c r="I58" i="218"/>
  <c r="N58" i="218"/>
  <c r="F58" i="218"/>
  <c r="M58" i="218"/>
  <c r="L58" i="218"/>
  <c r="H58" i="218"/>
  <c r="G58" i="218"/>
  <c r="Q58" i="218" s="1"/>
  <c r="K58" i="218"/>
  <c r="L54" i="218"/>
  <c r="F54" i="218"/>
  <c r="K54" i="218"/>
  <c r="P54" i="218"/>
  <c r="H54" i="218"/>
  <c r="R54" i="218" s="1"/>
  <c r="N54" i="218"/>
  <c r="J54" i="218"/>
  <c r="O54" i="218"/>
  <c r="M54" i="218"/>
  <c r="G54" i="218"/>
  <c r="Q54" i="218" s="1"/>
  <c r="I54" i="218"/>
  <c r="H67" i="218"/>
  <c r="R67" i="218" s="1"/>
  <c r="O17" i="218"/>
  <c r="I17" i="218"/>
  <c r="M17" i="218"/>
  <c r="G17" i="218"/>
  <c r="K17" i="218"/>
  <c r="N17" i="218"/>
  <c r="H17" i="218"/>
  <c r="L17" i="218"/>
  <c r="J17" i="218"/>
  <c r="F17" i="218"/>
  <c r="Q17" i="218" s="1"/>
  <c r="P17" i="218"/>
  <c r="F63" i="218"/>
  <c r="R63" i="218" s="1"/>
  <c r="O26" i="218"/>
  <c r="H26" i="218"/>
  <c r="M26" i="218"/>
  <c r="D37" i="218"/>
  <c r="J26" i="218"/>
  <c r="F26" i="218"/>
  <c r="Q26" i="218" s="1"/>
  <c r="N26" i="218"/>
  <c r="P26" i="218"/>
  <c r="K26" i="218"/>
  <c r="I26" i="218"/>
  <c r="I75" i="218"/>
  <c r="N75" i="218"/>
  <c r="H75" i="218"/>
  <c r="G75" i="218"/>
  <c r="F75" i="218"/>
  <c r="M75" i="218"/>
  <c r="K75" i="218"/>
  <c r="L75" i="218"/>
  <c r="J75" i="218"/>
  <c r="F80" i="218"/>
  <c r="R80" i="218"/>
  <c r="K31" i="218"/>
  <c r="O31" i="218"/>
  <c r="I31" i="218"/>
  <c r="M31" i="218"/>
  <c r="G31" i="218"/>
  <c r="J31" i="218"/>
  <c r="P31" i="218"/>
  <c r="H31" i="218"/>
  <c r="F31" i="218"/>
  <c r="N31" i="218"/>
  <c r="L31" i="218"/>
  <c r="L49" i="218"/>
  <c r="F49" i="218"/>
  <c r="K49" i="218"/>
  <c r="N49" i="218"/>
  <c r="D70" i="218"/>
  <c r="J49" i="218"/>
  <c r="H49" i="218"/>
  <c r="M49" i="218"/>
  <c r="G49" i="218"/>
  <c r="G70" i="218" s="1"/>
  <c r="I49" i="218"/>
  <c r="L57" i="218"/>
  <c r="F57" i="218"/>
  <c r="K57" i="218"/>
  <c r="J57" i="218"/>
  <c r="P57" i="218"/>
  <c r="H57" i="218"/>
  <c r="N57" i="218"/>
  <c r="I57" i="218"/>
  <c r="G57" i="218"/>
  <c r="Q57" i="218" s="1"/>
  <c r="O57" i="218"/>
  <c r="M57" i="218"/>
  <c r="F69" i="218"/>
  <c r="R69" i="218" s="1"/>
  <c r="L69" i="218"/>
  <c r="D109" i="218"/>
  <c r="Q3" i="218"/>
  <c r="R3" i="218"/>
  <c r="R55" i="218"/>
  <c r="R5" i="218"/>
  <c r="D45" i="218"/>
  <c r="I42" i="218"/>
  <c r="I45" i="218" s="1"/>
  <c r="L52" i="218"/>
  <c r="F52" i="218"/>
  <c r="K52" i="218"/>
  <c r="N52" i="218"/>
  <c r="J52" i="218"/>
  <c r="H52" i="218"/>
  <c r="R52" i="218" s="1"/>
  <c r="M52" i="218"/>
  <c r="I52" i="218"/>
  <c r="O52" i="218" s="1"/>
  <c r="G52" i="218"/>
  <c r="N56" i="218"/>
  <c r="H56" i="218"/>
  <c r="M56" i="218"/>
  <c r="G56" i="218"/>
  <c r="R56" i="218" s="1"/>
  <c r="P56" i="218"/>
  <c r="F56" i="218"/>
  <c r="L56" i="218"/>
  <c r="J56" i="218"/>
  <c r="O56" i="218"/>
  <c r="Q56" i="218"/>
  <c r="K56" i="218"/>
  <c r="I56" i="218"/>
  <c r="O61" i="218"/>
  <c r="I61" i="218"/>
  <c r="N61" i="218"/>
  <c r="H61" i="218"/>
  <c r="K61" i="218"/>
  <c r="J61" i="218"/>
  <c r="G61" i="218"/>
  <c r="M61" i="218"/>
  <c r="P61" i="218"/>
  <c r="L61" i="218"/>
  <c r="F61" i="218"/>
  <c r="Q61" i="218" s="1"/>
  <c r="F36" i="218"/>
  <c r="L36" i="218"/>
  <c r="R36" i="218"/>
  <c r="F88" i="218"/>
  <c r="R88" i="218" s="1"/>
  <c r="L88" i="218"/>
  <c r="D87" i="218"/>
  <c r="O29" i="218"/>
  <c r="I29" i="218"/>
  <c r="M29" i="218"/>
  <c r="G29" i="218"/>
  <c r="K29" i="218"/>
  <c r="N29" i="218"/>
  <c r="L29" i="218"/>
  <c r="H29" i="218"/>
  <c r="J29" i="218"/>
  <c r="F29" i="218"/>
  <c r="Q29" i="218" s="1"/>
  <c r="P29" i="218"/>
  <c r="I74" i="218"/>
  <c r="N74" i="218"/>
  <c r="H74" i="218"/>
  <c r="K74" i="218"/>
  <c r="J74" i="218"/>
  <c r="G74" i="218"/>
  <c r="O74" i="218" s="1"/>
  <c r="M74" i="218"/>
  <c r="L74" i="218"/>
  <c r="F74" i="218"/>
  <c r="M27" i="218"/>
  <c r="G27" i="218"/>
  <c r="G37" i="218" s="1"/>
  <c r="K27" i="218"/>
  <c r="O27" i="218"/>
  <c r="I27" i="218"/>
  <c r="F27" i="218"/>
  <c r="P27" i="218"/>
  <c r="L27" i="218"/>
  <c r="N27" i="218"/>
  <c r="J27" i="218"/>
  <c r="H27" i="218"/>
  <c r="N77" i="218"/>
  <c r="H77" i="218"/>
  <c r="R77" i="218" s="1"/>
  <c r="Q90" i="218"/>
  <c r="N62" i="218"/>
  <c r="I62" i="218"/>
  <c r="R62" i="218" s="1"/>
  <c r="L50" i="218"/>
  <c r="F50" i="218"/>
  <c r="K50" i="218"/>
  <c r="J50" i="218"/>
  <c r="H50" i="218"/>
  <c r="N50" i="218"/>
  <c r="I50" i="218"/>
  <c r="G50" i="218"/>
  <c r="R50" i="218" s="1"/>
  <c r="O50" i="218"/>
  <c r="M50" i="218"/>
  <c r="F60" i="218"/>
  <c r="R60" i="218"/>
  <c r="F71" i="218"/>
  <c r="D76" i="218"/>
  <c r="R71" i="218"/>
  <c r="D25" i="218"/>
  <c r="L4" i="218"/>
  <c r="F4" i="218"/>
  <c r="I4" i="218"/>
  <c r="K4" i="218"/>
  <c r="K25" i="218" s="1"/>
  <c r="O4" i="218"/>
  <c r="P4" i="218"/>
  <c r="J4" i="218"/>
  <c r="M4" i="218"/>
  <c r="M25" i="218" s="1"/>
  <c r="H4" i="218"/>
  <c r="H25" i="218" s="1"/>
  <c r="G4" i="218"/>
  <c r="N4" i="218"/>
  <c r="Q8" i="218"/>
  <c r="R8" i="218"/>
  <c r="N33" i="218"/>
  <c r="H33" i="218"/>
  <c r="M33" i="218"/>
  <c r="G33" i="218"/>
  <c r="K33" i="218"/>
  <c r="I33" i="218"/>
  <c r="O33" i="218"/>
  <c r="J33" i="218"/>
  <c r="F33" i="218"/>
  <c r="L33" i="218"/>
  <c r="P33" i="218"/>
  <c r="I73" i="218"/>
  <c r="N73" i="218"/>
  <c r="H73" i="218"/>
  <c r="M73" i="218"/>
  <c r="L73" i="218"/>
  <c r="K73" i="218"/>
  <c r="G73" i="218"/>
  <c r="J73" i="218"/>
  <c r="F73" i="218"/>
  <c r="L15" i="218"/>
  <c r="F15" i="218"/>
  <c r="R15" i="218" s="1"/>
  <c r="I72" i="218"/>
  <c r="I76" i="218" s="1"/>
  <c r="N72" i="218"/>
  <c r="N76" i="218" s="1"/>
  <c r="H72" i="218"/>
  <c r="H76" i="218" s="1"/>
  <c r="G72" i="218"/>
  <c r="F72" i="218"/>
  <c r="O72" i="218" s="1"/>
  <c r="M72" i="218"/>
  <c r="K72" i="218"/>
  <c r="K76" i="218" s="1"/>
  <c r="L72" i="218"/>
  <c r="L76" i="218" s="1"/>
  <c r="J72" i="218"/>
  <c r="K28" i="218"/>
  <c r="O28" i="218"/>
  <c r="I28" i="218"/>
  <c r="M28" i="218"/>
  <c r="G28" i="218"/>
  <c r="P28" i="218"/>
  <c r="J28" i="218"/>
  <c r="N28" i="218"/>
  <c r="L28" i="218"/>
  <c r="F28" i="218"/>
  <c r="H28" i="218"/>
  <c r="M12" i="218"/>
  <c r="G12" i="218"/>
  <c r="O12" i="218" s="1"/>
  <c r="L12" i="218"/>
  <c r="F12" i="218"/>
  <c r="J12" i="218"/>
  <c r="K12" i="218"/>
  <c r="N12" i="218"/>
  <c r="I12" i="218"/>
  <c r="H12" i="218"/>
  <c r="F89" i="218"/>
  <c r="P32" i="218"/>
  <c r="O32" i="218"/>
  <c r="I32" i="218"/>
  <c r="M32" i="218"/>
  <c r="G32" i="218"/>
  <c r="K32" i="218"/>
  <c r="H32" i="218"/>
  <c r="F32" i="218"/>
  <c r="Q32" i="218" s="1"/>
  <c r="N32" i="218"/>
  <c r="L32" i="218"/>
  <c r="J32" i="218"/>
  <c r="R81" i="218"/>
  <c r="F81" i="218"/>
  <c r="M30" i="218"/>
  <c r="G30" i="218"/>
  <c r="K30" i="218"/>
  <c r="O30" i="218"/>
  <c r="I30" i="218"/>
  <c r="L30" i="218"/>
  <c r="F30" i="218"/>
  <c r="Q30" i="218" s="1"/>
  <c r="J30" i="218"/>
  <c r="H30" i="218"/>
  <c r="N30" i="218"/>
  <c r="P30" i="218"/>
  <c r="R79" i="218"/>
  <c r="F79" i="218"/>
  <c r="D83" i="218"/>
  <c r="R68" i="218"/>
  <c r="F68" i="218"/>
  <c r="L51" i="218"/>
  <c r="F51" i="218"/>
  <c r="K51" i="218"/>
  <c r="H51" i="218"/>
  <c r="N51" i="218"/>
  <c r="J51" i="218"/>
  <c r="M51" i="218"/>
  <c r="G51" i="218"/>
  <c r="O51" i="218" s="1"/>
  <c r="I51" i="218"/>
  <c r="L64" i="218"/>
  <c r="F64" i="218"/>
  <c r="K64" i="218"/>
  <c r="H64" i="218"/>
  <c r="R64" i="218" s="1"/>
  <c r="O64" i="218"/>
  <c r="G64" i="218"/>
  <c r="N64" i="218"/>
  <c r="J64" i="218"/>
  <c r="I64" i="218"/>
  <c r="M64" i="218"/>
  <c r="G25" i="218"/>
  <c r="G48" i="218" s="1"/>
  <c r="R8" i="217"/>
  <c r="R24" i="217"/>
  <c r="R51" i="217"/>
  <c r="P37" i="217"/>
  <c r="R14" i="217"/>
  <c r="R54" i="217"/>
  <c r="R15" i="217"/>
  <c r="M61" i="217"/>
  <c r="G61" i="217"/>
  <c r="L61" i="217"/>
  <c r="F61" i="217"/>
  <c r="K61" i="217"/>
  <c r="I61" i="217"/>
  <c r="J61" i="217"/>
  <c r="H61" i="217"/>
  <c r="P61" i="217"/>
  <c r="O61" i="217"/>
  <c r="N61" i="217"/>
  <c r="F68" i="217"/>
  <c r="R68" i="217" s="1"/>
  <c r="I42" i="217"/>
  <c r="I45" i="217" s="1"/>
  <c r="D45" i="217"/>
  <c r="I62" i="217"/>
  <c r="H94" i="217"/>
  <c r="O94" i="217" s="1"/>
  <c r="R94" i="217" s="1"/>
  <c r="L13" i="217"/>
  <c r="F13" i="217"/>
  <c r="R13" i="217" s="1"/>
  <c r="J13" i="217"/>
  <c r="Q13" i="217" s="1"/>
  <c r="P13" i="217"/>
  <c r="I13" i="217"/>
  <c r="O13" i="217"/>
  <c r="H13" i="217"/>
  <c r="M13" i="217"/>
  <c r="N13" i="217"/>
  <c r="N25" i="217" s="1"/>
  <c r="K13" i="217"/>
  <c r="G13" i="217"/>
  <c r="O64" i="217"/>
  <c r="R64" i="217" s="1"/>
  <c r="L24" i="217"/>
  <c r="L25" i="217"/>
  <c r="J25" i="217"/>
  <c r="L15" i="217"/>
  <c r="R5" i="217"/>
  <c r="R53" i="217"/>
  <c r="M74" i="217"/>
  <c r="G74" i="217"/>
  <c r="L74" i="217"/>
  <c r="F74" i="217"/>
  <c r="K74" i="217"/>
  <c r="I74" i="217"/>
  <c r="O74" i="217" s="1"/>
  <c r="J74" i="217"/>
  <c r="H74" i="217"/>
  <c r="R74" i="217" s="1"/>
  <c r="N74" i="217"/>
  <c r="R65" i="217"/>
  <c r="M73" i="217"/>
  <c r="G73" i="217"/>
  <c r="L73" i="217"/>
  <c r="F73" i="217"/>
  <c r="O73" i="217" s="1"/>
  <c r="K73" i="217"/>
  <c r="I73" i="217"/>
  <c r="H73" i="217"/>
  <c r="N73" i="217"/>
  <c r="J73" i="217"/>
  <c r="L44" i="217"/>
  <c r="L45" i="217" s="1"/>
  <c r="R44" i="217"/>
  <c r="H77" i="217"/>
  <c r="N77" i="217" s="1"/>
  <c r="R77" i="217" s="1"/>
  <c r="F60" i="217"/>
  <c r="R60" i="217"/>
  <c r="R31" i="217"/>
  <c r="I12" i="217"/>
  <c r="N12" i="217"/>
  <c r="H12" i="217"/>
  <c r="M12" i="217"/>
  <c r="M25" i="217" s="1"/>
  <c r="M48" i="217" s="1"/>
  <c r="G12" i="217"/>
  <c r="G25" i="217" s="1"/>
  <c r="K12" i="217"/>
  <c r="K25" i="217" s="1"/>
  <c r="L12" i="217"/>
  <c r="J12" i="217"/>
  <c r="F12" i="217"/>
  <c r="O12" i="217" s="1"/>
  <c r="O25" i="217" s="1"/>
  <c r="R69" i="217"/>
  <c r="O51" i="217"/>
  <c r="R9" i="217"/>
  <c r="Q30" i="217"/>
  <c r="R30" i="217" s="1"/>
  <c r="M72" i="217"/>
  <c r="M76" i="217" s="1"/>
  <c r="G72" i="217"/>
  <c r="L72" i="217"/>
  <c r="F72" i="217"/>
  <c r="I72" i="217"/>
  <c r="H72" i="217"/>
  <c r="H76" i="217" s="1"/>
  <c r="N72" i="217"/>
  <c r="K72" i="217"/>
  <c r="J72" i="217"/>
  <c r="D83" i="217"/>
  <c r="R79" i="217"/>
  <c r="F79" i="217"/>
  <c r="O66" i="217"/>
  <c r="R66" i="217" s="1"/>
  <c r="M75" i="217"/>
  <c r="G75" i="217"/>
  <c r="O75" i="217" s="1"/>
  <c r="L75" i="217"/>
  <c r="F75" i="217"/>
  <c r="I75" i="217"/>
  <c r="K75" i="217"/>
  <c r="J75" i="217"/>
  <c r="H75" i="217"/>
  <c r="N75" i="217"/>
  <c r="F81" i="217"/>
  <c r="R81" i="217" s="1"/>
  <c r="Q57" i="217"/>
  <c r="R57" i="217" s="1"/>
  <c r="Q4" i="217"/>
  <c r="D76" i="217"/>
  <c r="J49" i="217"/>
  <c r="J70" i="217" s="1"/>
  <c r="D70" i="217"/>
  <c r="I49" i="217"/>
  <c r="N49" i="217"/>
  <c r="F49" i="217"/>
  <c r="O49" i="217" s="1"/>
  <c r="L49" i="217"/>
  <c r="L70" i="217" s="1"/>
  <c r="H49" i="217"/>
  <c r="G49" i="217"/>
  <c r="M49" i="217"/>
  <c r="K49" i="217"/>
  <c r="D92" i="217"/>
  <c r="L89" i="217"/>
  <c r="R89" i="217" s="1"/>
  <c r="F89" i="217"/>
  <c r="J52" i="217"/>
  <c r="I52" i="217"/>
  <c r="N52" i="217"/>
  <c r="F52" i="217"/>
  <c r="L52" i="217"/>
  <c r="M52" i="217"/>
  <c r="K52" i="217"/>
  <c r="H52" i="217"/>
  <c r="O52" i="217" s="1"/>
  <c r="G52" i="217"/>
  <c r="P28" i="217"/>
  <c r="J28" i="217"/>
  <c r="J37" i="217" s="1"/>
  <c r="N28" i="217"/>
  <c r="H28" i="217"/>
  <c r="K28" i="217"/>
  <c r="K37" i="217" s="1"/>
  <c r="I28" i="217"/>
  <c r="G28" i="217"/>
  <c r="M28" i="217"/>
  <c r="M37" i="217" s="1"/>
  <c r="O28" i="217"/>
  <c r="O37" i="217" s="1"/>
  <c r="L28" i="217"/>
  <c r="L37" i="217" s="1"/>
  <c r="F28" i="217"/>
  <c r="R55" i="217"/>
  <c r="Q10" i="217"/>
  <c r="R10" i="217" s="1"/>
  <c r="N17" i="217"/>
  <c r="H17" i="217"/>
  <c r="O17" i="217"/>
  <c r="G17" i="217"/>
  <c r="M17" i="217"/>
  <c r="F17" i="217"/>
  <c r="L17" i="217"/>
  <c r="J17" i="217"/>
  <c r="P17" i="217"/>
  <c r="K17" i="217"/>
  <c r="I17" i="217"/>
  <c r="D87" i="217"/>
  <c r="F88" i="217"/>
  <c r="L56" i="217"/>
  <c r="F56" i="217"/>
  <c r="K56" i="217"/>
  <c r="P56" i="217"/>
  <c r="P70" i="217" s="1"/>
  <c r="P78" i="217" s="1"/>
  <c r="H56" i="217"/>
  <c r="N56" i="217"/>
  <c r="O56" i="217"/>
  <c r="M56" i="217"/>
  <c r="J56" i="217"/>
  <c r="G56" i="217"/>
  <c r="Q56" i="217" s="1"/>
  <c r="I56" i="217"/>
  <c r="N58" i="217"/>
  <c r="H58" i="217"/>
  <c r="M58" i="217"/>
  <c r="G58" i="217"/>
  <c r="P58" i="217"/>
  <c r="F58" i="217"/>
  <c r="R58" i="217" s="1"/>
  <c r="L58" i="217"/>
  <c r="O58" i="217"/>
  <c r="K58" i="217"/>
  <c r="J58" i="217"/>
  <c r="Q58" i="217"/>
  <c r="I58" i="217"/>
  <c r="D25" i="217"/>
  <c r="R26" i="217"/>
  <c r="P16" i="217"/>
  <c r="P25" i="217" s="1"/>
  <c r="P48" i="217" s="1"/>
  <c r="J16" i="217"/>
  <c r="N16" i="217"/>
  <c r="G16" i="217"/>
  <c r="M16" i="217"/>
  <c r="F16" i="217"/>
  <c r="L16" i="217"/>
  <c r="I16" i="217"/>
  <c r="Q16" i="217" s="1"/>
  <c r="K16" i="217"/>
  <c r="H16" i="217"/>
  <c r="O16" i="217"/>
  <c r="Q90" i="217"/>
  <c r="L90" i="217"/>
  <c r="R90" i="217" s="1"/>
  <c r="L59" i="217"/>
  <c r="F59" i="217"/>
  <c r="R59" i="217" s="1"/>
  <c r="K59" i="217"/>
  <c r="J59" i="217"/>
  <c r="P59" i="217"/>
  <c r="H59" i="217"/>
  <c r="N59" i="217"/>
  <c r="M59" i="217"/>
  <c r="I59" i="217"/>
  <c r="Q59" i="217" s="1"/>
  <c r="O59" i="217"/>
  <c r="G59" i="217"/>
  <c r="Q6" i="217"/>
  <c r="Q27" i="217"/>
  <c r="R27" i="217" s="1"/>
  <c r="N93" i="217"/>
  <c r="H93" i="217"/>
  <c r="M93" i="217"/>
  <c r="G93" i="217"/>
  <c r="L93" i="217"/>
  <c r="J93" i="217"/>
  <c r="F93" i="217"/>
  <c r="Q93" i="217" s="1"/>
  <c r="P93" i="217"/>
  <c r="O93" i="217"/>
  <c r="K93" i="217"/>
  <c r="I93" i="217"/>
  <c r="M32" i="217"/>
  <c r="O32" i="217"/>
  <c r="H32" i="217"/>
  <c r="L32" i="217"/>
  <c r="F32" i="217"/>
  <c r="F37" i="217" s="1"/>
  <c r="I32" i="217"/>
  <c r="G32" i="217"/>
  <c r="P32" i="217"/>
  <c r="K32" i="217"/>
  <c r="N32" i="217"/>
  <c r="N37" i="217" s="1"/>
  <c r="J32" i="217"/>
  <c r="F43" i="217"/>
  <c r="F45" i="217" s="1"/>
  <c r="L33" i="217"/>
  <c r="Q33" i="217"/>
  <c r="K33" i="217"/>
  <c r="P33" i="217"/>
  <c r="H33" i="217"/>
  <c r="N33" i="217"/>
  <c r="F33" i="217"/>
  <c r="R33" i="217" s="1"/>
  <c r="O33" i="217"/>
  <c r="M33" i="217"/>
  <c r="I33" i="217"/>
  <c r="G33" i="217"/>
  <c r="J33" i="217"/>
  <c r="K46" i="217"/>
  <c r="K47" i="217" s="1"/>
  <c r="F46" i="217"/>
  <c r="F47" i="217" s="1"/>
  <c r="N46" i="217"/>
  <c r="N47" i="217" s="1"/>
  <c r="D47" i="217"/>
  <c r="F25" i="217"/>
  <c r="Q3" i="217"/>
  <c r="R3" i="217" s="1"/>
  <c r="I37" i="217"/>
  <c r="D37" i="217"/>
  <c r="R6" i="217"/>
  <c r="R4" i="217"/>
  <c r="R28" i="216"/>
  <c r="R16" i="216"/>
  <c r="G92" i="216"/>
  <c r="J92" i="216"/>
  <c r="K92" i="216"/>
  <c r="F92" i="216"/>
  <c r="I92" i="216"/>
  <c r="L92" i="216"/>
  <c r="H92" i="216"/>
  <c r="D87" i="216"/>
  <c r="L88" i="216"/>
  <c r="F88" i="216"/>
  <c r="R88" i="216" s="1"/>
  <c r="R43" i="216"/>
  <c r="F43" i="216"/>
  <c r="F45" i="216" s="1"/>
  <c r="M75" i="216"/>
  <c r="G75" i="216"/>
  <c r="K75" i="216"/>
  <c r="H75" i="216"/>
  <c r="L75" i="216"/>
  <c r="F75" i="216"/>
  <c r="R75" i="216" s="1"/>
  <c r="O75" i="216"/>
  <c r="N75" i="216"/>
  <c r="J75" i="216"/>
  <c r="I75" i="216"/>
  <c r="L3" i="216"/>
  <c r="F3" i="216"/>
  <c r="F25" i="216" s="1"/>
  <c r="N3" i="216"/>
  <c r="G3" i="216"/>
  <c r="D25" i="216"/>
  <c r="M3" i="216"/>
  <c r="K3" i="216"/>
  <c r="Q3" i="216"/>
  <c r="J3" i="216"/>
  <c r="H3" i="216"/>
  <c r="I3" i="216"/>
  <c r="P3" i="216"/>
  <c r="O3" i="216"/>
  <c r="P4" i="216"/>
  <c r="J4" i="216"/>
  <c r="N4" i="216"/>
  <c r="G4" i="216"/>
  <c r="M4" i="216"/>
  <c r="F4" i="216"/>
  <c r="L4" i="216"/>
  <c r="K4" i="216"/>
  <c r="O4" i="216"/>
  <c r="I4" i="216"/>
  <c r="H4" i="216"/>
  <c r="Q4" i="216" s="1"/>
  <c r="J51" i="216"/>
  <c r="I51" i="216"/>
  <c r="H51" i="216"/>
  <c r="M51" i="216"/>
  <c r="O51" i="216"/>
  <c r="N51" i="216"/>
  <c r="L51" i="216"/>
  <c r="K51" i="216"/>
  <c r="G51" i="216"/>
  <c r="F51" i="216"/>
  <c r="R51" i="216" s="1"/>
  <c r="J66" i="216"/>
  <c r="N66" i="216"/>
  <c r="G66" i="216"/>
  <c r="M66" i="216"/>
  <c r="I66" i="216"/>
  <c r="H66" i="216"/>
  <c r="R66" i="216" s="1"/>
  <c r="L66" i="216"/>
  <c r="K66" i="216"/>
  <c r="F66" i="216"/>
  <c r="O66" i="216" s="1"/>
  <c r="J52" i="216"/>
  <c r="L52" i="216"/>
  <c r="N52" i="216"/>
  <c r="F52" i="216"/>
  <c r="I52" i="216"/>
  <c r="M52" i="216"/>
  <c r="K52" i="216"/>
  <c r="H52" i="216"/>
  <c r="G52" i="216"/>
  <c r="H77" i="216"/>
  <c r="N77" i="216" s="1"/>
  <c r="Q28" i="216"/>
  <c r="R14" i="216"/>
  <c r="M74" i="216"/>
  <c r="G74" i="216"/>
  <c r="I74" i="216"/>
  <c r="K74" i="216"/>
  <c r="F74" i="216"/>
  <c r="O74" i="216" s="1"/>
  <c r="J74" i="216"/>
  <c r="N74" i="216"/>
  <c r="L74" i="216"/>
  <c r="H74" i="216"/>
  <c r="F36" i="216"/>
  <c r="R36" i="216" s="1"/>
  <c r="L36" i="216"/>
  <c r="F71" i="216"/>
  <c r="F76" i="216" s="1"/>
  <c r="D76" i="216"/>
  <c r="M61" i="216"/>
  <c r="G61" i="216"/>
  <c r="P61" i="216"/>
  <c r="I61" i="216"/>
  <c r="O61" i="216"/>
  <c r="F61" i="216"/>
  <c r="K61" i="216"/>
  <c r="J61" i="216"/>
  <c r="N61" i="216"/>
  <c r="H61" i="216"/>
  <c r="L61" i="216"/>
  <c r="K12" i="216"/>
  <c r="N12" i="216"/>
  <c r="G12" i="216"/>
  <c r="O12" i="216" s="1"/>
  <c r="M12" i="216"/>
  <c r="F12" i="216"/>
  <c r="L12" i="216"/>
  <c r="J12" i="216"/>
  <c r="I12" i="216"/>
  <c r="H12" i="216"/>
  <c r="P57" i="216"/>
  <c r="J57" i="216"/>
  <c r="K57" i="216"/>
  <c r="H57" i="216"/>
  <c r="M57" i="216"/>
  <c r="O57" i="216"/>
  <c r="N57" i="216"/>
  <c r="L57" i="216"/>
  <c r="I57" i="216"/>
  <c r="G57" i="216"/>
  <c r="F57" i="216"/>
  <c r="Q57" i="216" s="1"/>
  <c r="F69" i="216"/>
  <c r="F60" i="216"/>
  <c r="R60" i="216" s="1"/>
  <c r="D83" i="216"/>
  <c r="F79" i="216"/>
  <c r="N32" i="216"/>
  <c r="H32" i="216"/>
  <c r="O32" i="216"/>
  <c r="G32" i="216"/>
  <c r="K32" i="216"/>
  <c r="J32" i="216"/>
  <c r="I32" i="216"/>
  <c r="F32" i="216"/>
  <c r="P32" i="216"/>
  <c r="M32" i="216"/>
  <c r="L32" i="216"/>
  <c r="O64" i="216"/>
  <c r="R64" i="216" s="1"/>
  <c r="R46" i="216"/>
  <c r="H67" i="216"/>
  <c r="R67" i="216" s="1"/>
  <c r="K13" i="216"/>
  <c r="P13" i="216"/>
  <c r="I13" i="216"/>
  <c r="O13" i="216"/>
  <c r="H13" i="216"/>
  <c r="N13" i="216"/>
  <c r="G13" i="216"/>
  <c r="Q13" i="216" s="1"/>
  <c r="M13" i="216"/>
  <c r="F13" i="216"/>
  <c r="J13" i="216"/>
  <c r="L13" i="216"/>
  <c r="R63" i="216"/>
  <c r="F63" i="216"/>
  <c r="N29" i="216"/>
  <c r="H29" i="216"/>
  <c r="M29" i="216"/>
  <c r="F29" i="216"/>
  <c r="R29" i="216" s="1"/>
  <c r="J29" i="216"/>
  <c r="I29" i="216"/>
  <c r="G29" i="216"/>
  <c r="P29" i="216"/>
  <c r="O29" i="216"/>
  <c r="Q29" i="216" s="1"/>
  <c r="L29" i="216"/>
  <c r="K29" i="216"/>
  <c r="F24" i="216"/>
  <c r="N8" i="216"/>
  <c r="H8" i="216"/>
  <c r="P8" i="216"/>
  <c r="I8" i="216"/>
  <c r="O8" i="216"/>
  <c r="G8" i="216"/>
  <c r="R8" i="216" s="1"/>
  <c r="M8" i="216"/>
  <c r="F8" i="216"/>
  <c r="L8" i="216"/>
  <c r="K8" i="216"/>
  <c r="J8" i="216"/>
  <c r="Q8" i="216" s="1"/>
  <c r="Q47" i="216"/>
  <c r="R47" i="216" s="1"/>
  <c r="Q16" i="216"/>
  <c r="P54" i="216"/>
  <c r="J54" i="216"/>
  <c r="Q54" i="216"/>
  <c r="R54" i="216" s="1"/>
  <c r="I54" i="216"/>
  <c r="O54" i="216"/>
  <c r="G54" i="216"/>
  <c r="L54" i="216"/>
  <c r="F54" i="216"/>
  <c r="N54" i="216"/>
  <c r="M54" i="216"/>
  <c r="K54" i="216"/>
  <c r="H54" i="216"/>
  <c r="M72" i="216"/>
  <c r="M76" i="216" s="1"/>
  <c r="G72" i="216"/>
  <c r="G76" i="216" s="1"/>
  <c r="K72" i="216"/>
  <c r="I72" i="216"/>
  <c r="N72" i="216"/>
  <c r="H72" i="216"/>
  <c r="L72" i="216"/>
  <c r="J72" i="216"/>
  <c r="F72" i="216"/>
  <c r="F81" i="216"/>
  <c r="R81" i="216"/>
  <c r="L33" i="216"/>
  <c r="M33" i="216"/>
  <c r="F33" i="216"/>
  <c r="Q33" i="216" s="1"/>
  <c r="P33" i="216"/>
  <c r="H33" i="216"/>
  <c r="K33" i="216"/>
  <c r="G33" i="216"/>
  <c r="O33" i="216"/>
  <c r="N33" i="216"/>
  <c r="I33" i="216"/>
  <c r="J33" i="216"/>
  <c r="R33" i="216" s="1"/>
  <c r="F89" i="216"/>
  <c r="L89" i="216" s="1"/>
  <c r="R89" i="216" s="1"/>
  <c r="N55" i="216"/>
  <c r="H55" i="216"/>
  <c r="J55" i="216"/>
  <c r="K55" i="216"/>
  <c r="O55" i="216"/>
  <c r="F55" i="216"/>
  <c r="P55" i="216"/>
  <c r="M55" i="216"/>
  <c r="L55" i="216"/>
  <c r="I55" i="216"/>
  <c r="G55" i="216"/>
  <c r="P17" i="216"/>
  <c r="J17" i="216"/>
  <c r="M17" i="216"/>
  <c r="G17" i="216"/>
  <c r="O17" i="216"/>
  <c r="F17" i="216"/>
  <c r="N17" i="216"/>
  <c r="L17" i="216"/>
  <c r="K17" i="216"/>
  <c r="I17" i="216"/>
  <c r="Q17" i="216" s="1"/>
  <c r="H17" i="216"/>
  <c r="Q90" i="216"/>
  <c r="L6" i="216"/>
  <c r="F6" i="216"/>
  <c r="O6" i="216"/>
  <c r="H6" i="216"/>
  <c r="N6" i="216"/>
  <c r="G6" i="216"/>
  <c r="M6" i="216"/>
  <c r="K6" i="216"/>
  <c r="I6" i="216"/>
  <c r="J6" i="216"/>
  <c r="P6" i="216"/>
  <c r="P26" i="216"/>
  <c r="I26" i="216"/>
  <c r="M26" i="216"/>
  <c r="M37" i="216" s="1"/>
  <c r="K26" i="216"/>
  <c r="J26" i="216"/>
  <c r="H26" i="216"/>
  <c r="F26" i="216"/>
  <c r="F37" i="216" s="1"/>
  <c r="N26" i="216"/>
  <c r="O26" i="216"/>
  <c r="D37" i="216"/>
  <c r="I42" i="216"/>
  <c r="I45" i="216" s="1"/>
  <c r="R42" i="216"/>
  <c r="D45" i="216"/>
  <c r="D93" i="216"/>
  <c r="P7" i="216"/>
  <c r="J7" i="216"/>
  <c r="O7" i="216"/>
  <c r="H7" i="216"/>
  <c r="Q7" i="216" s="1"/>
  <c r="N7" i="216"/>
  <c r="G7" i="216"/>
  <c r="M7" i="216"/>
  <c r="F7" i="216"/>
  <c r="R7" i="216" s="1"/>
  <c r="L7" i="216"/>
  <c r="K7" i="216"/>
  <c r="I7" i="216"/>
  <c r="R58" i="216"/>
  <c r="O50" i="216"/>
  <c r="R50" i="216" s="1"/>
  <c r="L30" i="216"/>
  <c r="F30" i="216"/>
  <c r="N30" i="216"/>
  <c r="G30" i="216"/>
  <c r="J30" i="216"/>
  <c r="P30" i="216"/>
  <c r="O30" i="216"/>
  <c r="M30" i="216"/>
  <c r="K30" i="216"/>
  <c r="I30" i="216"/>
  <c r="H30" i="216"/>
  <c r="M73" i="216"/>
  <c r="G73" i="216"/>
  <c r="N73" i="216"/>
  <c r="F73" i="216"/>
  <c r="R73" i="216" s="1"/>
  <c r="J73" i="216"/>
  <c r="L73" i="216"/>
  <c r="K73" i="216"/>
  <c r="I73" i="216"/>
  <c r="H73" i="216"/>
  <c r="O73" i="216" s="1"/>
  <c r="L9" i="216"/>
  <c r="F9" i="216"/>
  <c r="P9" i="216"/>
  <c r="I9" i="216"/>
  <c r="O9" i="216"/>
  <c r="H9" i="216"/>
  <c r="R9" i="216" s="1"/>
  <c r="N9" i="216"/>
  <c r="G9" i="216"/>
  <c r="M9" i="216"/>
  <c r="J9" i="216"/>
  <c r="K9" i="216"/>
  <c r="Q9" i="216"/>
  <c r="J65" i="216"/>
  <c r="L65" i="216"/>
  <c r="H65" i="216"/>
  <c r="M65" i="216"/>
  <c r="O65" i="216"/>
  <c r="N65" i="216"/>
  <c r="G65" i="216"/>
  <c r="K65" i="216"/>
  <c r="I65" i="216"/>
  <c r="F65" i="216"/>
  <c r="R65" i="216" s="1"/>
  <c r="J53" i="216"/>
  <c r="N53" i="216"/>
  <c r="G53" i="216"/>
  <c r="K53" i="216"/>
  <c r="F53" i="216"/>
  <c r="M53" i="216"/>
  <c r="L53" i="216"/>
  <c r="I53" i="216"/>
  <c r="H53" i="216"/>
  <c r="D109" i="216"/>
  <c r="F15" i="216"/>
  <c r="L15" i="216" s="1"/>
  <c r="R15" i="216" s="1"/>
  <c r="F80" i="216"/>
  <c r="R80" i="216" s="1"/>
  <c r="N5" i="216"/>
  <c r="H5" i="216"/>
  <c r="O5" i="216"/>
  <c r="G5" i="216"/>
  <c r="M5" i="216"/>
  <c r="F5" i="216"/>
  <c r="Q5" i="216" s="1"/>
  <c r="L5" i="216"/>
  <c r="K5" i="216"/>
  <c r="P5" i="216"/>
  <c r="J5" i="216"/>
  <c r="I5" i="216"/>
  <c r="N27" i="216"/>
  <c r="H27" i="216"/>
  <c r="K27" i="216"/>
  <c r="P27" i="216"/>
  <c r="G27" i="216"/>
  <c r="G37" i="216" s="1"/>
  <c r="O27" i="216"/>
  <c r="F27" i="216"/>
  <c r="M27" i="216"/>
  <c r="L27" i="216"/>
  <c r="J27" i="216"/>
  <c r="I27" i="216"/>
  <c r="L56" i="216"/>
  <c r="F56" i="216"/>
  <c r="J56" i="216"/>
  <c r="Q56" i="216" s="1"/>
  <c r="N56" i="216"/>
  <c r="I56" i="216"/>
  <c r="P56" i="216"/>
  <c r="O56" i="216"/>
  <c r="M56" i="216"/>
  <c r="K56" i="216"/>
  <c r="H56" i="216"/>
  <c r="G56" i="216"/>
  <c r="J49" i="216"/>
  <c r="L49" i="216"/>
  <c r="G49" i="216"/>
  <c r="K49" i="216"/>
  <c r="N49" i="216"/>
  <c r="D70" i="216"/>
  <c r="M49" i="216"/>
  <c r="I49" i="216"/>
  <c r="I70" i="216" s="1"/>
  <c r="H49" i="216"/>
  <c r="F49" i="216"/>
  <c r="I62" i="216"/>
  <c r="R62" i="216" s="1"/>
  <c r="N62" i="216"/>
  <c r="H94" i="216"/>
  <c r="O94" i="216" s="1"/>
  <c r="R31" i="216"/>
  <c r="R44" i="216"/>
  <c r="L24" i="215"/>
  <c r="F24" i="215"/>
  <c r="R24" i="215" s="1"/>
  <c r="L64" i="215"/>
  <c r="F64" i="215"/>
  <c r="K64" i="215"/>
  <c r="J64" i="215"/>
  <c r="G64" i="215"/>
  <c r="N64" i="215"/>
  <c r="H64" i="215"/>
  <c r="M64" i="215"/>
  <c r="I64" i="215"/>
  <c r="O64" i="215" s="1"/>
  <c r="D93" i="215"/>
  <c r="R68" i="215"/>
  <c r="F68" i="215"/>
  <c r="P58" i="215"/>
  <c r="J58" i="215"/>
  <c r="O58" i="215"/>
  <c r="I58" i="215"/>
  <c r="N58" i="215"/>
  <c r="H58" i="215"/>
  <c r="K58" i="215"/>
  <c r="G58" i="215"/>
  <c r="F58" i="215"/>
  <c r="Q58" i="215" s="1"/>
  <c r="R58" i="215" s="1"/>
  <c r="L58" i="215"/>
  <c r="M58" i="215"/>
  <c r="I73" i="215"/>
  <c r="N73" i="215"/>
  <c r="H73" i="215"/>
  <c r="O73" i="215" s="1"/>
  <c r="M73" i="215"/>
  <c r="G73" i="215"/>
  <c r="L73" i="215"/>
  <c r="K73" i="215"/>
  <c r="J73" i="215"/>
  <c r="F73" i="215"/>
  <c r="F63" i="215"/>
  <c r="R63" i="215" s="1"/>
  <c r="K12" i="215"/>
  <c r="J12" i="215"/>
  <c r="I12" i="215"/>
  <c r="M12" i="215"/>
  <c r="L12" i="215"/>
  <c r="G12" i="215"/>
  <c r="H12" i="215"/>
  <c r="N12" i="215"/>
  <c r="F12" i="215"/>
  <c r="O12" i="215" s="1"/>
  <c r="L33" i="215"/>
  <c r="K33" i="215"/>
  <c r="J33" i="215"/>
  <c r="P33" i="215"/>
  <c r="I33" i="215"/>
  <c r="G33" i="215"/>
  <c r="N33" i="215"/>
  <c r="M33" i="215"/>
  <c r="F33" i="215"/>
  <c r="Q33" i="215" s="1"/>
  <c r="O33" i="215"/>
  <c r="H33" i="215"/>
  <c r="N77" i="215"/>
  <c r="H77" i="215"/>
  <c r="R77" i="215" s="1"/>
  <c r="L49" i="215"/>
  <c r="F49" i="215"/>
  <c r="K49" i="215"/>
  <c r="J49" i="215"/>
  <c r="G49" i="215"/>
  <c r="D70" i="215"/>
  <c r="N49" i="215"/>
  <c r="H49" i="215"/>
  <c r="M49" i="215"/>
  <c r="I49" i="215"/>
  <c r="L57" i="215"/>
  <c r="F57" i="215"/>
  <c r="K57" i="215"/>
  <c r="P57" i="215"/>
  <c r="J57" i="215"/>
  <c r="M57" i="215"/>
  <c r="I57" i="215"/>
  <c r="H57" i="215"/>
  <c r="Q57" i="215" s="1"/>
  <c r="N57" i="215"/>
  <c r="O57" i="215"/>
  <c r="G57" i="215"/>
  <c r="R57" i="215" s="1"/>
  <c r="F69" i="215"/>
  <c r="R69" i="215" s="1"/>
  <c r="L69" i="215"/>
  <c r="Q7" i="215"/>
  <c r="R7" i="215" s="1"/>
  <c r="F82" i="215"/>
  <c r="R82" i="215" s="1"/>
  <c r="P55" i="215"/>
  <c r="J55" i="215"/>
  <c r="O55" i="215"/>
  <c r="I55" i="215"/>
  <c r="N55" i="215"/>
  <c r="H55" i="215"/>
  <c r="M55" i="215"/>
  <c r="L55" i="215"/>
  <c r="F55" i="215"/>
  <c r="K55" i="215"/>
  <c r="G55" i="215"/>
  <c r="Q55" i="215" s="1"/>
  <c r="D92" i="215"/>
  <c r="N8" i="215"/>
  <c r="H8" i="215"/>
  <c r="M8" i="215"/>
  <c r="G8" i="215"/>
  <c r="L8" i="215"/>
  <c r="F8" i="215"/>
  <c r="J8" i="215"/>
  <c r="I8" i="215"/>
  <c r="P8" i="215"/>
  <c r="Q8" i="215"/>
  <c r="R8" i="215" s="1"/>
  <c r="K8" i="215"/>
  <c r="O8" i="215"/>
  <c r="I74" i="215"/>
  <c r="N74" i="215"/>
  <c r="H74" i="215"/>
  <c r="M74" i="215"/>
  <c r="G74" i="215"/>
  <c r="L74" i="215"/>
  <c r="K74" i="215"/>
  <c r="J74" i="215"/>
  <c r="F74" i="215"/>
  <c r="O74" i="215" s="1"/>
  <c r="I75" i="215"/>
  <c r="N75" i="215"/>
  <c r="H75" i="215"/>
  <c r="M75" i="215"/>
  <c r="G75" i="215"/>
  <c r="L75" i="215"/>
  <c r="K75" i="215"/>
  <c r="J75" i="215"/>
  <c r="F75" i="215"/>
  <c r="O75" i="215" s="1"/>
  <c r="K13" i="215"/>
  <c r="P13" i="215"/>
  <c r="J13" i="215"/>
  <c r="O13" i="215"/>
  <c r="I13" i="215"/>
  <c r="M13" i="215"/>
  <c r="L13" i="215"/>
  <c r="H13" i="215"/>
  <c r="G13" i="215"/>
  <c r="F13" i="215"/>
  <c r="Q13" i="215" s="1"/>
  <c r="R13" i="215" s="1"/>
  <c r="N13" i="215"/>
  <c r="F36" i="215"/>
  <c r="F79" i="215"/>
  <c r="F83" i="215" s="1"/>
  <c r="D83" i="215"/>
  <c r="L50" i="215"/>
  <c r="F50" i="215"/>
  <c r="K50" i="215"/>
  <c r="J50" i="215"/>
  <c r="G50" i="215"/>
  <c r="N50" i="215"/>
  <c r="M50" i="215"/>
  <c r="I50" i="215"/>
  <c r="H50" i="215"/>
  <c r="F60" i="215"/>
  <c r="R60" i="215" s="1"/>
  <c r="F71" i="215"/>
  <c r="R71" i="215" s="1"/>
  <c r="D76" i="215"/>
  <c r="D109" i="215" s="1"/>
  <c r="L15" i="215"/>
  <c r="F15" i="215"/>
  <c r="R15" i="215" s="1"/>
  <c r="L51" i="215"/>
  <c r="F51" i="215"/>
  <c r="K51" i="215"/>
  <c r="J51" i="215"/>
  <c r="G51" i="215"/>
  <c r="O51" i="215" s="1"/>
  <c r="N51" i="215"/>
  <c r="H51" i="215"/>
  <c r="M51" i="215"/>
  <c r="R51" i="215" s="1"/>
  <c r="I51" i="215"/>
  <c r="N46" i="215"/>
  <c r="N47" i="215" s="1"/>
  <c r="K46" i="215"/>
  <c r="K47" i="215" s="1"/>
  <c r="D47" i="215"/>
  <c r="F46" i="215"/>
  <c r="F47" i="215" s="1"/>
  <c r="D25" i="215"/>
  <c r="L3" i="215"/>
  <c r="F3" i="215"/>
  <c r="Q3" i="215" s="1"/>
  <c r="O3" i="215"/>
  <c r="K3" i="215"/>
  <c r="P3" i="215"/>
  <c r="J3" i="215"/>
  <c r="I3" i="215"/>
  <c r="H3" i="215"/>
  <c r="H25" i="215" s="1"/>
  <c r="N3" i="215"/>
  <c r="M3" i="215"/>
  <c r="G3" i="215"/>
  <c r="O16" i="215"/>
  <c r="I16" i="215"/>
  <c r="N16" i="215"/>
  <c r="H16" i="215"/>
  <c r="M16" i="215"/>
  <c r="G16" i="215"/>
  <c r="P16" i="215"/>
  <c r="L16" i="215"/>
  <c r="K16" i="215"/>
  <c r="J16" i="215"/>
  <c r="F16" i="215"/>
  <c r="M17" i="215"/>
  <c r="G17" i="215"/>
  <c r="Q17" i="215" s="1"/>
  <c r="L17" i="215"/>
  <c r="F17" i="215"/>
  <c r="K17" i="215"/>
  <c r="O17" i="215"/>
  <c r="I17" i="215"/>
  <c r="N17" i="215"/>
  <c r="J17" i="215"/>
  <c r="H17" i="215"/>
  <c r="P17" i="215"/>
  <c r="D45" i="215"/>
  <c r="R42" i="215"/>
  <c r="I42" i="215"/>
  <c r="I45" i="215" s="1"/>
  <c r="M26" i="215"/>
  <c r="K26" i="215"/>
  <c r="D37" i="215"/>
  <c r="J26" i="215"/>
  <c r="H26" i="215"/>
  <c r="O26" i="215"/>
  <c r="F26" i="215"/>
  <c r="Q26" i="215" s="1"/>
  <c r="P26" i="215"/>
  <c r="N26" i="215"/>
  <c r="I26" i="215"/>
  <c r="R80" i="215"/>
  <c r="F80" i="215"/>
  <c r="F89" i="215"/>
  <c r="L89" i="215" s="1"/>
  <c r="L52" i="215"/>
  <c r="F52" i="215"/>
  <c r="K52" i="215"/>
  <c r="J52" i="215"/>
  <c r="G52" i="215"/>
  <c r="N52" i="215"/>
  <c r="M52" i="215"/>
  <c r="H52" i="215"/>
  <c r="I52" i="215"/>
  <c r="L65" i="215"/>
  <c r="F65" i="215"/>
  <c r="K65" i="215"/>
  <c r="J65" i="215"/>
  <c r="G65" i="215"/>
  <c r="N65" i="215"/>
  <c r="M65" i="215"/>
  <c r="H65" i="215"/>
  <c r="I65" i="215"/>
  <c r="Q4" i="215"/>
  <c r="R4" i="215" s="1"/>
  <c r="L44" i="215"/>
  <c r="L45" i="215" s="1"/>
  <c r="L9" i="215"/>
  <c r="F9" i="215"/>
  <c r="K9" i="215"/>
  <c r="P9" i="215"/>
  <c r="J9" i="215"/>
  <c r="H9" i="215"/>
  <c r="N9" i="215"/>
  <c r="G9" i="215"/>
  <c r="O9" i="215"/>
  <c r="M9" i="215"/>
  <c r="I9" i="215"/>
  <c r="N5" i="215"/>
  <c r="H5" i="215"/>
  <c r="M5" i="215"/>
  <c r="G5" i="215"/>
  <c r="K5" i="215"/>
  <c r="L5" i="215"/>
  <c r="F5" i="215"/>
  <c r="P5" i="215"/>
  <c r="O5" i="215"/>
  <c r="I5" i="215"/>
  <c r="J5" i="215"/>
  <c r="N56" i="215"/>
  <c r="H56" i="215"/>
  <c r="Q56" i="215" s="1"/>
  <c r="M56" i="215"/>
  <c r="G56" i="215"/>
  <c r="L56" i="215"/>
  <c r="F56" i="215"/>
  <c r="R56" i="215" s="1"/>
  <c r="O56" i="215"/>
  <c r="K56" i="215"/>
  <c r="J56" i="215"/>
  <c r="P56" i="215"/>
  <c r="I56" i="215"/>
  <c r="L6" i="215"/>
  <c r="F6" i="215"/>
  <c r="K6" i="215"/>
  <c r="O6" i="215"/>
  <c r="P6" i="215"/>
  <c r="J6" i="215"/>
  <c r="I6" i="215"/>
  <c r="H6" i="215"/>
  <c r="G6" i="215"/>
  <c r="Q6" i="215" s="1"/>
  <c r="M6" i="215"/>
  <c r="N6" i="215"/>
  <c r="R6" i="215" s="1"/>
  <c r="O28" i="215"/>
  <c r="I28" i="215"/>
  <c r="N28" i="215"/>
  <c r="H28" i="215"/>
  <c r="M28" i="215"/>
  <c r="G28" i="215"/>
  <c r="R28" i="215" s="1"/>
  <c r="P28" i="215"/>
  <c r="K28" i="215"/>
  <c r="L28" i="215"/>
  <c r="J28" i="215"/>
  <c r="F28" i="215"/>
  <c r="Q28" i="215" s="1"/>
  <c r="M29" i="215"/>
  <c r="G29" i="215"/>
  <c r="L29" i="215"/>
  <c r="F29" i="215"/>
  <c r="K29" i="215"/>
  <c r="O29" i="215"/>
  <c r="I29" i="215"/>
  <c r="N29" i="215"/>
  <c r="J29" i="215"/>
  <c r="H29" i="215"/>
  <c r="P29" i="215"/>
  <c r="N59" i="215"/>
  <c r="H59" i="215"/>
  <c r="M59" i="215"/>
  <c r="G59" i="215"/>
  <c r="L59" i="215"/>
  <c r="F59" i="215"/>
  <c r="Q59" i="215" s="1"/>
  <c r="I59" i="215"/>
  <c r="P59" i="215"/>
  <c r="O59" i="215"/>
  <c r="K59" i="215"/>
  <c r="J59" i="215"/>
  <c r="K27" i="215"/>
  <c r="P27" i="215"/>
  <c r="J27" i="215"/>
  <c r="O27" i="215"/>
  <c r="I27" i="215"/>
  <c r="G27" i="215"/>
  <c r="F27" i="215"/>
  <c r="Q27" i="215" s="1"/>
  <c r="N27" i="215"/>
  <c r="M27" i="215"/>
  <c r="H27" i="215"/>
  <c r="L27" i="215"/>
  <c r="Q90" i="215"/>
  <c r="L53" i="215"/>
  <c r="F53" i="215"/>
  <c r="O53" i="215" s="1"/>
  <c r="K53" i="215"/>
  <c r="J53" i="215"/>
  <c r="G53" i="215"/>
  <c r="R53" i="215" s="1"/>
  <c r="N53" i="215"/>
  <c r="H53" i="215"/>
  <c r="M53" i="215"/>
  <c r="I53" i="215"/>
  <c r="L66" i="215"/>
  <c r="F66" i="215"/>
  <c r="K66" i="215"/>
  <c r="J66" i="215"/>
  <c r="G66" i="215"/>
  <c r="N66" i="215"/>
  <c r="H66" i="215"/>
  <c r="M66" i="215"/>
  <c r="I66" i="215"/>
  <c r="F43" i="215"/>
  <c r="F45" i="215" s="1"/>
  <c r="O14" i="215"/>
  <c r="I14" i="215"/>
  <c r="N14" i="215"/>
  <c r="H14" i="215"/>
  <c r="M14" i="215"/>
  <c r="G14" i="215"/>
  <c r="K14" i="215"/>
  <c r="J14" i="215"/>
  <c r="F14" i="215"/>
  <c r="Q14" i="215" s="1"/>
  <c r="L14" i="215"/>
  <c r="P14" i="215"/>
  <c r="R81" i="215"/>
  <c r="F81" i="215"/>
  <c r="I72" i="215"/>
  <c r="N72" i="215"/>
  <c r="N76" i="215" s="1"/>
  <c r="H72" i="215"/>
  <c r="M72" i="215"/>
  <c r="G72" i="215"/>
  <c r="G76" i="215" s="1"/>
  <c r="L72" i="215"/>
  <c r="L76" i="215" s="1"/>
  <c r="K72" i="215"/>
  <c r="K76" i="215" s="1"/>
  <c r="J72" i="215"/>
  <c r="F72" i="215"/>
  <c r="O72" i="215" s="1"/>
  <c r="O31" i="215"/>
  <c r="I31" i="215"/>
  <c r="N31" i="215"/>
  <c r="H31" i="215"/>
  <c r="M31" i="215"/>
  <c r="G31" i="215"/>
  <c r="K31" i="215"/>
  <c r="P31" i="215"/>
  <c r="J31" i="215"/>
  <c r="F31" i="215"/>
  <c r="Q31" i="215" s="1"/>
  <c r="L31" i="215"/>
  <c r="P10" i="215"/>
  <c r="J10" i="215"/>
  <c r="O10" i="215"/>
  <c r="I10" i="215"/>
  <c r="N10" i="215"/>
  <c r="H10" i="215"/>
  <c r="F10" i="215"/>
  <c r="M10" i="215"/>
  <c r="L10" i="215"/>
  <c r="K10" i="215"/>
  <c r="G10" i="215"/>
  <c r="O61" i="215"/>
  <c r="I61" i="215"/>
  <c r="N61" i="215"/>
  <c r="H61" i="215"/>
  <c r="M61" i="215"/>
  <c r="G61" i="215"/>
  <c r="P61" i="215"/>
  <c r="L61" i="215"/>
  <c r="K61" i="215"/>
  <c r="J61" i="215"/>
  <c r="F61" i="215"/>
  <c r="Q61" i="215" s="1"/>
  <c r="M32" i="215"/>
  <c r="G32" i="215"/>
  <c r="L32" i="215"/>
  <c r="F32" i="215"/>
  <c r="Q32" i="215"/>
  <c r="K32" i="215"/>
  <c r="I32" i="215"/>
  <c r="H32" i="215"/>
  <c r="R32" i="215" s="1"/>
  <c r="P32" i="215"/>
  <c r="O32" i="215"/>
  <c r="N32" i="215"/>
  <c r="J32" i="215"/>
  <c r="K30" i="215"/>
  <c r="P30" i="215"/>
  <c r="J30" i="215"/>
  <c r="O30" i="215"/>
  <c r="I30" i="215"/>
  <c r="M30" i="215"/>
  <c r="L30" i="215"/>
  <c r="F30" i="215"/>
  <c r="H30" i="215"/>
  <c r="G30" i="215"/>
  <c r="Q30" i="215" s="1"/>
  <c r="N30" i="215"/>
  <c r="N62" i="215"/>
  <c r="I62" i="215"/>
  <c r="R62" i="215"/>
  <c r="H94" i="215"/>
  <c r="L54" i="215"/>
  <c r="F54" i="215"/>
  <c r="K54" i="215"/>
  <c r="P54" i="215"/>
  <c r="J54" i="215"/>
  <c r="G54" i="215"/>
  <c r="O54" i="215"/>
  <c r="N54" i="215"/>
  <c r="M54" i="215"/>
  <c r="I54" i="215"/>
  <c r="H54" i="215"/>
  <c r="H67" i="215"/>
  <c r="R67" i="215"/>
  <c r="D87" i="215"/>
  <c r="F88" i="215"/>
  <c r="R88" i="215" s="1"/>
  <c r="L88" i="215"/>
  <c r="N8" i="214"/>
  <c r="H8" i="214"/>
  <c r="M8" i="214"/>
  <c r="G8" i="214"/>
  <c r="L8" i="214"/>
  <c r="F8" i="214"/>
  <c r="Q8" i="214" s="1"/>
  <c r="K8" i="214"/>
  <c r="J8" i="214"/>
  <c r="P8" i="214"/>
  <c r="O8" i="214"/>
  <c r="I8" i="214"/>
  <c r="O58" i="214"/>
  <c r="I58" i="214"/>
  <c r="N58" i="214"/>
  <c r="G58" i="214"/>
  <c r="M58" i="214"/>
  <c r="F58" i="214"/>
  <c r="Q58" i="214" s="1"/>
  <c r="L58" i="214"/>
  <c r="K58" i="214"/>
  <c r="P58" i="214"/>
  <c r="J58" i="214"/>
  <c r="H58" i="214"/>
  <c r="K49" i="214"/>
  <c r="H49" i="214"/>
  <c r="N49" i="214"/>
  <c r="G49" i="214"/>
  <c r="M49" i="214"/>
  <c r="F49" i="214"/>
  <c r="L49" i="214"/>
  <c r="D70" i="214"/>
  <c r="J49" i="214"/>
  <c r="I49" i="214"/>
  <c r="O14" i="214"/>
  <c r="I14" i="214"/>
  <c r="N14" i="214"/>
  <c r="H14" i="214"/>
  <c r="M14" i="214"/>
  <c r="G14" i="214"/>
  <c r="K14" i="214"/>
  <c r="L14" i="214"/>
  <c r="F14" i="214"/>
  <c r="Q14" i="214" s="1"/>
  <c r="P14" i="214"/>
  <c r="J14" i="214"/>
  <c r="L3" i="214"/>
  <c r="F3" i="214"/>
  <c r="Q3" i="214" s="1"/>
  <c r="K3" i="214"/>
  <c r="P3" i="214"/>
  <c r="P25" i="214" s="1"/>
  <c r="J3" i="214"/>
  <c r="O3" i="214"/>
  <c r="I3" i="214"/>
  <c r="D25" i="214"/>
  <c r="G3" i="214"/>
  <c r="H3" i="214"/>
  <c r="N3" i="214"/>
  <c r="M3" i="214"/>
  <c r="D45" i="214"/>
  <c r="I42" i="214"/>
  <c r="I45" i="214" s="1"/>
  <c r="H77" i="214"/>
  <c r="F81" i="214"/>
  <c r="R81" i="214" s="1"/>
  <c r="O32" i="214"/>
  <c r="L32" i="214"/>
  <c r="F32" i="214"/>
  <c r="Q32" i="214" s="1"/>
  <c r="K32" i="214"/>
  <c r="J32" i="214"/>
  <c r="P32" i="214"/>
  <c r="I32" i="214"/>
  <c r="N32" i="214"/>
  <c r="M32" i="214"/>
  <c r="H32" i="214"/>
  <c r="G32" i="214"/>
  <c r="R44" i="214"/>
  <c r="L44" i="214"/>
  <c r="L45" i="214" s="1"/>
  <c r="K53" i="214"/>
  <c r="J53" i="214"/>
  <c r="I53" i="214"/>
  <c r="H53" i="214"/>
  <c r="N53" i="214"/>
  <c r="G53" i="214"/>
  <c r="F53" i="214"/>
  <c r="R53" i="214" s="1"/>
  <c r="M53" i="214"/>
  <c r="L53" i="214"/>
  <c r="O53" i="214" s="1"/>
  <c r="K66" i="214"/>
  <c r="J66" i="214"/>
  <c r="I66" i="214"/>
  <c r="H66" i="214"/>
  <c r="O66" i="214" s="1"/>
  <c r="N66" i="214"/>
  <c r="G66" i="214"/>
  <c r="F66" i="214"/>
  <c r="R66" i="214" s="1"/>
  <c r="M66" i="214"/>
  <c r="L66" i="214"/>
  <c r="D93" i="214"/>
  <c r="K12" i="214"/>
  <c r="J12" i="214"/>
  <c r="I12" i="214"/>
  <c r="N12" i="214"/>
  <c r="H12" i="214"/>
  <c r="M12" i="214"/>
  <c r="G12" i="214"/>
  <c r="L12" i="214"/>
  <c r="F12" i="214"/>
  <c r="O12" i="214" s="1"/>
  <c r="M56" i="214"/>
  <c r="G56" i="214"/>
  <c r="N56" i="214"/>
  <c r="F56" i="214"/>
  <c r="Q56" i="214" s="1"/>
  <c r="L56" i="214"/>
  <c r="K56" i="214"/>
  <c r="J56" i="214"/>
  <c r="I56" i="214"/>
  <c r="P56" i="214"/>
  <c r="O56" i="214"/>
  <c r="H56" i="214"/>
  <c r="R56" i="214" s="1"/>
  <c r="N5" i="214"/>
  <c r="H5" i="214"/>
  <c r="M5" i="214"/>
  <c r="G5" i="214"/>
  <c r="L5" i="214"/>
  <c r="F5" i="214"/>
  <c r="Q5" i="214" s="1"/>
  <c r="K5" i="214"/>
  <c r="J5" i="214"/>
  <c r="O5" i="214"/>
  <c r="I5" i="214"/>
  <c r="R5" i="214" s="1"/>
  <c r="P5" i="214"/>
  <c r="O16" i="214"/>
  <c r="I16" i="214"/>
  <c r="N16" i="214"/>
  <c r="H16" i="214"/>
  <c r="M16" i="214"/>
  <c r="G16" i="214"/>
  <c r="K16" i="214"/>
  <c r="L16" i="214"/>
  <c r="F16" i="214"/>
  <c r="J16" i="214"/>
  <c r="P16" i="214"/>
  <c r="L6" i="214"/>
  <c r="F6" i="214"/>
  <c r="K6" i="214"/>
  <c r="P6" i="214"/>
  <c r="J6" i="214"/>
  <c r="O6" i="214"/>
  <c r="I6" i="214"/>
  <c r="N6" i="214"/>
  <c r="Q6" i="214" s="1"/>
  <c r="M6" i="214"/>
  <c r="H6" i="214"/>
  <c r="G6" i="214"/>
  <c r="N73" i="214"/>
  <c r="H73" i="214"/>
  <c r="J73" i="214"/>
  <c r="I73" i="214"/>
  <c r="G73" i="214"/>
  <c r="M73" i="214"/>
  <c r="F73" i="214"/>
  <c r="O73" i="214" s="1"/>
  <c r="L73" i="214"/>
  <c r="K73" i="214"/>
  <c r="N28" i="214"/>
  <c r="M28" i="214"/>
  <c r="G28" i="214"/>
  <c r="Q28" i="214" s="1"/>
  <c r="L28" i="214"/>
  <c r="F28" i="214"/>
  <c r="K28" i="214"/>
  <c r="P28" i="214"/>
  <c r="O28" i="214"/>
  <c r="J28" i="214"/>
  <c r="H28" i="214"/>
  <c r="I28" i="214"/>
  <c r="N46" i="214"/>
  <c r="N47" i="214" s="1"/>
  <c r="K46" i="214"/>
  <c r="K47" i="214" s="1"/>
  <c r="F46" i="214"/>
  <c r="F47" i="214" s="1"/>
  <c r="D47" i="214"/>
  <c r="F89" i="214"/>
  <c r="R89" i="214" s="1"/>
  <c r="L89" i="214"/>
  <c r="O55" i="214"/>
  <c r="I55" i="214"/>
  <c r="M55" i="214"/>
  <c r="F55" i="214"/>
  <c r="Q55" i="214" s="1"/>
  <c r="L55" i="214"/>
  <c r="K55" i="214"/>
  <c r="J55" i="214"/>
  <c r="P55" i="214"/>
  <c r="N55" i="214"/>
  <c r="H55" i="214"/>
  <c r="G55" i="214"/>
  <c r="N61" i="214"/>
  <c r="H61" i="214"/>
  <c r="L61" i="214"/>
  <c r="K61" i="214"/>
  <c r="J61" i="214"/>
  <c r="P61" i="214"/>
  <c r="I61" i="214"/>
  <c r="G61" i="214"/>
  <c r="O61" i="214"/>
  <c r="F61" i="214"/>
  <c r="M61" i="214"/>
  <c r="F36" i="214"/>
  <c r="R36" i="214"/>
  <c r="L36" i="214"/>
  <c r="K54" i="214"/>
  <c r="M54" i="214"/>
  <c r="F54" i="214"/>
  <c r="L54" i="214"/>
  <c r="J54" i="214"/>
  <c r="Q54" i="214" s="1"/>
  <c r="P54" i="214"/>
  <c r="P70" i="214" s="1"/>
  <c r="P78" i="214" s="1"/>
  <c r="I54" i="214"/>
  <c r="H54" i="214"/>
  <c r="G54" i="214"/>
  <c r="R54" i="214" s="1"/>
  <c r="O54" i="214"/>
  <c r="N54" i="214"/>
  <c r="H67" i="214"/>
  <c r="R67" i="214" s="1"/>
  <c r="R10" i="214"/>
  <c r="L9" i="214"/>
  <c r="F9" i="214"/>
  <c r="K9" i="214"/>
  <c r="P9" i="214"/>
  <c r="J9" i="214"/>
  <c r="O9" i="214"/>
  <c r="I9" i="214"/>
  <c r="H9" i="214"/>
  <c r="Q9" i="214" s="1"/>
  <c r="G9" i="214"/>
  <c r="N9" i="214"/>
  <c r="M9" i="214"/>
  <c r="F69" i="214"/>
  <c r="L69" i="214" s="1"/>
  <c r="R69" i="214" s="1"/>
  <c r="R11" i="214"/>
  <c r="F11" i="214"/>
  <c r="O17" i="214"/>
  <c r="M17" i="214"/>
  <c r="G17" i="214"/>
  <c r="L17" i="214"/>
  <c r="Q17" i="214" s="1"/>
  <c r="F17" i="214"/>
  <c r="K17" i="214"/>
  <c r="P17" i="214"/>
  <c r="I17" i="214"/>
  <c r="J17" i="214"/>
  <c r="H17" i="214"/>
  <c r="N17" i="214"/>
  <c r="F24" i="214"/>
  <c r="L24" i="214" s="1"/>
  <c r="R24" i="214" s="1"/>
  <c r="K13" i="214"/>
  <c r="P13" i="214"/>
  <c r="J13" i="214"/>
  <c r="O13" i="214"/>
  <c r="I13" i="214"/>
  <c r="N13" i="214"/>
  <c r="H13" i="214"/>
  <c r="G13" i="214"/>
  <c r="L13" i="214"/>
  <c r="F13" i="214"/>
  <c r="Q13" i="214" s="1"/>
  <c r="R13" i="214" s="1"/>
  <c r="M13" i="214"/>
  <c r="F43" i="214"/>
  <c r="F45" i="214" s="1"/>
  <c r="M59" i="214"/>
  <c r="G59" i="214"/>
  <c r="O59" i="214"/>
  <c r="H59" i="214"/>
  <c r="N59" i="214"/>
  <c r="F59" i="214"/>
  <c r="Q59" i="214" s="1"/>
  <c r="L59" i="214"/>
  <c r="K59" i="214"/>
  <c r="P59" i="214"/>
  <c r="J59" i="214"/>
  <c r="I59" i="214"/>
  <c r="F79" i="214"/>
  <c r="F83" i="214" s="1"/>
  <c r="R79" i="214"/>
  <c r="D83" i="214"/>
  <c r="N74" i="214"/>
  <c r="H74" i="214"/>
  <c r="L74" i="214"/>
  <c r="K74" i="214"/>
  <c r="J74" i="214"/>
  <c r="O74" i="214" s="1"/>
  <c r="I74" i="214"/>
  <c r="G74" i="214"/>
  <c r="F74" i="214"/>
  <c r="M74" i="214"/>
  <c r="K50" i="214"/>
  <c r="J50" i="214"/>
  <c r="I50" i="214"/>
  <c r="H50" i="214"/>
  <c r="N50" i="214"/>
  <c r="G50" i="214"/>
  <c r="M50" i="214"/>
  <c r="L50" i="214"/>
  <c r="F50" i="214"/>
  <c r="R60" i="214"/>
  <c r="F60" i="214"/>
  <c r="D76" i="214"/>
  <c r="F71" i="214"/>
  <c r="R71" i="214" s="1"/>
  <c r="N31" i="214"/>
  <c r="H31" i="214"/>
  <c r="M31" i="214"/>
  <c r="G31" i="214"/>
  <c r="L31" i="214"/>
  <c r="F31" i="214"/>
  <c r="R31" i="214" s="1"/>
  <c r="Q31" i="214"/>
  <c r="K31" i="214"/>
  <c r="J31" i="214"/>
  <c r="I31" i="214"/>
  <c r="P31" i="214"/>
  <c r="O31" i="214"/>
  <c r="I62" i="214"/>
  <c r="P4" i="214"/>
  <c r="J4" i="214"/>
  <c r="O4" i="214"/>
  <c r="I4" i="214"/>
  <c r="N4" i="214"/>
  <c r="H4" i="214"/>
  <c r="M4" i="214"/>
  <c r="G4" i="214"/>
  <c r="F4" i="214"/>
  <c r="Q4" i="214" s="1"/>
  <c r="K4" i="214"/>
  <c r="L4" i="214"/>
  <c r="Q90" i="214"/>
  <c r="L90" i="214"/>
  <c r="R90" i="214" s="1"/>
  <c r="R68" i="214"/>
  <c r="F68" i="214"/>
  <c r="P30" i="214"/>
  <c r="J30" i="214"/>
  <c r="O30" i="214"/>
  <c r="I30" i="214"/>
  <c r="N30" i="214"/>
  <c r="H30" i="214"/>
  <c r="M30" i="214"/>
  <c r="G30" i="214"/>
  <c r="F30" i="214"/>
  <c r="L30" i="214"/>
  <c r="K30" i="214"/>
  <c r="J26" i="214"/>
  <c r="P26" i="214"/>
  <c r="P37" i="214" s="1"/>
  <c r="I26" i="214"/>
  <c r="D37" i="214"/>
  <c r="O26" i="214"/>
  <c r="H26" i="214"/>
  <c r="N26" i="214"/>
  <c r="K26" i="214"/>
  <c r="M26" i="214"/>
  <c r="F26" i="214"/>
  <c r="Q26" i="214" s="1"/>
  <c r="F63" i="214"/>
  <c r="R63" i="214" s="1"/>
  <c r="N72" i="214"/>
  <c r="N76" i="214" s="1"/>
  <c r="H72" i="214"/>
  <c r="G72" i="214"/>
  <c r="G76" i="214" s="1"/>
  <c r="M72" i="214"/>
  <c r="F72" i="214"/>
  <c r="L72" i="214"/>
  <c r="L76" i="214" s="1"/>
  <c r="K72" i="214"/>
  <c r="J72" i="214"/>
  <c r="I72" i="214"/>
  <c r="R82" i="214"/>
  <c r="F82" i="214"/>
  <c r="K51" i="214"/>
  <c r="M51" i="214"/>
  <c r="F51" i="214"/>
  <c r="L51" i="214"/>
  <c r="J51" i="214"/>
  <c r="I51" i="214"/>
  <c r="H51" i="214"/>
  <c r="N51" i="214"/>
  <c r="G51" i="214"/>
  <c r="O51" i="214" s="1"/>
  <c r="K64" i="214"/>
  <c r="M64" i="214"/>
  <c r="F64" i="214"/>
  <c r="O64" i="214" s="1"/>
  <c r="R64" i="214" s="1"/>
  <c r="L64" i="214"/>
  <c r="J64" i="214"/>
  <c r="I64" i="214"/>
  <c r="H64" i="214"/>
  <c r="G64" i="214"/>
  <c r="N64" i="214"/>
  <c r="L15" i="214"/>
  <c r="F15" i="214"/>
  <c r="R15" i="214" s="1"/>
  <c r="D109" i="214"/>
  <c r="K57" i="214"/>
  <c r="Q57" i="214" s="1"/>
  <c r="R57" i="214" s="1"/>
  <c r="N57" i="214"/>
  <c r="G57" i="214"/>
  <c r="M57" i="214"/>
  <c r="F57" i="214"/>
  <c r="L57" i="214"/>
  <c r="J57" i="214"/>
  <c r="I57" i="214"/>
  <c r="H57" i="214"/>
  <c r="P57" i="214"/>
  <c r="O57" i="214"/>
  <c r="O94" i="214"/>
  <c r="R94" i="214" s="1"/>
  <c r="H94" i="214"/>
  <c r="R80" i="214"/>
  <c r="F80" i="214"/>
  <c r="O27" i="214"/>
  <c r="I27" i="214"/>
  <c r="N27" i="214"/>
  <c r="H27" i="214"/>
  <c r="M27" i="214"/>
  <c r="G27" i="214"/>
  <c r="J27" i="214"/>
  <c r="P27" i="214"/>
  <c r="L27" i="214"/>
  <c r="K27" i="214"/>
  <c r="F27" i="214"/>
  <c r="D92" i="214"/>
  <c r="N75" i="214"/>
  <c r="H75" i="214"/>
  <c r="G75" i="214"/>
  <c r="M75" i="214"/>
  <c r="F75" i="214"/>
  <c r="O75" i="214" s="1"/>
  <c r="L75" i="214"/>
  <c r="K75" i="214"/>
  <c r="J75" i="214"/>
  <c r="I75" i="214"/>
  <c r="L29" i="214"/>
  <c r="F29" i="214"/>
  <c r="K29" i="214"/>
  <c r="P29" i="214"/>
  <c r="J29" i="214"/>
  <c r="O29" i="214"/>
  <c r="I29" i="214"/>
  <c r="N29" i="214"/>
  <c r="H29" i="214"/>
  <c r="M29" i="214"/>
  <c r="G29" i="214"/>
  <c r="Q29" i="214" s="1"/>
  <c r="M33" i="214"/>
  <c r="G33" i="214"/>
  <c r="L33" i="214"/>
  <c r="K33" i="214"/>
  <c r="J33" i="214"/>
  <c r="P33" i="214"/>
  <c r="I33" i="214"/>
  <c r="O33" i="214"/>
  <c r="H33" i="214"/>
  <c r="N33" i="214"/>
  <c r="Q33" i="214" s="1"/>
  <c r="F33" i="214"/>
  <c r="D87" i="214"/>
  <c r="F88" i="214"/>
  <c r="K52" i="214"/>
  <c r="H52" i="214"/>
  <c r="N52" i="214"/>
  <c r="G52" i="214"/>
  <c r="M52" i="214"/>
  <c r="F52" i="214"/>
  <c r="L52" i="214"/>
  <c r="J52" i="214"/>
  <c r="I52" i="214"/>
  <c r="K65" i="214"/>
  <c r="H65" i="214"/>
  <c r="N65" i="214"/>
  <c r="G65" i="214"/>
  <c r="M65" i="214"/>
  <c r="F65" i="214"/>
  <c r="R65" i="214" s="1"/>
  <c r="L65" i="214"/>
  <c r="O65" i="214" s="1"/>
  <c r="J65" i="214"/>
  <c r="I65" i="214"/>
  <c r="R9" i="213"/>
  <c r="R7" i="213"/>
  <c r="F15" i="213"/>
  <c r="M75" i="213"/>
  <c r="G75" i="213"/>
  <c r="L75" i="213"/>
  <c r="F75" i="213"/>
  <c r="O75" i="213" s="1"/>
  <c r="H75" i="213"/>
  <c r="R75" i="213" s="1"/>
  <c r="J75" i="213"/>
  <c r="I75" i="213"/>
  <c r="N75" i="213"/>
  <c r="K75" i="213"/>
  <c r="M92" i="213"/>
  <c r="G92" i="213"/>
  <c r="L92" i="213"/>
  <c r="F92" i="213"/>
  <c r="H92" i="213"/>
  <c r="K92" i="213"/>
  <c r="J92" i="213"/>
  <c r="I92" i="213"/>
  <c r="N55" i="213"/>
  <c r="H55" i="213"/>
  <c r="M55" i="213"/>
  <c r="G55" i="213"/>
  <c r="K55" i="213"/>
  <c r="I55" i="213"/>
  <c r="F55" i="213"/>
  <c r="O55" i="213"/>
  <c r="L55" i="213"/>
  <c r="P55" i="213"/>
  <c r="J55" i="213"/>
  <c r="P4" i="213"/>
  <c r="J4" i="213"/>
  <c r="N4" i="213"/>
  <c r="G4" i="213"/>
  <c r="M4" i="213"/>
  <c r="F4" i="213"/>
  <c r="R4" i="213" s="1"/>
  <c r="L4" i="213"/>
  <c r="Q4" i="213"/>
  <c r="I4" i="213"/>
  <c r="K4" i="213"/>
  <c r="O4" i="213"/>
  <c r="H4" i="213"/>
  <c r="J51" i="213"/>
  <c r="I51" i="213"/>
  <c r="G51" i="213"/>
  <c r="N51" i="213"/>
  <c r="K51" i="213"/>
  <c r="F51" i="213"/>
  <c r="O51" i="213" s="1"/>
  <c r="M51" i="213"/>
  <c r="L51" i="213"/>
  <c r="H51" i="213"/>
  <c r="J50" i="213"/>
  <c r="I50" i="213"/>
  <c r="K50" i="213"/>
  <c r="F50" i="213"/>
  <c r="L50" i="213"/>
  <c r="M50" i="213"/>
  <c r="H50" i="213"/>
  <c r="O50" i="213" s="1"/>
  <c r="G50" i="213"/>
  <c r="N50" i="213"/>
  <c r="F69" i="213"/>
  <c r="L3" i="213"/>
  <c r="F3" i="213"/>
  <c r="N3" i="213"/>
  <c r="G3" i="213"/>
  <c r="M3" i="213"/>
  <c r="K3" i="213"/>
  <c r="P3" i="213"/>
  <c r="I3" i="213"/>
  <c r="J3" i="213"/>
  <c r="D25" i="213"/>
  <c r="O3" i="213"/>
  <c r="H3" i="213"/>
  <c r="D93" i="213"/>
  <c r="L27" i="213"/>
  <c r="F27" i="213"/>
  <c r="Q27" i="213" s="1"/>
  <c r="J27" i="213"/>
  <c r="N27" i="213"/>
  <c r="G27" i="213"/>
  <c r="I27" i="213"/>
  <c r="M27" i="213"/>
  <c r="H27" i="213"/>
  <c r="P27" i="213"/>
  <c r="O27" i="213"/>
  <c r="K27" i="213"/>
  <c r="N12" i="213"/>
  <c r="H12" i="213"/>
  <c r="K12" i="213"/>
  <c r="G12" i="213"/>
  <c r="F12" i="213"/>
  <c r="M12" i="213"/>
  <c r="J12" i="213"/>
  <c r="L12" i="213"/>
  <c r="I12" i="213"/>
  <c r="F82" i="213"/>
  <c r="R82" i="213" s="1"/>
  <c r="F71" i="213"/>
  <c r="F76" i="213" s="1"/>
  <c r="D76" i="213"/>
  <c r="F68" i="213"/>
  <c r="R68" i="213" s="1"/>
  <c r="F60" i="213"/>
  <c r="R60" i="213" s="1"/>
  <c r="I42" i="213"/>
  <c r="I45" i="213" s="1"/>
  <c r="D45" i="213"/>
  <c r="I62" i="213"/>
  <c r="N62" i="213"/>
  <c r="R62" i="213" s="1"/>
  <c r="H94" i="213"/>
  <c r="O94" i="213" s="1"/>
  <c r="L30" i="213"/>
  <c r="F30" i="213"/>
  <c r="Q30" i="213" s="1"/>
  <c r="K30" i="213"/>
  <c r="O30" i="213"/>
  <c r="H30" i="213"/>
  <c r="J30" i="213"/>
  <c r="N30" i="213"/>
  <c r="I30" i="213"/>
  <c r="G30" i="213"/>
  <c r="P30" i="213"/>
  <c r="M30" i="213"/>
  <c r="M73" i="213"/>
  <c r="G73" i="213"/>
  <c r="L73" i="213"/>
  <c r="F73" i="213"/>
  <c r="N73" i="213"/>
  <c r="K73" i="213"/>
  <c r="J73" i="213"/>
  <c r="I73" i="213"/>
  <c r="H73" i="213"/>
  <c r="J66" i="213"/>
  <c r="I66" i="213"/>
  <c r="K66" i="213"/>
  <c r="H66" i="213"/>
  <c r="G66" i="213"/>
  <c r="F66" i="213"/>
  <c r="R66" i="213" s="1"/>
  <c r="N66" i="213"/>
  <c r="O66" i="213" s="1"/>
  <c r="M66" i="213"/>
  <c r="L66" i="213"/>
  <c r="J52" i="213"/>
  <c r="I52" i="213"/>
  <c r="O52" i="213" s="1"/>
  <c r="M52" i="213"/>
  <c r="N52" i="213"/>
  <c r="H52" i="213"/>
  <c r="F52" i="213"/>
  <c r="R52" i="213" s="1"/>
  <c r="K52" i="213"/>
  <c r="L52" i="213"/>
  <c r="G52" i="213"/>
  <c r="F89" i="213"/>
  <c r="L89" i="213" s="1"/>
  <c r="R89" i="213" s="1"/>
  <c r="J53" i="213"/>
  <c r="I53" i="213"/>
  <c r="K53" i="213"/>
  <c r="M53" i="213"/>
  <c r="L53" i="213"/>
  <c r="G53" i="213"/>
  <c r="H53" i="213"/>
  <c r="F53" i="213"/>
  <c r="O53" i="213" s="1"/>
  <c r="N53" i="213"/>
  <c r="L33" i="213"/>
  <c r="K33" i="213"/>
  <c r="O33" i="213"/>
  <c r="G33" i="213"/>
  <c r="P33" i="213"/>
  <c r="F33" i="213"/>
  <c r="J33" i="213"/>
  <c r="Q33" i="213" s="1"/>
  <c r="N33" i="213"/>
  <c r="M33" i="213"/>
  <c r="I33" i="213"/>
  <c r="H33" i="213"/>
  <c r="N13" i="213"/>
  <c r="H13" i="213"/>
  <c r="K13" i="213"/>
  <c r="M13" i="213"/>
  <c r="G13" i="213"/>
  <c r="L13" i="213"/>
  <c r="J13" i="213"/>
  <c r="P13" i="213"/>
  <c r="I13" i="213"/>
  <c r="O13" i="213"/>
  <c r="F13" i="213"/>
  <c r="Q13" i="213" s="1"/>
  <c r="D109" i="213"/>
  <c r="K8" i="213"/>
  <c r="N8" i="213"/>
  <c r="H8" i="213"/>
  <c r="R8" i="213" s="1"/>
  <c r="P8" i="213"/>
  <c r="G8" i="213"/>
  <c r="O8" i="213"/>
  <c r="F8" i="213"/>
  <c r="Q8" i="213" s="1"/>
  <c r="M8" i="213"/>
  <c r="J8" i="213"/>
  <c r="L8" i="213"/>
  <c r="I8" i="213"/>
  <c r="J65" i="213"/>
  <c r="I65" i="213"/>
  <c r="M65" i="213"/>
  <c r="K65" i="213"/>
  <c r="H65" i="213"/>
  <c r="G65" i="213"/>
  <c r="F65" i="213"/>
  <c r="N65" i="213"/>
  <c r="L65" i="213"/>
  <c r="L44" i="213"/>
  <c r="L45" i="213" s="1"/>
  <c r="R44" i="213"/>
  <c r="H77" i="213"/>
  <c r="N77" i="213" s="1"/>
  <c r="D37" i="213"/>
  <c r="N26" i="213"/>
  <c r="F26" i="213"/>
  <c r="I26" i="213"/>
  <c r="M26" i="213"/>
  <c r="K26" i="213"/>
  <c r="K37" i="213" s="1"/>
  <c r="J26" i="213"/>
  <c r="H26" i="213"/>
  <c r="P26" i="213"/>
  <c r="O26" i="213"/>
  <c r="Q57" i="213"/>
  <c r="R57" i="213" s="1"/>
  <c r="R16" i="213"/>
  <c r="P28" i="213"/>
  <c r="J28" i="213"/>
  <c r="K28" i="213"/>
  <c r="N28" i="213"/>
  <c r="G28" i="213"/>
  <c r="F28" i="213"/>
  <c r="Q28" i="213" s="1"/>
  <c r="I28" i="213"/>
  <c r="R28" i="213" s="1"/>
  <c r="O28" i="213"/>
  <c r="M28" i="213"/>
  <c r="L28" i="213"/>
  <c r="H28" i="213"/>
  <c r="M72" i="213"/>
  <c r="M76" i="213" s="1"/>
  <c r="G72" i="213"/>
  <c r="L72" i="213"/>
  <c r="L76" i="213" s="1"/>
  <c r="F72" i="213"/>
  <c r="H72" i="213"/>
  <c r="N72" i="213"/>
  <c r="N76" i="213" s="1"/>
  <c r="K72" i="213"/>
  <c r="J72" i="213"/>
  <c r="J76" i="213" s="1"/>
  <c r="I72" i="213"/>
  <c r="F43" i="213"/>
  <c r="F45" i="213" s="1"/>
  <c r="R43" i="213"/>
  <c r="F11" i="213"/>
  <c r="R11" i="213" s="1"/>
  <c r="K46" i="213"/>
  <c r="K47" i="213" s="1"/>
  <c r="F46" i="213"/>
  <c r="F47" i="213" s="1"/>
  <c r="D47" i="213"/>
  <c r="N46" i="213"/>
  <c r="N47" i="213" s="1"/>
  <c r="R80" i="213"/>
  <c r="F80" i="213"/>
  <c r="L56" i="213"/>
  <c r="F56" i="213"/>
  <c r="Q56" i="213" s="1"/>
  <c r="K56" i="213"/>
  <c r="O56" i="213"/>
  <c r="G56" i="213"/>
  <c r="P56" i="213"/>
  <c r="N56" i="213"/>
  <c r="J56" i="213"/>
  <c r="M56" i="213"/>
  <c r="I56" i="213"/>
  <c r="H56" i="213"/>
  <c r="D83" i="213"/>
  <c r="R79" i="213"/>
  <c r="F79" i="213"/>
  <c r="Q90" i="213"/>
  <c r="L90" i="213" s="1"/>
  <c r="R90" i="213" s="1"/>
  <c r="N17" i="213"/>
  <c r="H17" i="213"/>
  <c r="Q17" i="213" s="1"/>
  <c r="K17" i="213"/>
  <c r="O17" i="213"/>
  <c r="G17" i="213"/>
  <c r="J17" i="213"/>
  <c r="M17" i="213"/>
  <c r="I17" i="213"/>
  <c r="F17" i="213"/>
  <c r="R17" i="213" s="1"/>
  <c r="P17" i="213"/>
  <c r="L17" i="213"/>
  <c r="N5" i="213"/>
  <c r="H5" i="213"/>
  <c r="O5" i="213"/>
  <c r="G5" i="213"/>
  <c r="M5" i="213"/>
  <c r="F5" i="213"/>
  <c r="Q5" i="213" s="1"/>
  <c r="L5" i="213"/>
  <c r="J5" i="213"/>
  <c r="K5" i="213"/>
  <c r="P5" i="213"/>
  <c r="I5" i="213"/>
  <c r="N32" i="213"/>
  <c r="H32" i="213"/>
  <c r="L32" i="213"/>
  <c r="P32" i="213"/>
  <c r="I32" i="213"/>
  <c r="O32" i="213"/>
  <c r="G32" i="213"/>
  <c r="M32" i="213"/>
  <c r="K32" i="213"/>
  <c r="J32" i="213"/>
  <c r="Q32" i="213"/>
  <c r="F32" i="213"/>
  <c r="R32" i="213" s="1"/>
  <c r="M10" i="213"/>
  <c r="G10" i="213"/>
  <c r="P10" i="213"/>
  <c r="J10" i="213"/>
  <c r="O10" i="213"/>
  <c r="F10" i="213"/>
  <c r="R10" i="213" s="1"/>
  <c r="N10" i="213"/>
  <c r="L10" i="213"/>
  <c r="I10" i="213"/>
  <c r="Q10" i="213" s="1"/>
  <c r="K10" i="213"/>
  <c r="H10" i="213"/>
  <c r="D87" i="213"/>
  <c r="M74" i="213"/>
  <c r="G74" i="213"/>
  <c r="O74" i="213" s="1"/>
  <c r="L74" i="213"/>
  <c r="F74" i="213"/>
  <c r="R74" i="213" s="1"/>
  <c r="J74" i="213"/>
  <c r="K74" i="213"/>
  <c r="I74" i="213"/>
  <c r="H74" i="213"/>
  <c r="N74" i="213"/>
  <c r="N58" i="213"/>
  <c r="H58" i="213"/>
  <c r="M58" i="213"/>
  <c r="G58" i="213"/>
  <c r="O58" i="213"/>
  <c r="J58" i="213"/>
  <c r="I58" i="213"/>
  <c r="Q58" i="213"/>
  <c r="P58" i="213"/>
  <c r="F58" i="213"/>
  <c r="R58" i="213" s="1"/>
  <c r="L58" i="213"/>
  <c r="K58" i="213"/>
  <c r="F24" i="213"/>
  <c r="L24" i="213" s="1"/>
  <c r="R24" i="213" s="1"/>
  <c r="L88" i="213"/>
  <c r="J64" i="213"/>
  <c r="I64" i="213"/>
  <c r="G64" i="213"/>
  <c r="L64" i="213"/>
  <c r="K64" i="213"/>
  <c r="H64" i="213"/>
  <c r="F64" i="213"/>
  <c r="N64" i="213"/>
  <c r="M64" i="213"/>
  <c r="O6" i="213"/>
  <c r="I6" i="213"/>
  <c r="L6" i="213"/>
  <c r="F6" i="213"/>
  <c r="Q6" i="213" s="1"/>
  <c r="H6" i="213"/>
  <c r="P6" i="213"/>
  <c r="G6" i="213"/>
  <c r="N6" i="213"/>
  <c r="K6" i="213"/>
  <c r="M6" i="213"/>
  <c r="J6" i="213"/>
  <c r="M61" i="213"/>
  <c r="G61" i="213"/>
  <c r="L61" i="213"/>
  <c r="F61" i="213"/>
  <c r="J61" i="213"/>
  <c r="K61" i="213"/>
  <c r="I61" i="213"/>
  <c r="H61" i="213"/>
  <c r="P61" i="213"/>
  <c r="O61" i="213"/>
  <c r="N61" i="213"/>
  <c r="H67" i="213"/>
  <c r="R67" i="213" s="1"/>
  <c r="P31" i="213"/>
  <c r="J31" i="213"/>
  <c r="L31" i="213"/>
  <c r="O31" i="213"/>
  <c r="H31" i="213"/>
  <c r="G31" i="213"/>
  <c r="Q31" i="213" s="1"/>
  <c r="K31" i="213"/>
  <c r="F31" i="213"/>
  <c r="N31" i="213"/>
  <c r="M31" i="213"/>
  <c r="I31" i="213"/>
  <c r="J49" i="213"/>
  <c r="D70" i="213"/>
  <c r="I49" i="213"/>
  <c r="M49" i="213"/>
  <c r="M70" i="213" s="1"/>
  <c r="G49" i="213"/>
  <c r="L49" i="213"/>
  <c r="H49" i="213"/>
  <c r="F49" i="213"/>
  <c r="N49" i="213"/>
  <c r="K49" i="213"/>
  <c r="K70" i="213" s="1"/>
  <c r="L59" i="213"/>
  <c r="F59" i="213"/>
  <c r="R59" i="213" s="1"/>
  <c r="K59" i="213"/>
  <c r="I59" i="213"/>
  <c r="P59" i="213"/>
  <c r="G59" i="213"/>
  <c r="Q59" i="213" s="1"/>
  <c r="O59" i="213"/>
  <c r="N59" i="213"/>
  <c r="M59" i="213"/>
  <c r="J59" i="213"/>
  <c r="H59" i="213"/>
  <c r="R81" i="213"/>
  <c r="F81" i="213"/>
  <c r="F63" i="213"/>
  <c r="R63" i="213" s="1"/>
  <c r="P14" i="213"/>
  <c r="J14" i="213"/>
  <c r="N14" i="213"/>
  <c r="G14" i="213"/>
  <c r="K14" i="213"/>
  <c r="I14" i="213"/>
  <c r="M14" i="213"/>
  <c r="H14" i="213"/>
  <c r="F14" i="213"/>
  <c r="Q14" i="213" s="1"/>
  <c r="O14" i="213"/>
  <c r="L14" i="213"/>
  <c r="P70" i="213"/>
  <c r="P78" i="213" s="1"/>
  <c r="R74" i="212"/>
  <c r="J53" i="212"/>
  <c r="M53" i="212"/>
  <c r="F53" i="212"/>
  <c r="R53" i="212" s="1"/>
  <c r="K53" i="212"/>
  <c r="G53" i="212"/>
  <c r="N53" i="212"/>
  <c r="H53" i="212"/>
  <c r="O53" i="212" s="1"/>
  <c r="L53" i="212"/>
  <c r="I53" i="212"/>
  <c r="J12" i="212"/>
  <c r="I12" i="212"/>
  <c r="H12" i="212"/>
  <c r="N12" i="212"/>
  <c r="G12" i="212"/>
  <c r="M12" i="212"/>
  <c r="F12" i="212"/>
  <c r="K12" i="212"/>
  <c r="O12" i="212" s="1"/>
  <c r="L12" i="212"/>
  <c r="K3" i="212"/>
  <c r="P3" i="212"/>
  <c r="I3" i="212"/>
  <c r="O3" i="212"/>
  <c r="H3" i="212"/>
  <c r="N3" i="212"/>
  <c r="G3" i="212"/>
  <c r="M3" i="212"/>
  <c r="F3" i="212"/>
  <c r="J3" i="212"/>
  <c r="L3" i="212"/>
  <c r="D25" i="212"/>
  <c r="J65" i="212"/>
  <c r="K65" i="212"/>
  <c r="H65" i="212"/>
  <c r="M65" i="212"/>
  <c r="N65" i="212"/>
  <c r="L65" i="212"/>
  <c r="F65" i="212"/>
  <c r="O65" i="212" s="1"/>
  <c r="I65" i="212"/>
  <c r="G65" i="212"/>
  <c r="K30" i="212"/>
  <c r="J30" i="212"/>
  <c r="N30" i="212"/>
  <c r="R30" i="212" s="1"/>
  <c r="G30" i="212"/>
  <c r="H30" i="212"/>
  <c r="L30" i="212"/>
  <c r="P30" i="212"/>
  <c r="F30" i="212"/>
  <c r="Q30" i="212" s="1"/>
  <c r="O30" i="212"/>
  <c r="M30" i="212"/>
  <c r="I30" i="212"/>
  <c r="Q90" i="212"/>
  <c r="L90" i="212"/>
  <c r="R90" i="212" s="1"/>
  <c r="F89" i="212"/>
  <c r="F24" i="212"/>
  <c r="L24" i="212" s="1"/>
  <c r="F43" i="212"/>
  <c r="F45" i="212" s="1"/>
  <c r="K16" i="212"/>
  <c r="N16" i="212"/>
  <c r="H16" i="212"/>
  <c r="I16" i="212"/>
  <c r="P16" i="212"/>
  <c r="G16" i="212"/>
  <c r="O16" i="212"/>
  <c r="F16" i="212"/>
  <c r="M16" i="212"/>
  <c r="L16" i="212"/>
  <c r="J16" i="212"/>
  <c r="O28" i="212"/>
  <c r="I28" i="212"/>
  <c r="J28" i="212"/>
  <c r="R28" i="212" s="1"/>
  <c r="M28" i="212"/>
  <c r="F28" i="212"/>
  <c r="N28" i="212"/>
  <c r="G28" i="212"/>
  <c r="L28" i="212"/>
  <c r="Q28" i="212" s="1"/>
  <c r="K28" i="212"/>
  <c r="H28" i="212"/>
  <c r="P28" i="212"/>
  <c r="O74" i="212"/>
  <c r="M29" i="212"/>
  <c r="G29" i="212"/>
  <c r="J29" i="212"/>
  <c r="N29" i="212"/>
  <c r="F29" i="212"/>
  <c r="Q29" i="212" s="1"/>
  <c r="K29" i="212"/>
  <c r="I29" i="212"/>
  <c r="H29" i="212"/>
  <c r="P29" i="212"/>
  <c r="O29" i="212"/>
  <c r="L29" i="212"/>
  <c r="M26" i="212"/>
  <c r="P26" i="212"/>
  <c r="H26" i="212"/>
  <c r="K26" i="212"/>
  <c r="I26" i="212"/>
  <c r="F26" i="212"/>
  <c r="Q26" i="212" s="1"/>
  <c r="O26" i="212"/>
  <c r="D37" i="212"/>
  <c r="N26" i="212"/>
  <c r="J26" i="212"/>
  <c r="R82" i="212"/>
  <c r="F82" i="212"/>
  <c r="P54" i="212"/>
  <c r="J54" i="212"/>
  <c r="O54" i="212"/>
  <c r="H54" i="212"/>
  <c r="Q54" i="212" s="1"/>
  <c r="G54" i="212"/>
  <c r="L54" i="212"/>
  <c r="N54" i="212"/>
  <c r="M54" i="212"/>
  <c r="I54" i="212"/>
  <c r="K54" i="212"/>
  <c r="F54" i="212"/>
  <c r="K6" i="212"/>
  <c r="J6" i="212"/>
  <c r="P6" i="212"/>
  <c r="I6" i="212"/>
  <c r="O6" i="212"/>
  <c r="H6" i="212"/>
  <c r="N6" i="212"/>
  <c r="G6" i="212"/>
  <c r="L6" i="212"/>
  <c r="M6" i="212"/>
  <c r="F6" i="212"/>
  <c r="Q6" i="212" s="1"/>
  <c r="M72" i="212"/>
  <c r="G72" i="212"/>
  <c r="G76" i="212" s="1"/>
  <c r="J72" i="212"/>
  <c r="I72" i="212"/>
  <c r="N72" i="212"/>
  <c r="L72" i="212"/>
  <c r="F72" i="212"/>
  <c r="K72" i="212"/>
  <c r="H72" i="212"/>
  <c r="L56" i="212"/>
  <c r="F56" i="212"/>
  <c r="P56" i="212"/>
  <c r="I56" i="212"/>
  <c r="N56" i="212"/>
  <c r="J56" i="212"/>
  <c r="O56" i="212"/>
  <c r="M56" i="212"/>
  <c r="G56" i="212"/>
  <c r="K56" i="212"/>
  <c r="H56" i="212"/>
  <c r="L33" i="212"/>
  <c r="K33" i="212"/>
  <c r="M33" i="212"/>
  <c r="P33" i="212"/>
  <c r="H33" i="212"/>
  <c r="I33" i="212"/>
  <c r="G33" i="212"/>
  <c r="Q33" i="212" s="1"/>
  <c r="F33" i="212"/>
  <c r="R33" i="212" s="1"/>
  <c r="N33" i="212"/>
  <c r="O33" i="212"/>
  <c r="J33" i="212"/>
  <c r="Q4" i="212"/>
  <c r="R4" i="212" s="1"/>
  <c r="O17" i="212"/>
  <c r="I17" i="212"/>
  <c r="L17" i="212"/>
  <c r="F17" i="212"/>
  <c r="M17" i="212"/>
  <c r="K17" i="212"/>
  <c r="J17" i="212"/>
  <c r="H17" i="212"/>
  <c r="P17" i="212"/>
  <c r="N17" i="212"/>
  <c r="G17" i="212"/>
  <c r="M5" i="212"/>
  <c r="G5" i="212"/>
  <c r="J5" i="212"/>
  <c r="P5" i="212"/>
  <c r="I5" i="212"/>
  <c r="O5" i="212"/>
  <c r="H5" i="212"/>
  <c r="N5" i="212"/>
  <c r="F5" i="212"/>
  <c r="K5" i="212"/>
  <c r="L5" i="212"/>
  <c r="L59" i="212"/>
  <c r="F59" i="212"/>
  <c r="J59" i="212"/>
  <c r="O59" i="212"/>
  <c r="G59" i="212"/>
  <c r="K59" i="212"/>
  <c r="M59" i="212"/>
  <c r="I59" i="212"/>
  <c r="Q59" i="212" s="1"/>
  <c r="H59" i="212"/>
  <c r="P59" i="212"/>
  <c r="N59" i="212"/>
  <c r="D76" i="212"/>
  <c r="D109" i="212" s="1"/>
  <c r="F71" i="212"/>
  <c r="R71" i="212"/>
  <c r="D87" i="212"/>
  <c r="F88" i="212"/>
  <c r="R88" i="212" s="1"/>
  <c r="L88" i="212"/>
  <c r="J66" i="212"/>
  <c r="M66" i="212"/>
  <c r="F66" i="212"/>
  <c r="N66" i="212"/>
  <c r="I66" i="212"/>
  <c r="L66" i="212"/>
  <c r="K66" i="212"/>
  <c r="H66" i="212"/>
  <c r="G66" i="212"/>
  <c r="I62" i="212"/>
  <c r="N62" i="212"/>
  <c r="R62" i="212" s="1"/>
  <c r="N55" i="212"/>
  <c r="H55" i="212"/>
  <c r="P55" i="212"/>
  <c r="I55" i="212"/>
  <c r="R55" i="212" s="1"/>
  <c r="K55" i="212"/>
  <c r="O55" i="212"/>
  <c r="F55" i="212"/>
  <c r="Q55" i="212" s="1"/>
  <c r="G55" i="212"/>
  <c r="M55" i="212"/>
  <c r="L55" i="212"/>
  <c r="J55" i="212"/>
  <c r="M32" i="212"/>
  <c r="G32" i="212"/>
  <c r="K32" i="212"/>
  <c r="O32" i="212"/>
  <c r="H32" i="212"/>
  <c r="L32" i="212"/>
  <c r="P32" i="212"/>
  <c r="J32" i="212"/>
  <c r="R32" i="212" s="1"/>
  <c r="I32" i="212"/>
  <c r="Q32" i="212"/>
  <c r="F32" i="212"/>
  <c r="N32" i="212"/>
  <c r="J49" i="212"/>
  <c r="D70" i="212"/>
  <c r="K49" i="212"/>
  <c r="K70" i="212" s="1"/>
  <c r="G49" i="212"/>
  <c r="L49" i="212"/>
  <c r="M49" i="212"/>
  <c r="I49" i="212"/>
  <c r="H49" i="212"/>
  <c r="F49" i="212"/>
  <c r="N49" i="212"/>
  <c r="M75" i="212"/>
  <c r="G75" i="212"/>
  <c r="J75" i="212"/>
  <c r="H75" i="212"/>
  <c r="L75" i="212"/>
  <c r="I75" i="212"/>
  <c r="N75" i="212"/>
  <c r="K75" i="212"/>
  <c r="F75" i="212"/>
  <c r="O75" i="212" s="1"/>
  <c r="D92" i="212"/>
  <c r="L69" i="212"/>
  <c r="F69" i="212"/>
  <c r="R69" i="212" s="1"/>
  <c r="L44" i="212"/>
  <c r="L45" i="212" s="1"/>
  <c r="H77" i="212"/>
  <c r="R77" i="212" s="1"/>
  <c r="N77" i="212"/>
  <c r="F15" i="212"/>
  <c r="R15" i="212"/>
  <c r="L15" i="212"/>
  <c r="O7" i="212"/>
  <c r="I7" i="212"/>
  <c r="K7" i="212"/>
  <c r="J7" i="212"/>
  <c r="P7" i="212"/>
  <c r="H7" i="212"/>
  <c r="N7" i="212"/>
  <c r="G7" i="212"/>
  <c r="M7" i="212"/>
  <c r="Q7" i="212" s="1"/>
  <c r="L7" i="212"/>
  <c r="F7" i="212"/>
  <c r="J52" i="212"/>
  <c r="K52" i="212"/>
  <c r="N52" i="212"/>
  <c r="F52" i="212"/>
  <c r="I52" i="212"/>
  <c r="G52" i="212"/>
  <c r="M52" i="212"/>
  <c r="L52" i="212"/>
  <c r="H52" i="212"/>
  <c r="N58" i="212"/>
  <c r="H58" i="212"/>
  <c r="J58" i="212"/>
  <c r="L58" i="212"/>
  <c r="P58" i="212"/>
  <c r="G58" i="212"/>
  <c r="M58" i="212"/>
  <c r="K58" i="212"/>
  <c r="I58" i="212"/>
  <c r="Q58" i="212" s="1"/>
  <c r="F58" i="212"/>
  <c r="O58" i="212"/>
  <c r="M61" i="212"/>
  <c r="G61" i="212"/>
  <c r="Q61" i="212" s="1"/>
  <c r="O61" i="212"/>
  <c r="H61" i="212"/>
  <c r="R61" i="212" s="1"/>
  <c r="P61" i="212"/>
  <c r="F61" i="212"/>
  <c r="K61" i="212"/>
  <c r="I61" i="212"/>
  <c r="L61" i="212"/>
  <c r="N61" i="212"/>
  <c r="J61" i="212"/>
  <c r="M13" i="212"/>
  <c r="G13" i="212"/>
  <c r="P13" i="212"/>
  <c r="J13" i="212"/>
  <c r="N13" i="212"/>
  <c r="L13" i="212"/>
  <c r="K13" i="212"/>
  <c r="I13" i="212"/>
  <c r="O13" i="212"/>
  <c r="H13" i="212"/>
  <c r="F13" i="212"/>
  <c r="Q13" i="212" s="1"/>
  <c r="J51" i="212"/>
  <c r="H51" i="212"/>
  <c r="I51" i="212"/>
  <c r="M51" i="212"/>
  <c r="N51" i="212"/>
  <c r="L51" i="212"/>
  <c r="K51" i="212"/>
  <c r="G51" i="212"/>
  <c r="F51" i="212"/>
  <c r="O51" i="212" s="1"/>
  <c r="D93" i="212"/>
  <c r="R68" i="212"/>
  <c r="F68" i="212"/>
  <c r="D83" i="212"/>
  <c r="R79" i="212"/>
  <c r="F79" i="212"/>
  <c r="O10" i="212"/>
  <c r="I10" i="212"/>
  <c r="L10" i="212"/>
  <c r="K10" i="212"/>
  <c r="J10" i="212"/>
  <c r="P10" i="212"/>
  <c r="H10" i="212"/>
  <c r="F10" i="212"/>
  <c r="N10" i="212"/>
  <c r="M10" i="212"/>
  <c r="G10" i="212"/>
  <c r="K9" i="212"/>
  <c r="L9" i="212"/>
  <c r="J9" i="212"/>
  <c r="P9" i="212"/>
  <c r="I9" i="212"/>
  <c r="O9" i="212"/>
  <c r="H9" i="212"/>
  <c r="N9" i="212"/>
  <c r="M9" i="212"/>
  <c r="G9" i="212"/>
  <c r="R9" i="212" s="1"/>
  <c r="F9" i="212"/>
  <c r="Q9" i="212" s="1"/>
  <c r="F36" i="212"/>
  <c r="L36" i="212" s="1"/>
  <c r="H94" i="212"/>
  <c r="O94" i="212"/>
  <c r="R94" i="212" s="1"/>
  <c r="F60" i="212"/>
  <c r="R60" i="212"/>
  <c r="R11" i="212"/>
  <c r="F11" i="212"/>
  <c r="I42" i="212"/>
  <c r="I45" i="212" s="1"/>
  <c r="D45" i="212"/>
  <c r="H67" i="212"/>
  <c r="R67" i="212"/>
  <c r="K46" i="212"/>
  <c r="K47" i="212" s="1"/>
  <c r="R46" i="212"/>
  <c r="N46" i="212"/>
  <c r="N47" i="212" s="1"/>
  <c r="F46" i="212"/>
  <c r="F47" i="212" s="1"/>
  <c r="D47" i="212"/>
  <c r="J64" i="212"/>
  <c r="H64" i="212"/>
  <c r="L64" i="212"/>
  <c r="G64" i="212"/>
  <c r="M64" i="212"/>
  <c r="K64" i="212"/>
  <c r="I64" i="212"/>
  <c r="F64" i="212"/>
  <c r="N64" i="212"/>
  <c r="J50" i="212"/>
  <c r="M50" i="212"/>
  <c r="F50" i="212"/>
  <c r="O50" i="212" s="1"/>
  <c r="L50" i="212"/>
  <c r="H50" i="212"/>
  <c r="N50" i="212"/>
  <c r="K50" i="212"/>
  <c r="I50" i="212"/>
  <c r="G50" i="212"/>
  <c r="F80" i="212"/>
  <c r="R80" i="212" s="1"/>
  <c r="O31" i="212"/>
  <c r="I31" i="212"/>
  <c r="K31" i="212"/>
  <c r="N31" i="212"/>
  <c r="G31" i="212"/>
  <c r="P31" i="212"/>
  <c r="M31" i="212"/>
  <c r="L31" i="212"/>
  <c r="Q31" i="212" s="1"/>
  <c r="H31" i="212"/>
  <c r="J31" i="212"/>
  <c r="F31" i="212"/>
  <c r="P57" i="212"/>
  <c r="J57" i="212"/>
  <c r="I57" i="212"/>
  <c r="H57" i="212"/>
  <c r="M57" i="212"/>
  <c r="N57" i="212"/>
  <c r="F57" i="212"/>
  <c r="Q57" i="212" s="1"/>
  <c r="L57" i="212"/>
  <c r="K57" i="212"/>
  <c r="G57" i="212"/>
  <c r="O57" i="212"/>
  <c r="Q14" i="212"/>
  <c r="K14" i="212"/>
  <c r="N14" i="212"/>
  <c r="H14" i="212"/>
  <c r="I14" i="212"/>
  <c r="P14" i="212"/>
  <c r="G14" i="212"/>
  <c r="O14" i="212"/>
  <c r="F14" i="212"/>
  <c r="M14" i="212"/>
  <c r="J14" i="212"/>
  <c r="L14" i="212"/>
  <c r="R14" i="212" s="1"/>
  <c r="K27" i="212"/>
  <c r="P27" i="212"/>
  <c r="I27" i="212"/>
  <c r="M27" i="212"/>
  <c r="F27" i="212"/>
  <c r="Q27" i="212" s="1"/>
  <c r="G27" i="212"/>
  <c r="O27" i="212"/>
  <c r="N27" i="212"/>
  <c r="L27" i="212"/>
  <c r="J27" i="212"/>
  <c r="H27" i="212"/>
  <c r="M73" i="212"/>
  <c r="G73" i="212"/>
  <c r="L73" i="212"/>
  <c r="F73" i="212"/>
  <c r="J73" i="212"/>
  <c r="N73" i="212"/>
  <c r="K73" i="212"/>
  <c r="I73" i="212"/>
  <c r="H73" i="212"/>
  <c r="F81" i="212"/>
  <c r="R81" i="212" s="1"/>
  <c r="R13" i="211"/>
  <c r="R66" i="211"/>
  <c r="R6" i="211"/>
  <c r="R51" i="211"/>
  <c r="N25" i="211"/>
  <c r="O10" i="211"/>
  <c r="I10" i="211"/>
  <c r="G10" i="211"/>
  <c r="N10" i="211"/>
  <c r="H10" i="211"/>
  <c r="M10" i="211"/>
  <c r="L10" i="211"/>
  <c r="F10" i="211"/>
  <c r="P10" i="211"/>
  <c r="K10" i="211"/>
  <c r="J10" i="211"/>
  <c r="Q10" i="211" s="1"/>
  <c r="F36" i="211"/>
  <c r="L36" i="211" s="1"/>
  <c r="R16" i="211"/>
  <c r="R74" i="211"/>
  <c r="R73" i="211"/>
  <c r="M72" i="211"/>
  <c r="G72" i="211"/>
  <c r="G76" i="211" s="1"/>
  <c r="L72" i="211"/>
  <c r="L76" i="211" s="1"/>
  <c r="F72" i="211"/>
  <c r="H72" i="211"/>
  <c r="N72" i="211"/>
  <c r="K72" i="211"/>
  <c r="K76" i="211" s="1"/>
  <c r="J72" i="211"/>
  <c r="J76" i="211" s="1"/>
  <c r="I72" i="211"/>
  <c r="K30" i="211"/>
  <c r="P30" i="211"/>
  <c r="J30" i="211"/>
  <c r="O30" i="211"/>
  <c r="G30" i="211"/>
  <c r="N30" i="211"/>
  <c r="F30" i="211"/>
  <c r="M30" i="211"/>
  <c r="L30" i="211"/>
  <c r="I30" i="211"/>
  <c r="H30" i="211"/>
  <c r="Q30" i="211" s="1"/>
  <c r="J65" i="211"/>
  <c r="I65" i="211"/>
  <c r="M65" i="211"/>
  <c r="L65" i="211"/>
  <c r="N65" i="211"/>
  <c r="K65" i="211"/>
  <c r="H65" i="211"/>
  <c r="O65" i="211" s="1"/>
  <c r="G65" i="211"/>
  <c r="R65" i="211" s="1"/>
  <c r="F65" i="211"/>
  <c r="L44" i="211"/>
  <c r="L45" i="211" s="1"/>
  <c r="N77" i="211"/>
  <c r="H77" i="211"/>
  <c r="R77" i="211" s="1"/>
  <c r="N55" i="211"/>
  <c r="H55" i="211"/>
  <c r="M55" i="211"/>
  <c r="G55" i="211"/>
  <c r="K55" i="211"/>
  <c r="J55" i="211"/>
  <c r="O55" i="211"/>
  <c r="L55" i="211"/>
  <c r="I55" i="211"/>
  <c r="F55" i="211"/>
  <c r="P55" i="211"/>
  <c r="Q16" i="211"/>
  <c r="Q6" i="211"/>
  <c r="N58" i="211"/>
  <c r="H58" i="211"/>
  <c r="R58" i="211" s="1"/>
  <c r="M58" i="211"/>
  <c r="G58" i="211"/>
  <c r="O58" i="211"/>
  <c r="L58" i="211"/>
  <c r="K58" i="211"/>
  <c r="J58" i="211"/>
  <c r="I58" i="211"/>
  <c r="F58" i="211"/>
  <c r="P58" i="211"/>
  <c r="Q58" i="211"/>
  <c r="R43" i="211"/>
  <c r="F43" i="211"/>
  <c r="F45" i="211" s="1"/>
  <c r="K27" i="211"/>
  <c r="P27" i="211"/>
  <c r="J27" i="211"/>
  <c r="M27" i="211"/>
  <c r="L27" i="211"/>
  <c r="I27" i="211"/>
  <c r="H27" i="211"/>
  <c r="N27" i="211"/>
  <c r="F27" i="211"/>
  <c r="Q27" i="211" s="1"/>
  <c r="O27" i="211"/>
  <c r="G27" i="211"/>
  <c r="I62" i="211"/>
  <c r="N62" i="211"/>
  <c r="R62" i="211" s="1"/>
  <c r="O14" i="211"/>
  <c r="I14" i="211"/>
  <c r="J14" i="211"/>
  <c r="P14" i="211"/>
  <c r="H14" i="211"/>
  <c r="Q14" i="211" s="1"/>
  <c r="R14" i="211" s="1"/>
  <c r="N14" i="211"/>
  <c r="G14" i="211"/>
  <c r="M14" i="211"/>
  <c r="F14" i="211"/>
  <c r="L14" i="211"/>
  <c r="K14" i="211"/>
  <c r="O66" i="211"/>
  <c r="Q28" i="211"/>
  <c r="R28" i="211" s="1"/>
  <c r="D78" i="211"/>
  <c r="M75" i="211"/>
  <c r="G75" i="211"/>
  <c r="L75" i="211"/>
  <c r="F75" i="211"/>
  <c r="F76" i="211" s="1"/>
  <c r="H75" i="211"/>
  <c r="J75" i="211"/>
  <c r="I75" i="211"/>
  <c r="K75" i="211"/>
  <c r="N75" i="211"/>
  <c r="K46" i="211"/>
  <c r="K47" i="211" s="1"/>
  <c r="F46" i="211"/>
  <c r="F47" i="211" s="1"/>
  <c r="D47" i="211"/>
  <c r="N46" i="211"/>
  <c r="N47" i="211" s="1"/>
  <c r="R80" i="211"/>
  <c r="F80" i="211"/>
  <c r="L56" i="211"/>
  <c r="F56" i="211"/>
  <c r="K56" i="211"/>
  <c r="O56" i="211"/>
  <c r="G56" i="211"/>
  <c r="N56" i="211"/>
  <c r="M56" i="211"/>
  <c r="J56" i="211"/>
  <c r="I56" i="211"/>
  <c r="Q56" i="211" s="1"/>
  <c r="H56" i="211"/>
  <c r="P56" i="211"/>
  <c r="D83" i="211"/>
  <c r="F79" i="211"/>
  <c r="F83" i="211" s="1"/>
  <c r="R69" i="211"/>
  <c r="L69" i="211"/>
  <c r="F69" i="211"/>
  <c r="P54" i="211"/>
  <c r="J54" i="211"/>
  <c r="O54" i="211"/>
  <c r="I54" i="211"/>
  <c r="Q54" i="211" s="1"/>
  <c r="G54" i="211"/>
  <c r="N54" i="211"/>
  <c r="F54" i="211"/>
  <c r="M54" i="211"/>
  <c r="L54" i="211"/>
  <c r="K54" i="211"/>
  <c r="H54" i="211"/>
  <c r="D37" i="211"/>
  <c r="M26" i="211"/>
  <c r="M37" i="211" s="1"/>
  <c r="K26" i="211"/>
  <c r="H26" i="211"/>
  <c r="P26" i="211"/>
  <c r="F26" i="211"/>
  <c r="Q26" i="211" s="1"/>
  <c r="O26" i="211"/>
  <c r="N26" i="211"/>
  <c r="J26" i="211"/>
  <c r="I26" i="211"/>
  <c r="F60" i="211"/>
  <c r="R60" i="211" s="1"/>
  <c r="H94" i="211"/>
  <c r="O94" i="211" s="1"/>
  <c r="D109" i="211"/>
  <c r="Q32" i="211"/>
  <c r="R32" i="211" s="1"/>
  <c r="K25" i="211"/>
  <c r="N93" i="211"/>
  <c r="H93" i="211"/>
  <c r="M93" i="211"/>
  <c r="G93" i="211"/>
  <c r="K93" i="211"/>
  <c r="J93" i="211"/>
  <c r="F93" i="211"/>
  <c r="P93" i="211"/>
  <c r="O93" i="211"/>
  <c r="I93" i="211"/>
  <c r="L93" i="211"/>
  <c r="J49" i="211"/>
  <c r="D70" i="211"/>
  <c r="I49" i="211"/>
  <c r="M49" i="211"/>
  <c r="L49" i="211"/>
  <c r="G49" i="211"/>
  <c r="F49" i="211"/>
  <c r="N49" i="211"/>
  <c r="H49" i="211"/>
  <c r="K49" i="211"/>
  <c r="L59" i="211"/>
  <c r="F59" i="211"/>
  <c r="R59" i="211" s="1"/>
  <c r="K59" i="211"/>
  <c r="I59" i="211"/>
  <c r="P59" i="211"/>
  <c r="H59" i="211"/>
  <c r="M59" i="211"/>
  <c r="J59" i="211"/>
  <c r="G59" i="211"/>
  <c r="Q59" i="211" s="1"/>
  <c r="N59" i="211"/>
  <c r="O59" i="211"/>
  <c r="R81" i="211"/>
  <c r="F81" i="211"/>
  <c r="J53" i="211"/>
  <c r="I53" i="211"/>
  <c r="K53" i="211"/>
  <c r="H53" i="211"/>
  <c r="M53" i="211"/>
  <c r="L53" i="211"/>
  <c r="G53" i="211"/>
  <c r="O53" i="211" s="1"/>
  <c r="F53" i="211"/>
  <c r="N53" i="211"/>
  <c r="O31" i="211"/>
  <c r="I31" i="211"/>
  <c r="N31" i="211"/>
  <c r="H31" i="211"/>
  <c r="K31" i="211"/>
  <c r="J31" i="211"/>
  <c r="G31" i="211"/>
  <c r="Q31" i="211" s="1"/>
  <c r="P31" i="211"/>
  <c r="F31" i="211"/>
  <c r="L31" i="211"/>
  <c r="M31" i="211"/>
  <c r="O4" i="211"/>
  <c r="O25" i="211" s="1"/>
  <c r="I4" i="211"/>
  <c r="I25" i="211" s="1"/>
  <c r="N4" i="211"/>
  <c r="H4" i="211"/>
  <c r="M4" i="211"/>
  <c r="M25" i="211" s="1"/>
  <c r="M48" i="211" s="1"/>
  <c r="G4" i="211"/>
  <c r="G25" i="211" s="1"/>
  <c r="L4" i="211"/>
  <c r="F4" i="211"/>
  <c r="Q4" i="211" s="1"/>
  <c r="P4" i="211"/>
  <c r="P25" i="211" s="1"/>
  <c r="J4" i="211"/>
  <c r="J25" i="211" s="1"/>
  <c r="K4" i="211"/>
  <c r="R71" i="211"/>
  <c r="L33" i="211"/>
  <c r="K33" i="211"/>
  <c r="O33" i="211"/>
  <c r="G33" i="211"/>
  <c r="N33" i="211"/>
  <c r="F33" i="211"/>
  <c r="M33" i="211"/>
  <c r="J33" i="211"/>
  <c r="I33" i="211"/>
  <c r="H33" i="211"/>
  <c r="P33" i="211"/>
  <c r="F15" i="211"/>
  <c r="L15" i="211" s="1"/>
  <c r="Q17" i="211"/>
  <c r="R17" i="211" s="1"/>
  <c r="D86" i="211"/>
  <c r="F86" i="211" s="1"/>
  <c r="I42" i="211"/>
  <c r="I45" i="211" s="1"/>
  <c r="D45" i="211"/>
  <c r="P57" i="211"/>
  <c r="J57" i="211"/>
  <c r="O57" i="211"/>
  <c r="I57" i="211"/>
  <c r="K57" i="211"/>
  <c r="H57" i="211"/>
  <c r="R57" i="211" s="1"/>
  <c r="M57" i="211"/>
  <c r="L57" i="211"/>
  <c r="G57" i="211"/>
  <c r="F57" i="211"/>
  <c r="N57" i="211"/>
  <c r="Q57" i="211"/>
  <c r="D25" i="211"/>
  <c r="F24" i="211"/>
  <c r="L24" i="211" s="1"/>
  <c r="J52" i="211"/>
  <c r="I52" i="211"/>
  <c r="M52" i="211"/>
  <c r="L52" i="211"/>
  <c r="K52" i="211"/>
  <c r="H52" i="211"/>
  <c r="R52" i="211" s="1"/>
  <c r="G52" i="211"/>
  <c r="O52" i="211" s="1"/>
  <c r="F52" i="211"/>
  <c r="N52" i="211"/>
  <c r="D92" i="211"/>
  <c r="R89" i="211"/>
  <c r="L89" i="211"/>
  <c r="F89" i="211"/>
  <c r="J64" i="211"/>
  <c r="I64" i="211"/>
  <c r="O64" i="211" s="1"/>
  <c r="G64" i="211"/>
  <c r="N64" i="211"/>
  <c r="F64" i="211"/>
  <c r="M64" i="211"/>
  <c r="L64" i="211"/>
  <c r="K64" i="211"/>
  <c r="H64" i="211"/>
  <c r="M29" i="211"/>
  <c r="G29" i="211"/>
  <c r="L29" i="211"/>
  <c r="F29" i="211"/>
  <c r="Q29" i="211" s="1"/>
  <c r="K29" i="211"/>
  <c r="J29" i="211"/>
  <c r="I29" i="211"/>
  <c r="P29" i="211"/>
  <c r="H29" i="211"/>
  <c r="N29" i="211"/>
  <c r="O29" i="211"/>
  <c r="O7" i="211"/>
  <c r="I7" i="211"/>
  <c r="N7" i="211"/>
  <c r="H7" i="211"/>
  <c r="H25" i="211" s="1"/>
  <c r="M7" i="211"/>
  <c r="G7" i="211"/>
  <c r="L7" i="211"/>
  <c r="F7" i="211"/>
  <c r="Q7" i="211" s="1"/>
  <c r="P7" i="211"/>
  <c r="K7" i="211"/>
  <c r="J7" i="211"/>
  <c r="R3" i="211"/>
  <c r="R32" i="210"/>
  <c r="R53" i="210"/>
  <c r="G92" i="210"/>
  <c r="J92" i="210"/>
  <c r="K92" i="210"/>
  <c r="I92" i="210"/>
  <c r="H92" i="210"/>
  <c r="F92" i="210"/>
  <c r="L92" i="210"/>
  <c r="P4" i="210"/>
  <c r="P25" i="210" s="1"/>
  <c r="P48" i="210" s="1"/>
  <c r="J4" i="210"/>
  <c r="L4" i="210"/>
  <c r="K4" i="210"/>
  <c r="K25" i="210" s="1"/>
  <c r="G4" i="210"/>
  <c r="I4" i="210"/>
  <c r="N4" i="210"/>
  <c r="O4" i="210"/>
  <c r="O25" i="210" s="1"/>
  <c r="H4" i="210"/>
  <c r="R4" i="210" s="1"/>
  <c r="M4" i="210"/>
  <c r="F4" i="210"/>
  <c r="Q4" i="210" s="1"/>
  <c r="L59" i="210"/>
  <c r="F59" i="210"/>
  <c r="Q59" i="210" s="1"/>
  <c r="K59" i="210"/>
  <c r="O59" i="210"/>
  <c r="G59" i="210"/>
  <c r="N59" i="210"/>
  <c r="J59" i="210"/>
  <c r="H59" i="210"/>
  <c r="M59" i="210"/>
  <c r="P59" i="210"/>
  <c r="I59" i="210"/>
  <c r="H77" i="210"/>
  <c r="N77" i="210" s="1"/>
  <c r="L9" i="210"/>
  <c r="F9" i="210"/>
  <c r="N9" i="210"/>
  <c r="G9" i="210"/>
  <c r="P9" i="210"/>
  <c r="M9" i="210"/>
  <c r="K9" i="210"/>
  <c r="I9" i="210"/>
  <c r="J9" i="210"/>
  <c r="H9" i="210"/>
  <c r="O9" i="210"/>
  <c r="R71" i="210"/>
  <c r="F71" i="210"/>
  <c r="D76" i="210"/>
  <c r="K12" i="210"/>
  <c r="L12" i="210"/>
  <c r="G12" i="210"/>
  <c r="R12" i="210" s="1"/>
  <c r="J12" i="210"/>
  <c r="N12" i="210"/>
  <c r="I12" i="210"/>
  <c r="O12" i="210"/>
  <c r="H12" i="210"/>
  <c r="M12" i="210"/>
  <c r="F12" i="210"/>
  <c r="F80" i="210"/>
  <c r="R80" i="210" s="1"/>
  <c r="Q90" i="210"/>
  <c r="L90" i="210" s="1"/>
  <c r="R90" i="210" s="1"/>
  <c r="K13" i="210"/>
  <c r="N13" i="210"/>
  <c r="G13" i="210"/>
  <c r="I13" i="210"/>
  <c r="M13" i="210"/>
  <c r="F13" i="210"/>
  <c r="Q13" i="210" s="1"/>
  <c r="L13" i="210"/>
  <c r="P13" i="210"/>
  <c r="J13" i="210"/>
  <c r="H13" i="210"/>
  <c r="O13" i="210"/>
  <c r="M72" i="210"/>
  <c r="M76" i="210" s="1"/>
  <c r="G72" i="210"/>
  <c r="G76" i="210" s="1"/>
  <c r="K72" i="210"/>
  <c r="K76" i="210" s="1"/>
  <c r="I72" i="210"/>
  <c r="I76" i="210" s="1"/>
  <c r="H72" i="210"/>
  <c r="N72" i="210"/>
  <c r="N76" i="210" s="1"/>
  <c r="J72" i="210"/>
  <c r="J76" i="210" s="1"/>
  <c r="F72" i="210"/>
  <c r="O72" i="210" s="1"/>
  <c r="L72" i="210"/>
  <c r="P28" i="210"/>
  <c r="J28" i="210"/>
  <c r="M28" i="210"/>
  <c r="F28" i="210"/>
  <c r="Q28" i="210" s="1"/>
  <c r="L28" i="210"/>
  <c r="I28" i="210"/>
  <c r="N28" i="210"/>
  <c r="K28" i="210"/>
  <c r="H28" i="210"/>
  <c r="G28" i="210"/>
  <c r="O28" i="210"/>
  <c r="F68" i="210"/>
  <c r="R68" i="210" s="1"/>
  <c r="M73" i="210"/>
  <c r="G73" i="210"/>
  <c r="N73" i="210"/>
  <c r="F73" i="210"/>
  <c r="L73" i="210"/>
  <c r="J73" i="210"/>
  <c r="K73" i="210"/>
  <c r="I73" i="210"/>
  <c r="H73" i="210"/>
  <c r="R63" i="210"/>
  <c r="F63" i="210"/>
  <c r="F81" i="210"/>
  <c r="R81" i="210" s="1"/>
  <c r="Q32" i="210"/>
  <c r="P54" i="210"/>
  <c r="J54" i="210"/>
  <c r="I54" i="210"/>
  <c r="O54" i="210"/>
  <c r="G54" i="210"/>
  <c r="N54" i="210"/>
  <c r="F54" i="210"/>
  <c r="Q54" i="210" s="1"/>
  <c r="L54" i="210"/>
  <c r="H54" i="210"/>
  <c r="M54" i="210"/>
  <c r="K54" i="210"/>
  <c r="P7" i="210"/>
  <c r="J7" i="210"/>
  <c r="M7" i="210"/>
  <c r="F7" i="210"/>
  <c r="L7" i="210"/>
  <c r="O7" i="210"/>
  <c r="K7" i="210"/>
  <c r="I7" i="210"/>
  <c r="N7" i="210"/>
  <c r="H7" i="210"/>
  <c r="G7" i="210"/>
  <c r="Q7" i="210" s="1"/>
  <c r="N55" i="210"/>
  <c r="H55" i="210"/>
  <c r="J55" i="210"/>
  <c r="K55" i="210"/>
  <c r="I55" i="210"/>
  <c r="O55" i="210"/>
  <c r="F55" i="210"/>
  <c r="Q55" i="210" s="1"/>
  <c r="L55" i="210"/>
  <c r="G55" i="210"/>
  <c r="P55" i="210"/>
  <c r="M55" i="210"/>
  <c r="D25" i="210"/>
  <c r="R74" i="210"/>
  <c r="P57" i="210"/>
  <c r="J57" i="210"/>
  <c r="K57" i="210"/>
  <c r="H57" i="210"/>
  <c r="O57" i="210"/>
  <c r="G57" i="210"/>
  <c r="R57" i="210" s="1"/>
  <c r="M57" i="210"/>
  <c r="F57" i="210"/>
  <c r="Q57" i="210" s="1"/>
  <c r="N57" i="210"/>
  <c r="L57" i="210"/>
  <c r="I57" i="210"/>
  <c r="D83" i="210"/>
  <c r="R79" i="210"/>
  <c r="F79" i="210"/>
  <c r="J64" i="210"/>
  <c r="I64" i="210"/>
  <c r="L64" i="210"/>
  <c r="K64" i="210"/>
  <c r="G64" i="210"/>
  <c r="H64" i="210"/>
  <c r="N64" i="210"/>
  <c r="M64" i="210"/>
  <c r="F64" i="210"/>
  <c r="O64" i="210" s="1"/>
  <c r="L15" i="210"/>
  <c r="F15" i="210"/>
  <c r="R15" i="210" s="1"/>
  <c r="L24" i="210"/>
  <c r="R24" i="210" s="1"/>
  <c r="F24" i="210"/>
  <c r="N29" i="210"/>
  <c r="H29" i="210"/>
  <c r="M29" i="210"/>
  <c r="F29" i="210"/>
  <c r="Q29" i="210" s="1"/>
  <c r="L29" i="210"/>
  <c r="J29" i="210"/>
  <c r="O29" i="210"/>
  <c r="K29" i="210"/>
  <c r="I29" i="210"/>
  <c r="G29" i="210"/>
  <c r="P29" i="210"/>
  <c r="F82" i="210"/>
  <c r="R82" i="210"/>
  <c r="J65" i="210"/>
  <c r="L65" i="210"/>
  <c r="H65" i="210"/>
  <c r="G65" i="210"/>
  <c r="M65" i="210"/>
  <c r="I65" i="210"/>
  <c r="R65" i="210" s="1"/>
  <c r="F65" i="210"/>
  <c r="O65" i="210" s="1"/>
  <c r="N65" i="210"/>
  <c r="K65" i="210"/>
  <c r="F89" i="210"/>
  <c r="L89" i="210" s="1"/>
  <c r="R89" i="210" s="1"/>
  <c r="R43" i="210"/>
  <c r="F43" i="210"/>
  <c r="F45" i="210" s="1"/>
  <c r="P17" i="210"/>
  <c r="J17" i="210"/>
  <c r="O17" i="210"/>
  <c r="I17" i="210"/>
  <c r="M17" i="210"/>
  <c r="G17" i="210"/>
  <c r="K17" i="210"/>
  <c r="H17" i="210"/>
  <c r="N17" i="210"/>
  <c r="F17" i="210"/>
  <c r="Q17" i="210" s="1"/>
  <c r="L17" i="210"/>
  <c r="F25" i="210"/>
  <c r="M61" i="210"/>
  <c r="G61" i="210"/>
  <c r="P61" i="210"/>
  <c r="I61" i="210"/>
  <c r="O61" i="210"/>
  <c r="F61" i="210"/>
  <c r="R61" i="210" s="1"/>
  <c r="N61" i="210"/>
  <c r="K61" i="210"/>
  <c r="H61" i="210"/>
  <c r="L61" i="210"/>
  <c r="J61" i="210"/>
  <c r="Q61" i="210" s="1"/>
  <c r="R69" i="210"/>
  <c r="L69" i="210"/>
  <c r="F69" i="210"/>
  <c r="N8" i="210"/>
  <c r="H8" i="210"/>
  <c r="Q8" i="210" s="1"/>
  <c r="M8" i="210"/>
  <c r="F8" i="210"/>
  <c r="I8" i="210"/>
  <c r="L8" i="210"/>
  <c r="P8" i="210"/>
  <c r="K8" i="210"/>
  <c r="R8" i="210" s="1"/>
  <c r="J8" i="210"/>
  <c r="O8" i="210"/>
  <c r="G8" i="210"/>
  <c r="N58" i="210"/>
  <c r="H58" i="210"/>
  <c r="K58" i="210"/>
  <c r="L58" i="210"/>
  <c r="J58" i="210"/>
  <c r="P58" i="210"/>
  <c r="G58" i="210"/>
  <c r="I58" i="210"/>
  <c r="O58" i="210"/>
  <c r="M58" i="210"/>
  <c r="F58" i="210"/>
  <c r="L6" i="210"/>
  <c r="F6" i="210"/>
  <c r="M6" i="210"/>
  <c r="H6" i="210"/>
  <c r="K6" i="210"/>
  <c r="Q6" i="210"/>
  <c r="J6" i="210"/>
  <c r="O6" i="210"/>
  <c r="P6" i="210"/>
  <c r="I6" i="210"/>
  <c r="G6" i="210"/>
  <c r="N6" i="210"/>
  <c r="R6" i="210" s="1"/>
  <c r="P26" i="210"/>
  <c r="P37" i="210" s="1"/>
  <c r="I26" i="210"/>
  <c r="D37" i="210"/>
  <c r="O26" i="210"/>
  <c r="H26" i="210"/>
  <c r="M26" i="210"/>
  <c r="F26" i="210"/>
  <c r="N26" i="210"/>
  <c r="K26" i="210"/>
  <c r="J26" i="210"/>
  <c r="J37" i="210" s="1"/>
  <c r="L30" i="210"/>
  <c r="F30" i="210"/>
  <c r="N30" i="210"/>
  <c r="G30" i="210"/>
  <c r="M30" i="210"/>
  <c r="J30" i="210"/>
  <c r="O30" i="210"/>
  <c r="K30" i="210"/>
  <c r="I30" i="210"/>
  <c r="H30" i="210"/>
  <c r="P30" i="210"/>
  <c r="I42" i="210"/>
  <c r="I45" i="210" s="1"/>
  <c r="R42" i="210"/>
  <c r="D45" i="210"/>
  <c r="D93" i="210"/>
  <c r="Q31" i="210"/>
  <c r="R31" i="210" s="1"/>
  <c r="J51" i="210"/>
  <c r="I51" i="210"/>
  <c r="H51" i="210"/>
  <c r="G51" i="210"/>
  <c r="M51" i="210"/>
  <c r="K51" i="210"/>
  <c r="N51" i="210"/>
  <c r="F51" i="210"/>
  <c r="O51" i="210" s="1"/>
  <c r="L51" i="210"/>
  <c r="J66" i="210"/>
  <c r="N66" i="210"/>
  <c r="G66" i="210"/>
  <c r="M66" i="210"/>
  <c r="L66" i="210"/>
  <c r="I66" i="210"/>
  <c r="K66" i="210"/>
  <c r="H66" i="210"/>
  <c r="F66" i="210"/>
  <c r="J52" i="210"/>
  <c r="L52" i="210"/>
  <c r="N52" i="210"/>
  <c r="F52" i="210"/>
  <c r="M52" i="210"/>
  <c r="I52" i="210"/>
  <c r="K52" i="210"/>
  <c r="H52" i="210"/>
  <c r="G52" i="210"/>
  <c r="R11" i="210"/>
  <c r="F11" i="210"/>
  <c r="L16" i="210"/>
  <c r="F16" i="210"/>
  <c r="Q16" i="210" s="1"/>
  <c r="K16" i="210"/>
  <c r="O16" i="210"/>
  <c r="I16" i="210"/>
  <c r="R16" i="210" s="1"/>
  <c r="M16" i="210"/>
  <c r="P16" i="210"/>
  <c r="J16" i="210"/>
  <c r="H16" i="210"/>
  <c r="G16" i="210"/>
  <c r="N16" i="210"/>
  <c r="F60" i="210"/>
  <c r="R60" i="210" s="1"/>
  <c r="P10" i="210"/>
  <c r="J10" i="210"/>
  <c r="N10" i="210"/>
  <c r="G10" i="210"/>
  <c r="M10" i="210"/>
  <c r="F10" i="210"/>
  <c r="Q10" i="210" s="1"/>
  <c r="I10" i="210"/>
  <c r="L10" i="210"/>
  <c r="K10" i="210"/>
  <c r="R10" i="210" s="1"/>
  <c r="O10" i="210"/>
  <c r="H10" i="210"/>
  <c r="J50" i="210"/>
  <c r="N50" i="210"/>
  <c r="G50" i="210"/>
  <c r="L50" i="210"/>
  <c r="K50" i="210"/>
  <c r="H50" i="210"/>
  <c r="I50" i="210"/>
  <c r="O50" i="210"/>
  <c r="M50" i="210"/>
  <c r="F50" i="210"/>
  <c r="R50" i="210" s="1"/>
  <c r="N5" i="210"/>
  <c r="H5" i="210"/>
  <c r="L5" i="210"/>
  <c r="L25" i="210" s="1"/>
  <c r="L48" i="210" s="1"/>
  <c r="G5" i="210"/>
  <c r="K5" i="210"/>
  <c r="O5" i="210"/>
  <c r="J5" i="210"/>
  <c r="J25" i="210" s="1"/>
  <c r="J48" i="210" s="1"/>
  <c r="P5" i="210"/>
  <c r="I5" i="210"/>
  <c r="I25" i="210" s="1"/>
  <c r="M5" i="210"/>
  <c r="F5" i="210"/>
  <c r="N27" i="210"/>
  <c r="H27" i="210"/>
  <c r="M27" i="210"/>
  <c r="G27" i="210"/>
  <c r="K27" i="210"/>
  <c r="O27" i="210"/>
  <c r="L27" i="210"/>
  <c r="L37" i="210" s="1"/>
  <c r="F27" i="210"/>
  <c r="Q27" i="210" s="1"/>
  <c r="J27" i="210"/>
  <c r="I27" i="210"/>
  <c r="P27" i="210"/>
  <c r="D109" i="210"/>
  <c r="K46" i="210"/>
  <c r="K47" i="210" s="1"/>
  <c r="D47" i="210"/>
  <c r="F46" i="210"/>
  <c r="F47" i="210" s="1"/>
  <c r="N46" i="210"/>
  <c r="N47" i="210" s="1"/>
  <c r="L56" i="210"/>
  <c r="F56" i="210"/>
  <c r="Q56" i="210" s="1"/>
  <c r="J56" i="210"/>
  <c r="N56" i="210"/>
  <c r="M56" i="210"/>
  <c r="R56" i="210" s="1"/>
  <c r="I56" i="210"/>
  <c r="O56" i="210"/>
  <c r="K56" i="210"/>
  <c r="H56" i="210"/>
  <c r="G56" i="210"/>
  <c r="P56" i="210"/>
  <c r="J49" i="210"/>
  <c r="L49" i="210"/>
  <c r="G49" i="210"/>
  <c r="N49" i="210"/>
  <c r="F49" i="210"/>
  <c r="O49" i="210" s="1"/>
  <c r="K49" i="210"/>
  <c r="D70" i="210"/>
  <c r="M49" i="210"/>
  <c r="I49" i="210"/>
  <c r="H49" i="210"/>
  <c r="H70" i="210" s="1"/>
  <c r="I62" i="210"/>
  <c r="N62" i="210" s="1"/>
  <c r="R62" i="210" s="1"/>
  <c r="H94" i="210"/>
  <c r="O94" i="210"/>
  <c r="R94" i="210"/>
  <c r="L14" i="210"/>
  <c r="F14" i="210"/>
  <c r="O14" i="210"/>
  <c r="I14" i="210"/>
  <c r="H14" i="210"/>
  <c r="K14" i="210"/>
  <c r="P14" i="210"/>
  <c r="G14" i="210"/>
  <c r="Q14" i="210" s="1"/>
  <c r="N14" i="210"/>
  <c r="M14" i="210"/>
  <c r="J14" i="210"/>
  <c r="D87" i="210"/>
  <c r="F88" i="210"/>
  <c r="H25" i="210"/>
  <c r="Q3" i="210"/>
  <c r="R3" i="210" s="1"/>
  <c r="R44" i="210"/>
  <c r="O53" i="210"/>
  <c r="R59" i="209"/>
  <c r="H67" i="209"/>
  <c r="R67" i="209"/>
  <c r="L30" i="209"/>
  <c r="F30" i="209"/>
  <c r="N30" i="209"/>
  <c r="G30" i="209"/>
  <c r="J30" i="209"/>
  <c r="P30" i="209"/>
  <c r="O30" i="209"/>
  <c r="M30" i="209"/>
  <c r="K30" i="209"/>
  <c r="I30" i="209"/>
  <c r="Q30" i="209" s="1"/>
  <c r="H30" i="209"/>
  <c r="P54" i="209"/>
  <c r="J54" i="209"/>
  <c r="I54" i="209"/>
  <c r="O54" i="209"/>
  <c r="G54" i="209"/>
  <c r="L54" i="209"/>
  <c r="F54" i="209"/>
  <c r="N54" i="209"/>
  <c r="M54" i="209"/>
  <c r="Q54" i="209" s="1"/>
  <c r="H54" i="209"/>
  <c r="K54" i="209"/>
  <c r="Q59" i="209"/>
  <c r="K13" i="209"/>
  <c r="P13" i="209"/>
  <c r="I13" i="209"/>
  <c r="O13" i="209"/>
  <c r="H13" i="209"/>
  <c r="N13" i="209"/>
  <c r="G13" i="209"/>
  <c r="M13" i="209"/>
  <c r="F13" i="209"/>
  <c r="J13" i="209"/>
  <c r="R13" i="209" s="1"/>
  <c r="L13" i="209"/>
  <c r="Q13" i="209" s="1"/>
  <c r="M72" i="209"/>
  <c r="G72" i="209"/>
  <c r="G76" i="209" s="1"/>
  <c r="K72" i="209"/>
  <c r="I72" i="209"/>
  <c r="N72" i="209"/>
  <c r="L72" i="209"/>
  <c r="J72" i="209"/>
  <c r="H72" i="209"/>
  <c r="F72" i="209"/>
  <c r="O72" i="209" s="1"/>
  <c r="M73" i="209"/>
  <c r="G73" i="209"/>
  <c r="N73" i="209"/>
  <c r="F73" i="209"/>
  <c r="J73" i="209"/>
  <c r="I73" i="209"/>
  <c r="L73" i="209"/>
  <c r="K73" i="209"/>
  <c r="H73" i="209"/>
  <c r="O73" i="209" s="1"/>
  <c r="F63" i="209"/>
  <c r="R63" i="209" s="1"/>
  <c r="F81" i="209"/>
  <c r="R81" i="209"/>
  <c r="L9" i="209"/>
  <c r="F9" i="209"/>
  <c r="R9" i="209" s="1"/>
  <c r="P9" i="209"/>
  <c r="I9" i="209"/>
  <c r="O9" i="209"/>
  <c r="H9" i="209"/>
  <c r="N9" i="209"/>
  <c r="G9" i="209"/>
  <c r="M9" i="209"/>
  <c r="J9" i="209"/>
  <c r="Q9" i="209"/>
  <c r="K9" i="209"/>
  <c r="O50" i="209"/>
  <c r="R50" i="209" s="1"/>
  <c r="F36" i="209"/>
  <c r="R36" i="209" s="1"/>
  <c r="L36" i="209"/>
  <c r="R71" i="209"/>
  <c r="F71" i="209"/>
  <c r="D76" i="209"/>
  <c r="M61" i="209"/>
  <c r="G61" i="209"/>
  <c r="Q61" i="209" s="1"/>
  <c r="P61" i="209"/>
  <c r="I61" i="209"/>
  <c r="O61" i="209"/>
  <c r="F61" i="209"/>
  <c r="R61" i="209" s="1"/>
  <c r="K61" i="209"/>
  <c r="J61" i="209"/>
  <c r="N61" i="209"/>
  <c r="H61" i="209"/>
  <c r="L61" i="209"/>
  <c r="P57" i="209"/>
  <c r="J57" i="209"/>
  <c r="K57" i="209"/>
  <c r="H57" i="209"/>
  <c r="M57" i="209"/>
  <c r="O57" i="209"/>
  <c r="N57" i="209"/>
  <c r="R57" i="209" s="1"/>
  <c r="G57" i="209"/>
  <c r="L57" i="209"/>
  <c r="I57" i="209"/>
  <c r="F57" i="209"/>
  <c r="Q57" i="209" s="1"/>
  <c r="D83" i="209"/>
  <c r="R79" i="209"/>
  <c r="F79" i="209"/>
  <c r="F24" i="209"/>
  <c r="J65" i="209"/>
  <c r="O65" i="209" s="1"/>
  <c r="L65" i="209"/>
  <c r="H65" i="209"/>
  <c r="M65" i="209"/>
  <c r="G65" i="209"/>
  <c r="N65" i="209"/>
  <c r="K65" i="209"/>
  <c r="I65" i="209"/>
  <c r="F65" i="209"/>
  <c r="N8" i="209"/>
  <c r="H8" i="209"/>
  <c r="P8" i="209"/>
  <c r="I8" i="209"/>
  <c r="O8" i="209"/>
  <c r="G8" i="209"/>
  <c r="M8" i="209"/>
  <c r="F8" i="209"/>
  <c r="L8" i="209"/>
  <c r="K8" i="209"/>
  <c r="J8" i="209"/>
  <c r="Q8" i="209" s="1"/>
  <c r="N55" i="209"/>
  <c r="H55" i="209"/>
  <c r="Q55" i="209" s="1"/>
  <c r="R55" i="209" s="1"/>
  <c r="J55" i="209"/>
  <c r="K55" i="209"/>
  <c r="O55" i="209"/>
  <c r="F55" i="209"/>
  <c r="P55" i="209"/>
  <c r="M55" i="209"/>
  <c r="L55" i="209"/>
  <c r="I55" i="209"/>
  <c r="G55" i="209"/>
  <c r="P17" i="209"/>
  <c r="J17" i="209"/>
  <c r="M17" i="209"/>
  <c r="G17" i="209"/>
  <c r="O17" i="209"/>
  <c r="F17" i="209"/>
  <c r="N17" i="209"/>
  <c r="L17" i="209"/>
  <c r="K17" i="209"/>
  <c r="I17" i="209"/>
  <c r="H17" i="209"/>
  <c r="Q17" i="209" s="1"/>
  <c r="Q90" i="209"/>
  <c r="L90" i="209"/>
  <c r="R90" i="209" s="1"/>
  <c r="L6" i="209"/>
  <c r="F6" i="209"/>
  <c r="Q6" i="209" s="1"/>
  <c r="O6" i="209"/>
  <c r="H6" i="209"/>
  <c r="N6" i="209"/>
  <c r="G6" i="209"/>
  <c r="M6" i="209"/>
  <c r="K6" i="209"/>
  <c r="I6" i="209"/>
  <c r="P6" i="209"/>
  <c r="J6" i="209"/>
  <c r="P26" i="209"/>
  <c r="I26" i="209"/>
  <c r="M26" i="209"/>
  <c r="K26" i="209"/>
  <c r="J26" i="209"/>
  <c r="H26" i="209"/>
  <c r="F26" i="209"/>
  <c r="N26" i="209"/>
  <c r="D37" i="209"/>
  <c r="O26" i="209"/>
  <c r="I42" i="209"/>
  <c r="I45" i="209" s="1"/>
  <c r="D45" i="209"/>
  <c r="D93" i="209"/>
  <c r="P7" i="209"/>
  <c r="J7" i="209"/>
  <c r="O7" i="209"/>
  <c r="H7" i="209"/>
  <c r="N7" i="209"/>
  <c r="G7" i="209"/>
  <c r="M7" i="209"/>
  <c r="F7" i="209"/>
  <c r="L7" i="209"/>
  <c r="K7" i="209"/>
  <c r="I7" i="209"/>
  <c r="Q7" i="209" s="1"/>
  <c r="Q14" i="209"/>
  <c r="R14" i="209" s="1"/>
  <c r="Q58" i="209"/>
  <c r="R58" i="209" s="1"/>
  <c r="L33" i="209"/>
  <c r="M33" i="209"/>
  <c r="F33" i="209"/>
  <c r="P33" i="209"/>
  <c r="H33" i="209"/>
  <c r="K33" i="209"/>
  <c r="G33" i="209"/>
  <c r="O33" i="209"/>
  <c r="N33" i="209"/>
  <c r="I33" i="209"/>
  <c r="J33" i="209"/>
  <c r="N29" i="209"/>
  <c r="H29" i="209"/>
  <c r="M29" i="209"/>
  <c r="F29" i="209"/>
  <c r="R29" i="209" s="1"/>
  <c r="J29" i="209"/>
  <c r="I29" i="209"/>
  <c r="G29" i="209"/>
  <c r="P29" i="209"/>
  <c r="O29" i="209"/>
  <c r="Q29" i="209" s="1"/>
  <c r="L29" i="209"/>
  <c r="K29" i="209"/>
  <c r="F89" i="209"/>
  <c r="L89" i="209" s="1"/>
  <c r="R89" i="209" s="1"/>
  <c r="J53" i="209"/>
  <c r="N53" i="209"/>
  <c r="G53" i="209"/>
  <c r="K53" i="209"/>
  <c r="F53" i="209"/>
  <c r="M53" i="209"/>
  <c r="L53" i="209"/>
  <c r="I53" i="209"/>
  <c r="H53" i="209"/>
  <c r="D109" i="209"/>
  <c r="F15" i="209"/>
  <c r="L15" i="209" s="1"/>
  <c r="R80" i="209"/>
  <c r="F80" i="209"/>
  <c r="N5" i="209"/>
  <c r="H5" i="209"/>
  <c r="O5" i="209"/>
  <c r="G5" i="209"/>
  <c r="M5" i="209"/>
  <c r="F5" i="209"/>
  <c r="L5" i="209"/>
  <c r="K5" i="209"/>
  <c r="P5" i="209"/>
  <c r="J5" i="209"/>
  <c r="I5" i="209"/>
  <c r="N27" i="209"/>
  <c r="H27" i="209"/>
  <c r="K27" i="209"/>
  <c r="P27" i="209"/>
  <c r="G27" i="209"/>
  <c r="G37" i="209" s="1"/>
  <c r="O27" i="209"/>
  <c r="F27" i="209"/>
  <c r="Q27" i="209" s="1"/>
  <c r="M27" i="209"/>
  <c r="L27" i="209"/>
  <c r="L37" i="209" s="1"/>
  <c r="J27" i="209"/>
  <c r="I27" i="209"/>
  <c r="L56" i="209"/>
  <c r="F56" i="209"/>
  <c r="J56" i="209"/>
  <c r="N56" i="209"/>
  <c r="I56" i="209"/>
  <c r="P56" i="209"/>
  <c r="O56" i="209"/>
  <c r="M56" i="209"/>
  <c r="K56" i="209"/>
  <c r="H56" i="209"/>
  <c r="G56" i="209"/>
  <c r="J49" i="209"/>
  <c r="L49" i="209"/>
  <c r="G49" i="209"/>
  <c r="K49" i="209"/>
  <c r="N49" i="209"/>
  <c r="D70" i="209"/>
  <c r="M49" i="209"/>
  <c r="I49" i="209"/>
  <c r="I70" i="209" s="1"/>
  <c r="H49" i="209"/>
  <c r="F49" i="209"/>
  <c r="I62" i="209"/>
  <c r="R62" i="209"/>
  <c r="N62" i="209"/>
  <c r="H94" i="209"/>
  <c r="O94" i="209" s="1"/>
  <c r="R46" i="209"/>
  <c r="M74" i="209"/>
  <c r="G74" i="209"/>
  <c r="I74" i="209"/>
  <c r="K74" i="209"/>
  <c r="F74" i="209"/>
  <c r="O74" i="209" s="1"/>
  <c r="N74" i="209"/>
  <c r="L74" i="209"/>
  <c r="R74" i="209" s="1"/>
  <c r="J74" i="209"/>
  <c r="H74" i="209"/>
  <c r="K12" i="209"/>
  <c r="N12" i="209"/>
  <c r="G12" i="209"/>
  <c r="M12" i="209"/>
  <c r="F12" i="209"/>
  <c r="R12" i="209" s="1"/>
  <c r="L12" i="209"/>
  <c r="J12" i="209"/>
  <c r="O12" i="209"/>
  <c r="I12" i="209"/>
  <c r="H12" i="209"/>
  <c r="L69" i="209"/>
  <c r="F69" i="209"/>
  <c r="R69" i="209" s="1"/>
  <c r="F60" i="209"/>
  <c r="R60" i="209" s="1"/>
  <c r="N32" i="209"/>
  <c r="H32" i="209"/>
  <c r="O32" i="209"/>
  <c r="G32" i="209"/>
  <c r="K32" i="209"/>
  <c r="J32" i="209"/>
  <c r="I32" i="209"/>
  <c r="F32" i="209"/>
  <c r="P32" i="209"/>
  <c r="Q32" i="209" s="1"/>
  <c r="M32" i="209"/>
  <c r="L32" i="209"/>
  <c r="G92" i="209"/>
  <c r="J92" i="209"/>
  <c r="K92" i="209"/>
  <c r="F92" i="209"/>
  <c r="M92" i="209" s="1"/>
  <c r="I92" i="209"/>
  <c r="L92" i="209"/>
  <c r="H92" i="209"/>
  <c r="Q47" i="209"/>
  <c r="R47" i="209" s="1"/>
  <c r="D87" i="209"/>
  <c r="L88" i="209"/>
  <c r="F88" i="209"/>
  <c r="R88" i="209"/>
  <c r="F43" i="209"/>
  <c r="F45" i="209" s="1"/>
  <c r="M75" i="209"/>
  <c r="G75" i="209"/>
  <c r="O75" i="209" s="1"/>
  <c r="K75" i="209"/>
  <c r="H75" i="209"/>
  <c r="L75" i="209"/>
  <c r="F75" i="209"/>
  <c r="J75" i="209"/>
  <c r="N75" i="209"/>
  <c r="R75" i="209" s="1"/>
  <c r="I75" i="209"/>
  <c r="L3" i="209"/>
  <c r="F3" i="209"/>
  <c r="N3" i="209"/>
  <c r="G3" i="209"/>
  <c r="G25" i="209" s="1"/>
  <c r="G48" i="209" s="1"/>
  <c r="D25" i="209"/>
  <c r="M3" i="209"/>
  <c r="K3" i="209"/>
  <c r="J3" i="209"/>
  <c r="P3" i="209"/>
  <c r="P25" i="209" s="1"/>
  <c r="H3" i="209"/>
  <c r="O3" i="209"/>
  <c r="I3" i="209"/>
  <c r="P4" i="209"/>
  <c r="J4" i="209"/>
  <c r="N4" i="209"/>
  <c r="G4" i="209"/>
  <c r="M4" i="209"/>
  <c r="F4" i="209"/>
  <c r="L4" i="209"/>
  <c r="K4" i="209"/>
  <c r="Q4" i="209" s="1"/>
  <c r="I4" i="209"/>
  <c r="H4" i="209"/>
  <c r="O4" i="209"/>
  <c r="J51" i="209"/>
  <c r="O51" i="209" s="1"/>
  <c r="I51" i="209"/>
  <c r="H51" i="209"/>
  <c r="M51" i="209"/>
  <c r="N51" i="209"/>
  <c r="L51" i="209"/>
  <c r="K51" i="209"/>
  <c r="F51" i="209"/>
  <c r="G51" i="209"/>
  <c r="J66" i="209"/>
  <c r="N66" i="209"/>
  <c r="G66" i="209"/>
  <c r="M66" i="209"/>
  <c r="I66" i="209"/>
  <c r="H66" i="209"/>
  <c r="L66" i="209"/>
  <c r="K66" i="209"/>
  <c r="F66" i="209"/>
  <c r="J52" i="209"/>
  <c r="L52" i="209"/>
  <c r="N52" i="209"/>
  <c r="F52" i="209"/>
  <c r="I52" i="209"/>
  <c r="M52" i="209"/>
  <c r="K52" i="209"/>
  <c r="H52" i="209"/>
  <c r="O52" i="209" s="1"/>
  <c r="G52" i="209"/>
  <c r="R52" i="209" s="1"/>
  <c r="H77" i="209"/>
  <c r="N77" i="209" s="1"/>
  <c r="R10" i="209"/>
  <c r="R7" i="208"/>
  <c r="R66" i="208"/>
  <c r="F82" i="208"/>
  <c r="R82" i="208"/>
  <c r="N28" i="208"/>
  <c r="H28" i="208"/>
  <c r="M28" i="208"/>
  <c r="G28" i="208"/>
  <c r="L28" i="208"/>
  <c r="F28" i="208"/>
  <c r="Q28" i="208" s="1"/>
  <c r="P28" i="208"/>
  <c r="K28" i="208"/>
  <c r="J28" i="208"/>
  <c r="O28" i="208"/>
  <c r="I28" i="208"/>
  <c r="K92" i="208"/>
  <c r="J92" i="208"/>
  <c r="I92" i="208"/>
  <c r="H92" i="208"/>
  <c r="G92" i="208"/>
  <c r="L92" i="208"/>
  <c r="F92" i="208"/>
  <c r="N52" i="208"/>
  <c r="H52" i="208"/>
  <c r="M52" i="208"/>
  <c r="G52" i="208"/>
  <c r="L52" i="208"/>
  <c r="F52" i="208"/>
  <c r="O52" i="208" s="1"/>
  <c r="J52" i="208"/>
  <c r="K52" i="208"/>
  <c r="I52" i="208"/>
  <c r="L17" i="208"/>
  <c r="F17" i="208"/>
  <c r="Q17" i="208" s="1"/>
  <c r="K17" i="208"/>
  <c r="P17" i="208"/>
  <c r="J17" i="208"/>
  <c r="O17" i="208"/>
  <c r="N17" i="208"/>
  <c r="I17" i="208"/>
  <c r="H17" i="208"/>
  <c r="G17" i="208"/>
  <c r="M17" i="208"/>
  <c r="K9" i="208"/>
  <c r="P9" i="208"/>
  <c r="J9" i="208"/>
  <c r="O9" i="208"/>
  <c r="I9" i="208"/>
  <c r="H9" i="208"/>
  <c r="G9" i="208"/>
  <c r="M9" i="208"/>
  <c r="L9" i="208"/>
  <c r="F9" i="208"/>
  <c r="N9" i="208"/>
  <c r="H77" i="208"/>
  <c r="N77" i="208" s="1"/>
  <c r="R77" i="208" s="1"/>
  <c r="D76" i="208"/>
  <c r="R71" i="208"/>
  <c r="F71" i="208"/>
  <c r="K72" i="208"/>
  <c r="J72" i="208"/>
  <c r="I72" i="208"/>
  <c r="N72" i="208"/>
  <c r="H72" i="208"/>
  <c r="M72" i="208"/>
  <c r="G72" i="208"/>
  <c r="L72" i="208"/>
  <c r="F72" i="208"/>
  <c r="O72" i="208" s="1"/>
  <c r="Q7" i="208"/>
  <c r="P27" i="208"/>
  <c r="J27" i="208"/>
  <c r="O27" i="208"/>
  <c r="I27" i="208"/>
  <c r="N27" i="208"/>
  <c r="H27" i="208"/>
  <c r="G27" i="208"/>
  <c r="F27" i="208"/>
  <c r="L27" i="208"/>
  <c r="M27" i="208"/>
  <c r="K27" i="208"/>
  <c r="F15" i="208"/>
  <c r="L15" i="208"/>
  <c r="R15" i="208" s="1"/>
  <c r="H94" i="208"/>
  <c r="O94" i="208" s="1"/>
  <c r="R94" i="208" s="1"/>
  <c r="N16" i="208"/>
  <c r="H16" i="208"/>
  <c r="M16" i="208"/>
  <c r="G16" i="208"/>
  <c r="R16" i="208" s="1"/>
  <c r="L16" i="208"/>
  <c r="F16" i="208"/>
  <c r="Q16" i="208" s="1"/>
  <c r="P16" i="208"/>
  <c r="K16" i="208"/>
  <c r="J16" i="208"/>
  <c r="I16" i="208"/>
  <c r="O16" i="208"/>
  <c r="F60" i="208"/>
  <c r="R60" i="208" s="1"/>
  <c r="L29" i="208"/>
  <c r="F29" i="208"/>
  <c r="Q29" i="208" s="1"/>
  <c r="K29" i="208"/>
  <c r="P29" i="208"/>
  <c r="J29" i="208"/>
  <c r="O29" i="208"/>
  <c r="N29" i="208"/>
  <c r="H29" i="208"/>
  <c r="M29" i="208"/>
  <c r="I29" i="208"/>
  <c r="G29" i="208"/>
  <c r="R29" i="208" s="1"/>
  <c r="N51" i="208"/>
  <c r="H51" i="208"/>
  <c r="M51" i="208"/>
  <c r="G51" i="208"/>
  <c r="L51" i="208"/>
  <c r="F51" i="208"/>
  <c r="O51" i="208" s="1"/>
  <c r="J51" i="208"/>
  <c r="K51" i="208"/>
  <c r="I51" i="208"/>
  <c r="F79" i="208"/>
  <c r="D83" i="208"/>
  <c r="K73" i="208"/>
  <c r="J73" i="208"/>
  <c r="I73" i="208"/>
  <c r="N73" i="208"/>
  <c r="H73" i="208"/>
  <c r="M73" i="208"/>
  <c r="R73" i="208" s="1"/>
  <c r="G73" i="208"/>
  <c r="F73" i="208"/>
  <c r="O73" i="208" s="1"/>
  <c r="L73" i="208"/>
  <c r="K26" i="208"/>
  <c r="J26" i="208"/>
  <c r="D37" i="208"/>
  <c r="P26" i="208"/>
  <c r="I26" i="208"/>
  <c r="H26" i="208"/>
  <c r="F26" i="208"/>
  <c r="O26" i="208"/>
  <c r="N26" i="208"/>
  <c r="M26" i="208"/>
  <c r="O66" i="208"/>
  <c r="P56" i="208"/>
  <c r="J56" i="208"/>
  <c r="O56" i="208"/>
  <c r="I56" i="208"/>
  <c r="N56" i="208"/>
  <c r="H56" i="208"/>
  <c r="L56" i="208"/>
  <c r="F56" i="208"/>
  <c r="M56" i="208"/>
  <c r="K56" i="208"/>
  <c r="G56" i="208"/>
  <c r="I62" i="208"/>
  <c r="N62" i="208" s="1"/>
  <c r="R62" i="208" s="1"/>
  <c r="R68" i="208"/>
  <c r="F68" i="208"/>
  <c r="R33" i="208"/>
  <c r="O10" i="208"/>
  <c r="I10" i="208"/>
  <c r="N10" i="208"/>
  <c r="H10" i="208"/>
  <c r="M10" i="208"/>
  <c r="G10" i="208"/>
  <c r="F10" i="208"/>
  <c r="K10" i="208"/>
  <c r="J10" i="208"/>
  <c r="P10" i="208"/>
  <c r="L10" i="208"/>
  <c r="Q10" i="208" s="1"/>
  <c r="N14" i="208"/>
  <c r="H14" i="208"/>
  <c r="M14" i="208"/>
  <c r="G14" i="208"/>
  <c r="L14" i="208"/>
  <c r="F14" i="208"/>
  <c r="Q14" i="208" s="1"/>
  <c r="K14" i="208"/>
  <c r="J14" i="208"/>
  <c r="P14" i="208"/>
  <c r="O14" i="208"/>
  <c r="I14" i="208"/>
  <c r="M5" i="208"/>
  <c r="G5" i="208"/>
  <c r="L5" i="208"/>
  <c r="F5" i="208"/>
  <c r="Q5" i="208" s="1"/>
  <c r="K5" i="208"/>
  <c r="P5" i="208"/>
  <c r="I5" i="208"/>
  <c r="O5" i="208"/>
  <c r="J5" i="208"/>
  <c r="H5" i="208"/>
  <c r="N5" i="208"/>
  <c r="N65" i="208"/>
  <c r="H65" i="208"/>
  <c r="M65" i="208"/>
  <c r="G65" i="208"/>
  <c r="L65" i="208"/>
  <c r="F65" i="208"/>
  <c r="O65" i="208" s="1"/>
  <c r="J65" i="208"/>
  <c r="K65" i="208"/>
  <c r="I65" i="208"/>
  <c r="L32" i="208"/>
  <c r="F32" i="208"/>
  <c r="K32" i="208"/>
  <c r="P32" i="208"/>
  <c r="J32" i="208"/>
  <c r="O32" i="208"/>
  <c r="M32" i="208"/>
  <c r="I32" i="208"/>
  <c r="G32" i="208"/>
  <c r="N32" i="208"/>
  <c r="H32" i="208"/>
  <c r="N54" i="208"/>
  <c r="H54" i="208"/>
  <c r="M54" i="208"/>
  <c r="G54" i="208"/>
  <c r="L54" i="208"/>
  <c r="F54" i="208"/>
  <c r="P54" i="208"/>
  <c r="J54" i="208"/>
  <c r="O54" i="208"/>
  <c r="K54" i="208"/>
  <c r="I54" i="208"/>
  <c r="R81" i="208"/>
  <c r="F81" i="208"/>
  <c r="L55" i="208"/>
  <c r="F55" i="208"/>
  <c r="Q55" i="208" s="1"/>
  <c r="K55" i="208"/>
  <c r="P55" i="208"/>
  <c r="J55" i="208"/>
  <c r="N55" i="208"/>
  <c r="H55" i="208"/>
  <c r="I55" i="208"/>
  <c r="G55" i="208"/>
  <c r="O55" i="208"/>
  <c r="M55" i="208"/>
  <c r="D47" i="208"/>
  <c r="R46" i="208"/>
  <c r="K46" i="208"/>
  <c r="K47" i="208" s="1"/>
  <c r="N46" i="208"/>
  <c r="N47" i="208" s="1"/>
  <c r="F46" i="208"/>
  <c r="F47" i="208" s="1"/>
  <c r="K74" i="208"/>
  <c r="J74" i="208"/>
  <c r="I74" i="208"/>
  <c r="N74" i="208"/>
  <c r="H74" i="208"/>
  <c r="M74" i="208"/>
  <c r="G74" i="208"/>
  <c r="L74" i="208"/>
  <c r="F74" i="208"/>
  <c r="O74" i="208" s="1"/>
  <c r="N31" i="208"/>
  <c r="H31" i="208"/>
  <c r="M31" i="208"/>
  <c r="G31" i="208"/>
  <c r="L31" i="208"/>
  <c r="F31" i="208"/>
  <c r="Q31" i="208" s="1"/>
  <c r="K31" i="208"/>
  <c r="J31" i="208"/>
  <c r="P31" i="208"/>
  <c r="O31" i="208"/>
  <c r="I31" i="208"/>
  <c r="K6" i="208"/>
  <c r="P6" i="208"/>
  <c r="J6" i="208"/>
  <c r="O6" i="208"/>
  <c r="I6" i="208"/>
  <c r="N6" i="208"/>
  <c r="G6" i="208"/>
  <c r="M6" i="208"/>
  <c r="F6" i="208"/>
  <c r="R6" i="208" s="1"/>
  <c r="L6" i="208"/>
  <c r="H6" i="208"/>
  <c r="Q6" i="208" s="1"/>
  <c r="L93" i="208"/>
  <c r="F93" i="208"/>
  <c r="Q93" i="208" s="1"/>
  <c r="K93" i="208"/>
  <c r="P93" i="208"/>
  <c r="J93" i="208"/>
  <c r="O93" i="208"/>
  <c r="I93" i="208"/>
  <c r="N93" i="208"/>
  <c r="H93" i="208"/>
  <c r="M93" i="208"/>
  <c r="G93" i="208"/>
  <c r="N50" i="208"/>
  <c r="H50" i="208"/>
  <c r="M50" i="208"/>
  <c r="G50" i="208"/>
  <c r="L50" i="208"/>
  <c r="F50" i="208"/>
  <c r="O50" i="208" s="1"/>
  <c r="J50" i="208"/>
  <c r="I50" i="208"/>
  <c r="K50" i="208"/>
  <c r="R50" i="208" s="1"/>
  <c r="M8" i="208"/>
  <c r="G8" i="208"/>
  <c r="R8" i="208" s="1"/>
  <c r="L8" i="208"/>
  <c r="F8" i="208"/>
  <c r="Q8" i="208"/>
  <c r="K8" i="208"/>
  <c r="J8" i="208"/>
  <c r="I8" i="208"/>
  <c r="P8" i="208"/>
  <c r="O8" i="208"/>
  <c r="N8" i="208"/>
  <c r="H8" i="208"/>
  <c r="P59" i="208"/>
  <c r="J59" i="208"/>
  <c r="O59" i="208"/>
  <c r="I59" i="208"/>
  <c r="N59" i="208"/>
  <c r="H59" i="208"/>
  <c r="L59" i="208"/>
  <c r="F59" i="208"/>
  <c r="G59" i="208"/>
  <c r="Q59" i="208"/>
  <c r="M59" i="208"/>
  <c r="K59" i="208"/>
  <c r="R59" i="208" s="1"/>
  <c r="N64" i="208"/>
  <c r="H64" i="208"/>
  <c r="M64" i="208"/>
  <c r="G64" i="208"/>
  <c r="L64" i="208"/>
  <c r="F64" i="208"/>
  <c r="J64" i="208"/>
  <c r="K64" i="208"/>
  <c r="I64" i="208"/>
  <c r="R89" i="208"/>
  <c r="L89" i="208"/>
  <c r="F89" i="208"/>
  <c r="F43" i="208"/>
  <c r="F45" i="208" s="1"/>
  <c r="L58" i="208"/>
  <c r="F58" i="208"/>
  <c r="Q58" i="208" s="1"/>
  <c r="K58" i="208"/>
  <c r="P58" i="208"/>
  <c r="J58" i="208"/>
  <c r="N58" i="208"/>
  <c r="H58" i="208"/>
  <c r="O58" i="208"/>
  <c r="M58" i="208"/>
  <c r="I58" i="208"/>
  <c r="G58" i="208"/>
  <c r="R58" i="208" s="1"/>
  <c r="K61" i="208"/>
  <c r="P61" i="208"/>
  <c r="J61" i="208"/>
  <c r="O61" i="208"/>
  <c r="I61" i="208"/>
  <c r="M61" i="208"/>
  <c r="Q61" i="208" s="1"/>
  <c r="G61" i="208"/>
  <c r="H61" i="208"/>
  <c r="F61" i="208"/>
  <c r="L61" i="208"/>
  <c r="N61" i="208"/>
  <c r="K75" i="208"/>
  <c r="J75" i="208"/>
  <c r="O75" i="208"/>
  <c r="I75" i="208"/>
  <c r="N75" i="208"/>
  <c r="H75" i="208"/>
  <c r="M75" i="208"/>
  <c r="G75" i="208"/>
  <c r="L75" i="208"/>
  <c r="F75" i="208"/>
  <c r="R75" i="208" s="1"/>
  <c r="N57" i="208"/>
  <c r="H57" i="208"/>
  <c r="M57" i="208"/>
  <c r="G57" i="208"/>
  <c r="L57" i="208"/>
  <c r="F57" i="208"/>
  <c r="Q57" i="208" s="1"/>
  <c r="P57" i="208"/>
  <c r="J57" i="208"/>
  <c r="I57" i="208"/>
  <c r="R57" i="208" s="1"/>
  <c r="O57" i="208"/>
  <c r="K57" i="208"/>
  <c r="L69" i="208"/>
  <c r="R69" i="208" s="1"/>
  <c r="N49" i="208"/>
  <c r="H49" i="208"/>
  <c r="M49" i="208"/>
  <c r="M70" i="208" s="1"/>
  <c r="G49" i="208"/>
  <c r="O49" i="208" s="1"/>
  <c r="L49" i="208"/>
  <c r="F49" i="208"/>
  <c r="J49" i="208"/>
  <c r="K49" i="208"/>
  <c r="I49" i="208"/>
  <c r="D70" i="208"/>
  <c r="D109" i="208"/>
  <c r="O4" i="208"/>
  <c r="I4" i="208"/>
  <c r="N4" i="208"/>
  <c r="H4" i="208"/>
  <c r="M4" i="208"/>
  <c r="G4" i="208"/>
  <c r="F4" i="208"/>
  <c r="Q4" i="208" s="1"/>
  <c r="K4" i="208"/>
  <c r="J4" i="208"/>
  <c r="P4" i="208"/>
  <c r="L4" i="208"/>
  <c r="R4" i="208" s="1"/>
  <c r="F11" i="208"/>
  <c r="R11" i="208" s="1"/>
  <c r="L44" i="208"/>
  <c r="L45" i="208" s="1"/>
  <c r="R44" i="208"/>
  <c r="K3" i="208"/>
  <c r="K25" i="208" s="1"/>
  <c r="D25" i="208"/>
  <c r="P3" i="208"/>
  <c r="P25" i="208" s="1"/>
  <c r="J3" i="208"/>
  <c r="O3" i="208"/>
  <c r="I3" i="208"/>
  <c r="H3" i="208"/>
  <c r="H25" i="208" s="1"/>
  <c r="M3" i="208"/>
  <c r="G3" i="208"/>
  <c r="N3" i="208"/>
  <c r="L3" i="208"/>
  <c r="F3" i="208"/>
  <c r="F25" i="208" s="1"/>
  <c r="H67" i="208"/>
  <c r="R67" i="208" s="1"/>
  <c r="F88" i="208"/>
  <c r="D87" i="208"/>
  <c r="F80" i="208"/>
  <c r="R80" i="208"/>
  <c r="F63" i="208"/>
  <c r="R63" i="208" s="1"/>
  <c r="Q90" i="208"/>
  <c r="N53" i="208"/>
  <c r="H53" i="208"/>
  <c r="M53" i="208"/>
  <c r="G53" i="208"/>
  <c r="L53" i="208"/>
  <c r="F53" i="208"/>
  <c r="O53" i="208" s="1"/>
  <c r="J53" i="208"/>
  <c r="I53" i="208"/>
  <c r="K53" i="208"/>
  <c r="M8" i="207"/>
  <c r="G8" i="207"/>
  <c r="L8" i="207"/>
  <c r="K8" i="207"/>
  <c r="N8" i="207"/>
  <c r="J8" i="207"/>
  <c r="H8" i="207"/>
  <c r="P8" i="207"/>
  <c r="R8" i="207" s="1"/>
  <c r="I8" i="207"/>
  <c r="O8" i="207"/>
  <c r="F8" i="207"/>
  <c r="Q8" i="207" s="1"/>
  <c r="J53" i="207"/>
  <c r="M53" i="207"/>
  <c r="F53" i="207"/>
  <c r="K53" i="207"/>
  <c r="I53" i="207"/>
  <c r="G53" i="207"/>
  <c r="N53" i="207"/>
  <c r="L53" i="207"/>
  <c r="H53" i="207"/>
  <c r="M61" i="207"/>
  <c r="G61" i="207"/>
  <c r="Q61" i="207" s="1"/>
  <c r="O61" i="207"/>
  <c r="H61" i="207"/>
  <c r="R61" i="207" s="1"/>
  <c r="P61" i="207"/>
  <c r="F61" i="207"/>
  <c r="N61" i="207"/>
  <c r="K61" i="207"/>
  <c r="I61" i="207"/>
  <c r="L61" i="207"/>
  <c r="J61" i="207"/>
  <c r="K30" i="207"/>
  <c r="J30" i="207"/>
  <c r="P30" i="207"/>
  <c r="I30" i="207"/>
  <c r="N30" i="207"/>
  <c r="G30" i="207"/>
  <c r="F30" i="207"/>
  <c r="Q30" i="207" s="1"/>
  <c r="L30" i="207"/>
  <c r="H30" i="207"/>
  <c r="O30" i="207"/>
  <c r="M30" i="207"/>
  <c r="Q90" i="207"/>
  <c r="L90" i="207" s="1"/>
  <c r="R90" i="207" s="1"/>
  <c r="F89" i="207"/>
  <c r="L89" i="207"/>
  <c r="R89" i="207" s="1"/>
  <c r="M75" i="207"/>
  <c r="G75" i="207"/>
  <c r="J75" i="207"/>
  <c r="H75" i="207"/>
  <c r="F75" i="207"/>
  <c r="O75" i="207" s="1"/>
  <c r="L75" i="207"/>
  <c r="K75" i="207"/>
  <c r="I75" i="207"/>
  <c r="N75" i="207"/>
  <c r="O7" i="207"/>
  <c r="I7" i="207"/>
  <c r="L7" i="207"/>
  <c r="N7" i="207"/>
  <c r="M7" i="207"/>
  <c r="K7" i="207"/>
  <c r="G7" i="207"/>
  <c r="F7" i="207"/>
  <c r="J7" i="207"/>
  <c r="P7" i="207"/>
  <c r="H7" i="207"/>
  <c r="J50" i="207"/>
  <c r="O50" i="207" s="1"/>
  <c r="M50" i="207"/>
  <c r="F50" i="207"/>
  <c r="L50" i="207"/>
  <c r="K50" i="207"/>
  <c r="H50" i="207"/>
  <c r="G50" i="207"/>
  <c r="N50" i="207"/>
  <c r="I50" i="207"/>
  <c r="L56" i="207"/>
  <c r="F56" i="207"/>
  <c r="P56" i="207"/>
  <c r="I56" i="207"/>
  <c r="N56" i="207"/>
  <c r="M56" i="207"/>
  <c r="J56" i="207"/>
  <c r="K56" i="207"/>
  <c r="O56" i="207"/>
  <c r="H56" i="207"/>
  <c r="G56" i="207"/>
  <c r="M5" i="207"/>
  <c r="G5" i="207"/>
  <c r="K5" i="207"/>
  <c r="J5" i="207"/>
  <c r="N5" i="207"/>
  <c r="L5" i="207"/>
  <c r="P5" i="207"/>
  <c r="I5" i="207"/>
  <c r="O5" i="207"/>
  <c r="H5" i="207"/>
  <c r="F5" i="207"/>
  <c r="Q5" i="207" s="1"/>
  <c r="J64" i="207"/>
  <c r="H64" i="207"/>
  <c r="L64" i="207"/>
  <c r="K64" i="207"/>
  <c r="G64" i="207"/>
  <c r="N64" i="207"/>
  <c r="F64" i="207"/>
  <c r="O64" i="207" s="1"/>
  <c r="M64" i="207"/>
  <c r="I64" i="207"/>
  <c r="J65" i="207"/>
  <c r="K65" i="207"/>
  <c r="H65" i="207"/>
  <c r="G65" i="207"/>
  <c r="M65" i="207"/>
  <c r="F65" i="207"/>
  <c r="O65" i="207" s="1"/>
  <c r="I65" i="207"/>
  <c r="N65" i="207"/>
  <c r="L65" i="207"/>
  <c r="F36" i="207"/>
  <c r="L36" i="207" s="1"/>
  <c r="R36" i="207" s="1"/>
  <c r="M29" i="207"/>
  <c r="G29" i="207"/>
  <c r="J29" i="207"/>
  <c r="Q29" i="207" s="1"/>
  <c r="P29" i="207"/>
  <c r="I29" i="207"/>
  <c r="N29" i="207"/>
  <c r="F29" i="207"/>
  <c r="K29" i="207"/>
  <c r="O29" i="207"/>
  <c r="R29" i="207" s="1"/>
  <c r="L29" i="207"/>
  <c r="H29" i="207"/>
  <c r="O4" i="207"/>
  <c r="I4" i="207"/>
  <c r="K4" i="207"/>
  <c r="M4" i="207"/>
  <c r="J4" i="207"/>
  <c r="F4" i="207"/>
  <c r="Q4" i="207" s="1"/>
  <c r="P4" i="207"/>
  <c r="H4" i="207"/>
  <c r="N4" i="207"/>
  <c r="G4" i="207"/>
  <c r="L4" i="207"/>
  <c r="F11" i="207"/>
  <c r="R11" i="207" s="1"/>
  <c r="Q6" i="207"/>
  <c r="K6" i="207"/>
  <c r="L6" i="207"/>
  <c r="G6" i="207"/>
  <c r="F6" i="207"/>
  <c r="J6" i="207"/>
  <c r="R6" i="207" s="1"/>
  <c r="P6" i="207"/>
  <c r="I6" i="207"/>
  <c r="O6" i="207"/>
  <c r="H6" i="207"/>
  <c r="N6" i="207"/>
  <c r="M6" i="207"/>
  <c r="M72" i="207"/>
  <c r="G72" i="207"/>
  <c r="J72" i="207"/>
  <c r="I72" i="207"/>
  <c r="H72" i="207"/>
  <c r="H76" i="207" s="1"/>
  <c r="N72" i="207"/>
  <c r="F72" i="207"/>
  <c r="K72" i="207"/>
  <c r="L72" i="207"/>
  <c r="F43" i="207"/>
  <c r="F45" i="207" s="1"/>
  <c r="F69" i="207"/>
  <c r="L44" i="207"/>
  <c r="L45" i="207" s="1"/>
  <c r="H77" i="207"/>
  <c r="N77" i="207"/>
  <c r="R77" i="207" s="1"/>
  <c r="D76" i="207"/>
  <c r="D109" i="207" s="1"/>
  <c r="F71" i="207"/>
  <c r="R71" i="207" s="1"/>
  <c r="N58" i="207"/>
  <c r="H58" i="207"/>
  <c r="J58" i="207"/>
  <c r="L58" i="207"/>
  <c r="K58" i="207"/>
  <c r="P58" i="207"/>
  <c r="G58" i="207"/>
  <c r="F58" i="207"/>
  <c r="Q58" i="207" s="1"/>
  <c r="O58" i="207"/>
  <c r="M58" i="207"/>
  <c r="I58" i="207"/>
  <c r="L33" i="207"/>
  <c r="K33" i="207"/>
  <c r="M33" i="207"/>
  <c r="J33" i="207"/>
  <c r="P33" i="207"/>
  <c r="H33" i="207"/>
  <c r="G33" i="207"/>
  <c r="Q33" i="207" s="1"/>
  <c r="N33" i="207"/>
  <c r="F33" i="207"/>
  <c r="I33" i="207"/>
  <c r="O33" i="207"/>
  <c r="P54" i="207"/>
  <c r="J54" i="207"/>
  <c r="O54" i="207"/>
  <c r="H54" i="207"/>
  <c r="G54" i="207"/>
  <c r="N54" i="207"/>
  <c r="F54" i="207"/>
  <c r="Q54" i="207" s="1"/>
  <c r="L54" i="207"/>
  <c r="I54" i="207"/>
  <c r="M54" i="207"/>
  <c r="K54" i="207"/>
  <c r="K3" i="207"/>
  <c r="D25" i="207"/>
  <c r="J3" i="207"/>
  <c r="F3" i="207"/>
  <c r="P3" i="207"/>
  <c r="P25" i="207" s="1"/>
  <c r="I3" i="207"/>
  <c r="L3" i="207"/>
  <c r="O3" i="207"/>
  <c r="H3" i="207"/>
  <c r="N3" i="207"/>
  <c r="G3" i="207"/>
  <c r="M3" i="207"/>
  <c r="J66" i="207"/>
  <c r="M66" i="207"/>
  <c r="F66" i="207"/>
  <c r="N66" i="207"/>
  <c r="L66" i="207"/>
  <c r="I66" i="207"/>
  <c r="K66" i="207"/>
  <c r="H66" i="207"/>
  <c r="G66" i="207"/>
  <c r="O28" i="207"/>
  <c r="I28" i="207"/>
  <c r="J28" i="207"/>
  <c r="P28" i="207"/>
  <c r="H28" i="207"/>
  <c r="M28" i="207"/>
  <c r="F28" i="207"/>
  <c r="G28" i="207"/>
  <c r="Q28" i="207" s="1"/>
  <c r="N28" i="207"/>
  <c r="L28" i="207"/>
  <c r="K28" i="207"/>
  <c r="F80" i="207"/>
  <c r="R80" i="207"/>
  <c r="O10" i="207"/>
  <c r="I10" i="207"/>
  <c r="M10" i="207"/>
  <c r="F10" i="207"/>
  <c r="Q10" i="207" s="1"/>
  <c r="N10" i="207"/>
  <c r="L10" i="207"/>
  <c r="H10" i="207"/>
  <c r="G10" i="207"/>
  <c r="K10" i="207"/>
  <c r="J10" i="207"/>
  <c r="P10" i="207"/>
  <c r="K9" i="207"/>
  <c r="M9" i="207"/>
  <c r="F9" i="207"/>
  <c r="O9" i="207"/>
  <c r="G9" i="207"/>
  <c r="L9" i="207"/>
  <c r="Q9" i="207" s="1"/>
  <c r="H9" i="207"/>
  <c r="J9" i="207"/>
  <c r="P9" i="207"/>
  <c r="I9" i="207"/>
  <c r="N9" i="207"/>
  <c r="D87" i="207"/>
  <c r="F88" i="207"/>
  <c r="L88" i="207"/>
  <c r="J52" i="207"/>
  <c r="K52" i="207"/>
  <c r="N52" i="207"/>
  <c r="F52" i="207"/>
  <c r="M52" i="207"/>
  <c r="I52" i="207"/>
  <c r="R52" i="207" s="1"/>
  <c r="L52" i="207"/>
  <c r="H52" i="207"/>
  <c r="G52" i="207"/>
  <c r="O52" i="207" s="1"/>
  <c r="D93" i="207"/>
  <c r="F68" i="207"/>
  <c r="R68" i="207" s="1"/>
  <c r="D83" i="207"/>
  <c r="R79" i="207"/>
  <c r="F79" i="207"/>
  <c r="K46" i="207"/>
  <c r="K47" i="207" s="1"/>
  <c r="N46" i="207"/>
  <c r="N47" i="207" s="1"/>
  <c r="F46" i="207"/>
  <c r="F47" i="207" s="1"/>
  <c r="D47" i="207"/>
  <c r="J49" i="207"/>
  <c r="D70" i="207"/>
  <c r="K49" i="207"/>
  <c r="G49" i="207"/>
  <c r="N49" i="207"/>
  <c r="F49" i="207"/>
  <c r="O49" i="207" s="1"/>
  <c r="L49" i="207"/>
  <c r="M49" i="207"/>
  <c r="M70" i="207" s="1"/>
  <c r="I49" i="207"/>
  <c r="H49" i="207"/>
  <c r="M26" i="207"/>
  <c r="P26" i="207"/>
  <c r="H26" i="207"/>
  <c r="O26" i="207"/>
  <c r="O37" i="207" s="1"/>
  <c r="F26" i="207"/>
  <c r="K26" i="207"/>
  <c r="D37" i="207"/>
  <c r="I26" i="207"/>
  <c r="Q26" i="207"/>
  <c r="N26" i="207"/>
  <c r="J26" i="207"/>
  <c r="N55" i="207"/>
  <c r="H55" i="207"/>
  <c r="P55" i="207"/>
  <c r="I55" i="207"/>
  <c r="K55" i="207"/>
  <c r="J55" i="207"/>
  <c r="O55" i="207"/>
  <c r="F55" i="207"/>
  <c r="Q55" i="207" s="1"/>
  <c r="G55" i="207"/>
  <c r="M55" i="207"/>
  <c r="L55" i="207"/>
  <c r="J51" i="207"/>
  <c r="H51" i="207"/>
  <c r="I51" i="207"/>
  <c r="G51" i="207"/>
  <c r="M51" i="207"/>
  <c r="F51" i="207"/>
  <c r="R51" i="207" s="1"/>
  <c r="K51" i="207"/>
  <c r="O51" i="207" s="1"/>
  <c r="N51" i="207"/>
  <c r="L51" i="207"/>
  <c r="K16" i="207"/>
  <c r="P16" i="207"/>
  <c r="J16" i="207"/>
  <c r="N16" i="207"/>
  <c r="H16" i="207"/>
  <c r="M16" i="207"/>
  <c r="F16" i="207"/>
  <c r="Q16" i="207" s="1"/>
  <c r="O16" i="207"/>
  <c r="L16" i="207"/>
  <c r="I16" i="207"/>
  <c r="G16" i="207"/>
  <c r="M13" i="207"/>
  <c r="G13" i="207"/>
  <c r="Q13" i="207" s="1"/>
  <c r="L13" i="207"/>
  <c r="F13" i="207"/>
  <c r="P13" i="207"/>
  <c r="J13" i="207"/>
  <c r="I13" i="207"/>
  <c r="N13" i="207"/>
  <c r="R13" i="207" s="1"/>
  <c r="H13" i="207"/>
  <c r="K13" i="207"/>
  <c r="O13" i="207"/>
  <c r="M32" i="207"/>
  <c r="G32" i="207"/>
  <c r="K32" i="207"/>
  <c r="J32" i="207"/>
  <c r="O32" i="207"/>
  <c r="H32" i="207"/>
  <c r="F32" i="207"/>
  <c r="Q32" i="207" s="1"/>
  <c r="L32" i="207"/>
  <c r="P32" i="207"/>
  <c r="N32" i="207"/>
  <c r="I32" i="207"/>
  <c r="P57" i="207"/>
  <c r="J57" i="207"/>
  <c r="I57" i="207"/>
  <c r="H57" i="207"/>
  <c r="O57" i="207"/>
  <c r="G57" i="207"/>
  <c r="M57" i="207"/>
  <c r="N57" i="207"/>
  <c r="L57" i="207"/>
  <c r="K57" i="207"/>
  <c r="F57" i="207"/>
  <c r="R63" i="207"/>
  <c r="F63" i="207"/>
  <c r="H67" i="207"/>
  <c r="R67" i="207"/>
  <c r="O31" i="207"/>
  <c r="I31" i="207"/>
  <c r="K31" i="207"/>
  <c r="J31" i="207"/>
  <c r="N31" i="207"/>
  <c r="G31" i="207"/>
  <c r="F31" i="207"/>
  <c r="Q31" i="207" s="1"/>
  <c r="L31" i="207"/>
  <c r="H31" i="207"/>
  <c r="P31" i="207"/>
  <c r="M31" i="207"/>
  <c r="R82" i="207"/>
  <c r="F82" i="207"/>
  <c r="I62" i="207"/>
  <c r="N62" i="207"/>
  <c r="R62" i="207" s="1"/>
  <c r="H94" i="207"/>
  <c r="O94" i="207" s="1"/>
  <c r="R94" i="207" s="1"/>
  <c r="F15" i="207"/>
  <c r="R15" i="207" s="1"/>
  <c r="L15" i="207"/>
  <c r="F60" i="207"/>
  <c r="R60" i="207"/>
  <c r="M74" i="207"/>
  <c r="G74" i="207"/>
  <c r="H74" i="207"/>
  <c r="K74" i="207"/>
  <c r="J74" i="207"/>
  <c r="F74" i="207"/>
  <c r="O74" i="207" s="1"/>
  <c r="N74" i="207"/>
  <c r="L74" i="207"/>
  <c r="I74" i="207"/>
  <c r="I42" i="207"/>
  <c r="I45" i="207" s="1"/>
  <c r="D45" i="207"/>
  <c r="D92" i="207"/>
  <c r="L59" i="207"/>
  <c r="F59" i="207"/>
  <c r="J59" i="207"/>
  <c r="O59" i="207"/>
  <c r="G59" i="207"/>
  <c r="N59" i="207"/>
  <c r="K59" i="207"/>
  <c r="I59" i="207"/>
  <c r="P59" i="207"/>
  <c r="H59" i="207"/>
  <c r="M59" i="207"/>
  <c r="K14" i="207"/>
  <c r="P14" i="207"/>
  <c r="J14" i="207"/>
  <c r="N14" i="207"/>
  <c r="H14" i="207"/>
  <c r="G14" i="207"/>
  <c r="Q14" i="207" s="1"/>
  <c r="F14" i="207"/>
  <c r="L14" i="207"/>
  <c r="I14" i="207"/>
  <c r="O14" i="207"/>
  <c r="M14" i="207"/>
  <c r="K27" i="207"/>
  <c r="P27" i="207"/>
  <c r="I27" i="207"/>
  <c r="O27" i="207"/>
  <c r="H27" i="207"/>
  <c r="M27" i="207"/>
  <c r="F27" i="207"/>
  <c r="J27" i="207"/>
  <c r="G27" i="207"/>
  <c r="N27" i="207"/>
  <c r="L27" i="207"/>
  <c r="M73" i="207"/>
  <c r="G73" i="207"/>
  <c r="L73" i="207"/>
  <c r="F73" i="207"/>
  <c r="O73" i="207" s="1"/>
  <c r="N73" i="207"/>
  <c r="J73" i="207"/>
  <c r="K73" i="207"/>
  <c r="I73" i="207"/>
  <c r="H73" i="207"/>
  <c r="F81" i="207"/>
  <c r="R81" i="207" s="1"/>
  <c r="F24" i="207"/>
  <c r="L24" i="207" s="1"/>
  <c r="R24" i="207" s="1"/>
  <c r="O17" i="207"/>
  <c r="I17" i="207"/>
  <c r="N17" i="207"/>
  <c r="H17" i="207"/>
  <c r="L17" i="207"/>
  <c r="F17" i="207"/>
  <c r="K17" i="207"/>
  <c r="P17" i="207"/>
  <c r="J17" i="207"/>
  <c r="G17" i="207"/>
  <c r="M17" i="207"/>
  <c r="L12" i="207"/>
  <c r="J12" i="207"/>
  <c r="K12" i="207"/>
  <c r="F12" i="207"/>
  <c r="O12" i="207" s="1"/>
  <c r="I12" i="207"/>
  <c r="N12" i="207"/>
  <c r="M12" i="207"/>
  <c r="H12" i="207"/>
  <c r="G12" i="207"/>
  <c r="R7" i="206"/>
  <c r="R28" i="206"/>
  <c r="O31" i="206"/>
  <c r="I31" i="206"/>
  <c r="K31" i="206"/>
  <c r="N31" i="206"/>
  <c r="G31" i="206"/>
  <c r="P31" i="206"/>
  <c r="M31" i="206"/>
  <c r="L31" i="206"/>
  <c r="J31" i="206"/>
  <c r="H31" i="206"/>
  <c r="F31" i="206"/>
  <c r="F81" i="206"/>
  <c r="R81" i="206" s="1"/>
  <c r="R53" i="206"/>
  <c r="J64" i="206"/>
  <c r="H64" i="206"/>
  <c r="L64" i="206"/>
  <c r="G64" i="206"/>
  <c r="M64" i="206"/>
  <c r="K64" i="206"/>
  <c r="I64" i="206"/>
  <c r="F64" i="206"/>
  <c r="O64" i="206" s="1"/>
  <c r="N64" i="206"/>
  <c r="Q90" i="206"/>
  <c r="L90" i="206"/>
  <c r="R90" i="206"/>
  <c r="R55" i="206"/>
  <c r="J12" i="206"/>
  <c r="I12" i="206"/>
  <c r="H12" i="206"/>
  <c r="N12" i="206"/>
  <c r="G12" i="206"/>
  <c r="M12" i="206"/>
  <c r="F12" i="206"/>
  <c r="K12" i="206"/>
  <c r="L12" i="206"/>
  <c r="L59" i="206"/>
  <c r="F59" i="206"/>
  <c r="J59" i="206"/>
  <c r="O59" i="206"/>
  <c r="G59" i="206"/>
  <c r="K59" i="206"/>
  <c r="M59" i="206"/>
  <c r="I59" i="206"/>
  <c r="P59" i="206"/>
  <c r="H59" i="206"/>
  <c r="N59" i="206"/>
  <c r="J49" i="206"/>
  <c r="D70" i="206"/>
  <c r="K49" i="206"/>
  <c r="G49" i="206"/>
  <c r="L49" i="206"/>
  <c r="M49" i="206"/>
  <c r="I49" i="206"/>
  <c r="H49" i="206"/>
  <c r="F49" i="206"/>
  <c r="N49" i="206"/>
  <c r="R82" i="206"/>
  <c r="F82" i="206"/>
  <c r="P54" i="206"/>
  <c r="J54" i="206"/>
  <c r="O54" i="206"/>
  <c r="H54" i="206"/>
  <c r="Q54" i="206" s="1"/>
  <c r="G54" i="206"/>
  <c r="L54" i="206"/>
  <c r="N54" i="206"/>
  <c r="M54" i="206"/>
  <c r="K54" i="206"/>
  <c r="I54" i="206"/>
  <c r="F54" i="206"/>
  <c r="K6" i="206"/>
  <c r="J6" i="206"/>
  <c r="P6" i="206"/>
  <c r="I6" i="206"/>
  <c r="O6" i="206"/>
  <c r="H6" i="206"/>
  <c r="N6" i="206"/>
  <c r="G6" i="206"/>
  <c r="R6" i="206" s="1"/>
  <c r="M6" i="206"/>
  <c r="L6" i="206"/>
  <c r="F6" i="206"/>
  <c r="Q6" i="206" s="1"/>
  <c r="M72" i="206"/>
  <c r="M76" i="206" s="1"/>
  <c r="G72" i="206"/>
  <c r="J72" i="206"/>
  <c r="J76" i="206" s="1"/>
  <c r="I72" i="206"/>
  <c r="N72" i="206"/>
  <c r="L72" i="206"/>
  <c r="K72" i="206"/>
  <c r="F72" i="206"/>
  <c r="H72" i="206"/>
  <c r="L56" i="206"/>
  <c r="F56" i="206"/>
  <c r="P56" i="206"/>
  <c r="I56" i="206"/>
  <c r="N56" i="206"/>
  <c r="J56" i="206"/>
  <c r="O56" i="206"/>
  <c r="M56" i="206"/>
  <c r="G56" i="206"/>
  <c r="K56" i="206"/>
  <c r="H56" i="206"/>
  <c r="L33" i="206"/>
  <c r="K33" i="206"/>
  <c r="M33" i="206"/>
  <c r="P33" i="206"/>
  <c r="H33" i="206"/>
  <c r="I33" i="206"/>
  <c r="Q33" i="206" s="1"/>
  <c r="G33" i="206"/>
  <c r="F33" i="206"/>
  <c r="O33" i="206"/>
  <c r="N33" i="206"/>
  <c r="J33" i="206"/>
  <c r="F15" i="206"/>
  <c r="L15" i="206" s="1"/>
  <c r="R15" i="206" s="1"/>
  <c r="Q47" i="206"/>
  <c r="R47" i="206"/>
  <c r="K27" i="206"/>
  <c r="P27" i="206"/>
  <c r="I27" i="206"/>
  <c r="M27" i="206"/>
  <c r="F27" i="206"/>
  <c r="Q27" i="206" s="1"/>
  <c r="G27" i="206"/>
  <c r="O27" i="206"/>
  <c r="N27" i="206"/>
  <c r="L27" i="206"/>
  <c r="J27" i="206"/>
  <c r="H27" i="206"/>
  <c r="M29" i="206"/>
  <c r="G29" i="206"/>
  <c r="J29" i="206"/>
  <c r="N29" i="206"/>
  <c r="F29" i="206"/>
  <c r="Q29" i="206" s="1"/>
  <c r="K29" i="206"/>
  <c r="I29" i="206"/>
  <c r="H29" i="206"/>
  <c r="P29" i="206"/>
  <c r="O29" i="206"/>
  <c r="L29" i="206"/>
  <c r="K3" i="206"/>
  <c r="P3" i="206"/>
  <c r="I3" i="206"/>
  <c r="O3" i="206"/>
  <c r="H3" i="206"/>
  <c r="N3" i="206"/>
  <c r="G3" i="206"/>
  <c r="M3" i="206"/>
  <c r="F3" i="206"/>
  <c r="L3" i="206"/>
  <c r="D25" i="206"/>
  <c r="J3" i="206"/>
  <c r="K30" i="206"/>
  <c r="J30" i="206"/>
  <c r="N30" i="206"/>
  <c r="G30" i="206"/>
  <c r="H30" i="206"/>
  <c r="P30" i="206"/>
  <c r="F30" i="206"/>
  <c r="O30" i="206"/>
  <c r="M30" i="206"/>
  <c r="I30" i="206"/>
  <c r="L30" i="206"/>
  <c r="F60" i="206"/>
  <c r="R60" i="206" s="1"/>
  <c r="M61" i="206"/>
  <c r="G61" i="206"/>
  <c r="O61" i="206"/>
  <c r="H61" i="206"/>
  <c r="P61" i="206"/>
  <c r="F61" i="206"/>
  <c r="K61" i="206"/>
  <c r="I61" i="206"/>
  <c r="L61" i="206"/>
  <c r="N61" i="206"/>
  <c r="J61" i="206"/>
  <c r="O10" i="206"/>
  <c r="I10" i="206"/>
  <c r="L10" i="206"/>
  <c r="K10" i="206"/>
  <c r="J10" i="206"/>
  <c r="P10" i="206"/>
  <c r="H10" i="206"/>
  <c r="F10" i="206"/>
  <c r="Q10" i="206" s="1"/>
  <c r="N10" i="206"/>
  <c r="M10" i="206"/>
  <c r="G10" i="206"/>
  <c r="D76" i="206"/>
  <c r="F71" i="206"/>
  <c r="R71" i="206"/>
  <c r="K9" i="206"/>
  <c r="L9" i="206"/>
  <c r="J9" i="206"/>
  <c r="P9" i="206"/>
  <c r="I9" i="206"/>
  <c r="O9" i="206"/>
  <c r="H9" i="206"/>
  <c r="N9" i="206"/>
  <c r="M9" i="206"/>
  <c r="G9" i="206"/>
  <c r="F9" i="206"/>
  <c r="Q9" i="206" s="1"/>
  <c r="D87" i="206"/>
  <c r="F88" i="206"/>
  <c r="L88" i="206"/>
  <c r="J66" i="206"/>
  <c r="M66" i="206"/>
  <c r="F66" i="206"/>
  <c r="N66" i="206"/>
  <c r="I66" i="206"/>
  <c r="O66" i="206"/>
  <c r="R66" i="206" s="1"/>
  <c r="L66" i="206"/>
  <c r="G66" i="206"/>
  <c r="K66" i="206"/>
  <c r="H66" i="206"/>
  <c r="F36" i="206"/>
  <c r="L36" i="206" s="1"/>
  <c r="R36" i="206" s="1"/>
  <c r="R62" i="206"/>
  <c r="I62" i="206"/>
  <c r="N62" i="206"/>
  <c r="H94" i="206"/>
  <c r="O94" i="206"/>
  <c r="R94" i="206" s="1"/>
  <c r="Q8" i="206"/>
  <c r="R8" i="206" s="1"/>
  <c r="Q17" i="206"/>
  <c r="R17" i="206" s="1"/>
  <c r="M26" i="206"/>
  <c r="P26" i="206"/>
  <c r="H26" i="206"/>
  <c r="H37" i="206" s="1"/>
  <c r="K26" i="206"/>
  <c r="I26" i="206"/>
  <c r="F26" i="206"/>
  <c r="O26" i="206"/>
  <c r="O37" i="206" s="1"/>
  <c r="D37" i="206"/>
  <c r="N26" i="206"/>
  <c r="J26" i="206"/>
  <c r="P57" i="206"/>
  <c r="J57" i="206"/>
  <c r="I57" i="206"/>
  <c r="H57" i="206"/>
  <c r="M57" i="206"/>
  <c r="N57" i="206"/>
  <c r="L57" i="206"/>
  <c r="Q57" i="206" s="1"/>
  <c r="K57" i="206"/>
  <c r="F57" i="206"/>
  <c r="G57" i="206"/>
  <c r="O57" i="206"/>
  <c r="M73" i="206"/>
  <c r="G73" i="206"/>
  <c r="O73" i="206" s="1"/>
  <c r="L73" i="206"/>
  <c r="F73" i="206"/>
  <c r="J73" i="206"/>
  <c r="N73" i="206"/>
  <c r="K73" i="206"/>
  <c r="I73" i="206"/>
  <c r="H73" i="206"/>
  <c r="M32" i="206"/>
  <c r="G32" i="206"/>
  <c r="K32" i="206"/>
  <c r="O32" i="206"/>
  <c r="H32" i="206"/>
  <c r="L32" i="206"/>
  <c r="J32" i="206"/>
  <c r="I32" i="206"/>
  <c r="R32" i="206" s="1"/>
  <c r="F32" i="206"/>
  <c r="Q32" i="206" s="1"/>
  <c r="N32" i="206"/>
  <c r="P32" i="206"/>
  <c r="F43" i="206"/>
  <c r="F45" i="206" s="1"/>
  <c r="R43" i="206"/>
  <c r="K16" i="206"/>
  <c r="N16" i="206"/>
  <c r="H16" i="206"/>
  <c r="I16" i="206"/>
  <c r="P16" i="206"/>
  <c r="G16" i="206"/>
  <c r="Q16" i="206" s="1"/>
  <c r="O16" i="206"/>
  <c r="F16" i="206"/>
  <c r="M16" i="206"/>
  <c r="L16" i="206"/>
  <c r="J16" i="206"/>
  <c r="M5" i="206"/>
  <c r="G5" i="206"/>
  <c r="J5" i="206"/>
  <c r="P5" i="206"/>
  <c r="I5" i="206"/>
  <c r="O5" i="206"/>
  <c r="H5" i="206"/>
  <c r="N5" i="206"/>
  <c r="F5" i="206"/>
  <c r="Q5" i="206" s="1"/>
  <c r="R5" i="206" s="1"/>
  <c r="L5" i="206"/>
  <c r="K5" i="206"/>
  <c r="F80" i="206"/>
  <c r="R80" i="206"/>
  <c r="F11" i="206"/>
  <c r="R11" i="206" s="1"/>
  <c r="M75" i="206"/>
  <c r="G75" i="206"/>
  <c r="O75" i="206" s="1"/>
  <c r="J75" i="206"/>
  <c r="H75" i="206"/>
  <c r="L75" i="206"/>
  <c r="N75" i="206"/>
  <c r="I75" i="206"/>
  <c r="K75" i="206"/>
  <c r="F75" i="206"/>
  <c r="I42" i="206"/>
  <c r="I45" i="206" s="1"/>
  <c r="D45" i="206"/>
  <c r="D92" i="206"/>
  <c r="F69" i="206"/>
  <c r="L44" i="206"/>
  <c r="L45" i="206" s="1"/>
  <c r="R44" i="206"/>
  <c r="H77" i="206"/>
  <c r="N77" i="206"/>
  <c r="R77" i="206" s="1"/>
  <c r="O52" i="206"/>
  <c r="R52" i="206" s="1"/>
  <c r="R46" i="206"/>
  <c r="N58" i="206"/>
  <c r="H58" i="206"/>
  <c r="J58" i="206"/>
  <c r="L58" i="206"/>
  <c r="P58" i="206"/>
  <c r="G58" i="206"/>
  <c r="M58" i="206"/>
  <c r="K58" i="206"/>
  <c r="I58" i="206"/>
  <c r="F58" i="206"/>
  <c r="O58" i="206"/>
  <c r="K14" i="206"/>
  <c r="N14" i="206"/>
  <c r="H14" i="206"/>
  <c r="I14" i="206"/>
  <c r="P14" i="206"/>
  <c r="G14" i="206"/>
  <c r="O14" i="206"/>
  <c r="F14" i="206"/>
  <c r="M14" i="206"/>
  <c r="J14" i="206"/>
  <c r="L14" i="206"/>
  <c r="J65" i="206"/>
  <c r="K65" i="206"/>
  <c r="H65" i="206"/>
  <c r="M65" i="206"/>
  <c r="N65" i="206"/>
  <c r="L65" i="206"/>
  <c r="I65" i="206"/>
  <c r="F65" i="206"/>
  <c r="O65" i="206" s="1"/>
  <c r="G65" i="206"/>
  <c r="F89" i="206"/>
  <c r="L89" i="206"/>
  <c r="R89" i="206" s="1"/>
  <c r="J50" i="206"/>
  <c r="M50" i="206"/>
  <c r="F50" i="206"/>
  <c r="L50" i="206"/>
  <c r="H50" i="206"/>
  <c r="O50" i="206" s="1"/>
  <c r="N50" i="206"/>
  <c r="K50" i="206"/>
  <c r="I50" i="206"/>
  <c r="G50" i="206"/>
  <c r="F24" i="206"/>
  <c r="L24" i="206" s="1"/>
  <c r="R24" i="206" s="1"/>
  <c r="M13" i="206"/>
  <c r="G13" i="206"/>
  <c r="P13" i="206"/>
  <c r="J13" i="206"/>
  <c r="N13" i="206"/>
  <c r="L13" i="206"/>
  <c r="K13" i="206"/>
  <c r="I13" i="206"/>
  <c r="O13" i="206"/>
  <c r="H13" i="206"/>
  <c r="F13" i="206"/>
  <c r="D109" i="206"/>
  <c r="J51" i="206"/>
  <c r="H51" i="206"/>
  <c r="I51" i="206"/>
  <c r="M51" i="206"/>
  <c r="N51" i="206"/>
  <c r="F51" i="206"/>
  <c r="O51" i="206" s="1"/>
  <c r="L51" i="206"/>
  <c r="K51" i="206"/>
  <c r="G51" i="206"/>
  <c r="D93" i="206"/>
  <c r="F68" i="206"/>
  <c r="R68" i="206" s="1"/>
  <c r="D83" i="206"/>
  <c r="R79" i="206"/>
  <c r="F79" i="206"/>
  <c r="G92" i="205"/>
  <c r="J92" i="205"/>
  <c r="K92" i="205"/>
  <c r="F92" i="205"/>
  <c r="L92" i="205"/>
  <c r="I92" i="205"/>
  <c r="H92" i="205"/>
  <c r="R14" i="205"/>
  <c r="L33" i="205"/>
  <c r="M33" i="205"/>
  <c r="F33" i="205"/>
  <c r="Q33" i="205" s="1"/>
  <c r="P33" i="205"/>
  <c r="H33" i="205"/>
  <c r="K33" i="205"/>
  <c r="G33" i="205"/>
  <c r="O33" i="205"/>
  <c r="N33" i="205"/>
  <c r="I33" i="205"/>
  <c r="J33" i="205"/>
  <c r="R33" i="205" s="1"/>
  <c r="J51" i="205"/>
  <c r="I51" i="205"/>
  <c r="H51" i="205"/>
  <c r="M51" i="205"/>
  <c r="O51" i="205"/>
  <c r="N51" i="205"/>
  <c r="L51" i="205"/>
  <c r="K51" i="205"/>
  <c r="G51" i="205"/>
  <c r="F51" i="205"/>
  <c r="R51" i="205" s="1"/>
  <c r="L30" i="205"/>
  <c r="F30" i="205"/>
  <c r="N30" i="205"/>
  <c r="G30" i="205"/>
  <c r="J30" i="205"/>
  <c r="P30" i="205"/>
  <c r="O30" i="205"/>
  <c r="M30" i="205"/>
  <c r="K30" i="205"/>
  <c r="I30" i="205"/>
  <c r="H30" i="205"/>
  <c r="Q30" i="205" s="1"/>
  <c r="N5" i="205"/>
  <c r="H5" i="205"/>
  <c r="M5" i="205"/>
  <c r="F5" i="205"/>
  <c r="L5" i="205"/>
  <c r="K5" i="205"/>
  <c r="G5" i="205"/>
  <c r="J5" i="205"/>
  <c r="Q5" i="205" s="1"/>
  <c r="O5" i="205"/>
  <c r="P5" i="205"/>
  <c r="I5" i="205"/>
  <c r="L56" i="205"/>
  <c r="F56" i="205"/>
  <c r="J56" i="205"/>
  <c r="Q56" i="205" s="1"/>
  <c r="N56" i="205"/>
  <c r="I56" i="205"/>
  <c r="P56" i="205"/>
  <c r="O56" i="205"/>
  <c r="M56" i="205"/>
  <c r="K56" i="205"/>
  <c r="H56" i="205"/>
  <c r="G56" i="205"/>
  <c r="H94" i="205"/>
  <c r="O94" i="205" s="1"/>
  <c r="R94" i="205" s="1"/>
  <c r="H67" i="205"/>
  <c r="R67" i="205" s="1"/>
  <c r="F80" i="205"/>
  <c r="R80" i="205" s="1"/>
  <c r="J66" i="205"/>
  <c r="N66" i="205"/>
  <c r="G66" i="205"/>
  <c r="M66" i="205"/>
  <c r="I66" i="205"/>
  <c r="L66" i="205"/>
  <c r="K66" i="205"/>
  <c r="H66" i="205"/>
  <c r="F66" i="205"/>
  <c r="N32" i="205"/>
  <c r="H32" i="205"/>
  <c r="O32" i="205"/>
  <c r="G32" i="205"/>
  <c r="K32" i="205"/>
  <c r="J32" i="205"/>
  <c r="I32" i="205"/>
  <c r="F32" i="205"/>
  <c r="P32" i="205"/>
  <c r="M32" i="205"/>
  <c r="L32" i="205"/>
  <c r="Q47" i="205"/>
  <c r="R47" i="205" s="1"/>
  <c r="K12" i="205"/>
  <c r="N12" i="205"/>
  <c r="G12" i="205"/>
  <c r="M12" i="205"/>
  <c r="F12" i="205"/>
  <c r="R12" i="205" s="1"/>
  <c r="L12" i="205"/>
  <c r="J12" i="205"/>
  <c r="I12" i="205"/>
  <c r="H12" i="205"/>
  <c r="O12" i="205"/>
  <c r="D83" i="205"/>
  <c r="F79" i="205"/>
  <c r="Q59" i="205"/>
  <c r="R58" i="205"/>
  <c r="J53" i="205"/>
  <c r="N53" i="205"/>
  <c r="G53" i="205"/>
  <c r="K53" i="205"/>
  <c r="F53" i="205"/>
  <c r="O53" i="205" s="1"/>
  <c r="M53" i="205"/>
  <c r="L53" i="205"/>
  <c r="I53" i="205"/>
  <c r="H53" i="205"/>
  <c r="M75" i="205"/>
  <c r="G75" i="205"/>
  <c r="K75" i="205"/>
  <c r="H75" i="205"/>
  <c r="L75" i="205"/>
  <c r="F75" i="205"/>
  <c r="O75" i="205" s="1"/>
  <c r="J75" i="205"/>
  <c r="N75" i="205"/>
  <c r="I75" i="205"/>
  <c r="L3" i="205"/>
  <c r="F3" i="205"/>
  <c r="F25" i="205" s="1"/>
  <c r="D25" i="205"/>
  <c r="M3" i="205"/>
  <c r="K3" i="205"/>
  <c r="J3" i="205"/>
  <c r="G3" i="205"/>
  <c r="I3" i="205"/>
  <c r="P3" i="205"/>
  <c r="N3" i="205"/>
  <c r="O3" i="205"/>
  <c r="H3" i="205"/>
  <c r="M61" i="205"/>
  <c r="G61" i="205"/>
  <c r="P61" i="205"/>
  <c r="I61" i="205"/>
  <c r="O61" i="205"/>
  <c r="F61" i="205"/>
  <c r="K61" i="205"/>
  <c r="J61" i="205"/>
  <c r="H61" i="205"/>
  <c r="L61" i="205"/>
  <c r="N61" i="205"/>
  <c r="K13" i="205"/>
  <c r="P13" i="205"/>
  <c r="I13" i="205"/>
  <c r="O13" i="205"/>
  <c r="H13" i="205"/>
  <c r="N13" i="205"/>
  <c r="G13" i="205"/>
  <c r="M13" i="205"/>
  <c r="F13" i="205"/>
  <c r="Q13" i="205" s="1"/>
  <c r="R13" i="205" s="1"/>
  <c r="J13" i="205"/>
  <c r="L13" i="205"/>
  <c r="M72" i="205"/>
  <c r="G72" i="205"/>
  <c r="K72" i="205"/>
  <c r="I72" i="205"/>
  <c r="N72" i="205"/>
  <c r="N76" i="205" s="1"/>
  <c r="L72" i="205"/>
  <c r="J72" i="205"/>
  <c r="H72" i="205"/>
  <c r="F72" i="205"/>
  <c r="M73" i="205"/>
  <c r="G73" i="205"/>
  <c r="N73" i="205"/>
  <c r="F73" i="205"/>
  <c r="R73" i="205" s="1"/>
  <c r="J73" i="205"/>
  <c r="I73" i="205"/>
  <c r="L73" i="205"/>
  <c r="K73" i="205"/>
  <c r="H73" i="205"/>
  <c r="O73" i="205" s="1"/>
  <c r="R63" i="205"/>
  <c r="F63" i="205"/>
  <c r="F81" i="205"/>
  <c r="R81" i="205"/>
  <c r="N8" i="205"/>
  <c r="H8" i="205"/>
  <c r="P8" i="205"/>
  <c r="I8" i="205"/>
  <c r="O8" i="205"/>
  <c r="G8" i="205"/>
  <c r="M8" i="205"/>
  <c r="F8" i="205"/>
  <c r="L8" i="205"/>
  <c r="J8" i="205"/>
  <c r="K8" i="205"/>
  <c r="R28" i="205"/>
  <c r="L9" i="205"/>
  <c r="F9" i="205"/>
  <c r="P9" i="205"/>
  <c r="I9" i="205"/>
  <c r="O9" i="205"/>
  <c r="H9" i="205"/>
  <c r="Q9" i="205" s="1"/>
  <c r="N9" i="205"/>
  <c r="G9" i="205"/>
  <c r="M9" i="205"/>
  <c r="J9" i="205"/>
  <c r="K9" i="205"/>
  <c r="R43" i="205"/>
  <c r="F43" i="205"/>
  <c r="F45" i="205" s="1"/>
  <c r="R71" i="205"/>
  <c r="F71" i="205"/>
  <c r="D76" i="205"/>
  <c r="N29" i="205"/>
  <c r="H29" i="205"/>
  <c r="M29" i="205"/>
  <c r="F29" i="205"/>
  <c r="J29" i="205"/>
  <c r="Q29" i="205" s="1"/>
  <c r="I29" i="205"/>
  <c r="G29" i="205"/>
  <c r="P29" i="205"/>
  <c r="O29" i="205"/>
  <c r="K29" i="205"/>
  <c r="L29" i="205"/>
  <c r="L24" i="205"/>
  <c r="F24" i="205"/>
  <c r="R24" i="205" s="1"/>
  <c r="J65" i="205"/>
  <c r="R65" i="205" s="1"/>
  <c r="L65" i="205"/>
  <c r="H65" i="205"/>
  <c r="M65" i="205"/>
  <c r="N65" i="205"/>
  <c r="K65" i="205"/>
  <c r="I65" i="205"/>
  <c r="G65" i="205"/>
  <c r="F65" i="205"/>
  <c r="O65" i="205" s="1"/>
  <c r="F89" i="205"/>
  <c r="L89" i="205" s="1"/>
  <c r="P7" i="205"/>
  <c r="J7" i="205"/>
  <c r="O7" i="205"/>
  <c r="H7" i="205"/>
  <c r="N7" i="205"/>
  <c r="G7" i="205"/>
  <c r="M7" i="205"/>
  <c r="F7" i="205"/>
  <c r="L7" i="205"/>
  <c r="K7" i="205"/>
  <c r="I7" i="205"/>
  <c r="R59" i="205"/>
  <c r="M74" i="205"/>
  <c r="G74" i="205"/>
  <c r="I74" i="205"/>
  <c r="R74" i="205" s="1"/>
  <c r="K74" i="205"/>
  <c r="F74" i="205"/>
  <c r="O74" i="205" s="1"/>
  <c r="J74" i="205"/>
  <c r="N74" i="205"/>
  <c r="L74" i="205"/>
  <c r="H74" i="205"/>
  <c r="Q90" i="205"/>
  <c r="L90" i="205"/>
  <c r="R90" i="205" s="1"/>
  <c r="N27" i="205"/>
  <c r="H27" i="205"/>
  <c r="K27" i="205"/>
  <c r="P27" i="205"/>
  <c r="G27" i="205"/>
  <c r="O27" i="205"/>
  <c r="F27" i="205"/>
  <c r="Q27" i="205" s="1"/>
  <c r="M27" i="205"/>
  <c r="L27" i="205"/>
  <c r="I27" i="205"/>
  <c r="J27" i="205"/>
  <c r="J49" i="205"/>
  <c r="L49" i="205"/>
  <c r="G49" i="205"/>
  <c r="K49" i="205"/>
  <c r="N49" i="205"/>
  <c r="D70" i="205"/>
  <c r="M49" i="205"/>
  <c r="I49" i="205"/>
  <c r="H49" i="205"/>
  <c r="F49" i="205"/>
  <c r="I62" i="205"/>
  <c r="P17" i="205"/>
  <c r="J17" i="205"/>
  <c r="M17" i="205"/>
  <c r="G17" i="205"/>
  <c r="O17" i="205"/>
  <c r="F17" i="205"/>
  <c r="R17" i="205" s="1"/>
  <c r="N17" i="205"/>
  <c r="L17" i="205"/>
  <c r="K17" i="205"/>
  <c r="Q17" i="205"/>
  <c r="I17" i="205"/>
  <c r="H17" i="205"/>
  <c r="P4" i="205"/>
  <c r="J4" i="205"/>
  <c r="M4" i="205"/>
  <c r="F4" i="205"/>
  <c r="L4" i="205"/>
  <c r="K4" i="205"/>
  <c r="G4" i="205"/>
  <c r="Q4" i="205" s="1"/>
  <c r="I4" i="205"/>
  <c r="N4" i="205"/>
  <c r="O4" i="205"/>
  <c r="H4" i="205"/>
  <c r="J52" i="205"/>
  <c r="L52" i="205"/>
  <c r="N52" i="205"/>
  <c r="F52" i="205"/>
  <c r="I52" i="205"/>
  <c r="M52" i="205"/>
  <c r="K52" i="205"/>
  <c r="G52" i="205"/>
  <c r="H52" i="205"/>
  <c r="H77" i="205"/>
  <c r="N77" i="205" s="1"/>
  <c r="N55" i="205"/>
  <c r="H55" i="205"/>
  <c r="J55" i="205"/>
  <c r="K55" i="205"/>
  <c r="O55" i="205"/>
  <c r="F55" i="205"/>
  <c r="P55" i="205"/>
  <c r="M55" i="205"/>
  <c r="L55" i="205"/>
  <c r="G55" i="205"/>
  <c r="I55" i="205"/>
  <c r="F15" i="205"/>
  <c r="L15" i="205" s="1"/>
  <c r="P57" i="205"/>
  <c r="J57" i="205"/>
  <c r="K57" i="205"/>
  <c r="H57" i="205"/>
  <c r="M57" i="205"/>
  <c r="O57" i="205"/>
  <c r="N57" i="205"/>
  <c r="L57" i="205"/>
  <c r="I57" i="205"/>
  <c r="G57" i="205"/>
  <c r="F57" i="205"/>
  <c r="F69" i="205"/>
  <c r="L69" i="205" s="1"/>
  <c r="R69" i="205" s="1"/>
  <c r="F60" i="205"/>
  <c r="R60" i="205" s="1"/>
  <c r="D87" i="205"/>
  <c r="L88" i="205"/>
  <c r="F88" i="205"/>
  <c r="F36" i="205"/>
  <c r="L36" i="205" s="1"/>
  <c r="R36" i="205" s="1"/>
  <c r="P54" i="205"/>
  <c r="P70" i="205" s="1"/>
  <c r="P78" i="205" s="1"/>
  <c r="J54" i="205"/>
  <c r="I54" i="205"/>
  <c r="O54" i="205"/>
  <c r="G54" i="205"/>
  <c r="Q54" i="205" s="1"/>
  <c r="L54" i="205"/>
  <c r="F54" i="205"/>
  <c r="N54" i="205"/>
  <c r="M54" i="205"/>
  <c r="K54" i="205"/>
  <c r="H54" i="205"/>
  <c r="L6" i="205"/>
  <c r="F6" i="205"/>
  <c r="R6" i="205" s="1"/>
  <c r="O6" i="205"/>
  <c r="H6" i="205"/>
  <c r="N6" i="205"/>
  <c r="G6" i="205"/>
  <c r="M6" i="205"/>
  <c r="K6" i="205"/>
  <c r="I6" i="205"/>
  <c r="P6" i="205"/>
  <c r="Q6" i="205"/>
  <c r="J6" i="205"/>
  <c r="P26" i="205"/>
  <c r="P37" i="205" s="1"/>
  <c r="I26" i="205"/>
  <c r="I37" i="205" s="1"/>
  <c r="M26" i="205"/>
  <c r="M37" i="205" s="1"/>
  <c r="K26" i="205"/>
  <c r="J26" i="205"/>
  <c r="H26" i="205"/>
  <c r="F26" i="205"/>
  <c r="N26" i="205"/>
  <c r="N37" i="205" s="1"/>
  <c r="O26" i="205"/>
  <c r="O37" i="205" s="1"/>
  <c r="D37" i="205"/>
  <c r="I42" i="205"/>
  <c r="I45" i="205" s="1"/>
  <c r="D45" i="205"/>
  <c r="D93" i="205"/>
  <c r="R46" i="205"/>
  <c r="R61" i="204"/>
  <c r="R30" i="204"/>
  <c r="M72" i="204"/>
  <c r="G72" i="204"/>
  <c r="K72" i="204"/>
  <c r="L72" i="204"/>
  <c r="F72" i="204"/>
  <c r="O72" i="204" s="1"/>
  <c r="H72" i="204"/>
  <c r="I72" i="204"/>
  <c r="J72" i="204"/>
  <c r="N72" i="204"/>
  <c r="N76" i="204" s="1"/>
  <c r="L17" i="204"/>
  <c r="F17" i="204"/>
  <c r="P17" i="204"/>
  <c r="I17" i="204"/>
  <c r="O17" i="204"/>
  <c r="G17" i="204"/>
  <c r="N17" i="204"/>
  <c r="K17" i="204"/>
  <c r="H17" i="204"/>
  <c r="M17" i="204"/>
  <c r="J17" i="204"/>
  <c r="R59" i="204"/>
  <c r="K46" i="204"/>
  <c r="K47" i="204" s="1"/>
  <c r="D47" i="204"/>
  <c r="N46" i="204"/>
  <c r="N47" i="204" s="1"/>
  <c r="F46" i="204"/>
  <c r="F47" i="204" s="1"/>
  <c r="P13" i="204"/>
  <c r="J13" i="204"/>
  <c r="L13" i="204"/>
  <c r="I13" i="204"/>
  <c r="H13" i="204"/>
  <c r="M13" i="204"/>
  <c r="F13" i="204"/>
  <c r="N13" i="204"/>
  <c r="K13" i="204"/>
  <c r="G13" i="204"/>
  <c r="O13" i="204"/>
  <c r="F36" i="204"/>
  <c r="J65" i="204"/>
  <c r="L65" i="204"/>
  <c r="K65" i="204"/>
  <c r="F65" i="204"/>
  <c r="H65" i="204"/>
  <c r="G65" i="204"/>
  <c r="N65" i="204"/>
  <c r="M65" i="204"/>
  <c r="I65" i="204"/>
  <c r="O65" i="204" s="1"/>
  <c r="I62" i="204"/>
  <c r="N62" i="204" s="1"/>
  <c r="R62" i="204" s="1"/>
  <c r="H94" i="204"/>
  <c r="R94" i="204"/>
  <c r="O94" i="204"/>
  <c r="O66" i="204"/>
  <c r="R66" i="204" s="1"/>
  <c r="Q30" i="204"/>
  <c r="R5" i="204"/>
  <c r="R50" i="204"/>
  <c r="R4" i="204"/>
  <c r="Q26" i="204"/>
  <c r="R51" i="204"/>
  <c r="Q31" i="204"/>
  <c r="R31" i="204" s="1"/>
  <c r="H25" i="204"/>
  <c r="O75" i="204"/>
  <c r="R75" i="204" s="1"/>
  <c r="F11" i="204"/>
  <c r="R11" i="204" s="1"/>
  <c r="Q90" i="204"/>
  <c r="R90" i="204"/>
  <c r="L90" i="204"/>
  <c r="N14" i="204"/>
  <c r="H14" i="204"/>
  <c r="L14" i="204"/>
  <c r="M14" i="204"/>
  <c r="K14" i="204"/>
  <c r="J14" i="204"/>
  <c r="F14" i="204"/>
  <c r="I14" i="204"/>
  <c r="O14" i="204"/>
  <c r="G14" i="204"/>
  <c r="Q14" i="204" s="1"/>
  <c r="R14" i="204" s="1"/>
  <c r="P14" i="204"/>
  <c r="I42" i="204"/>
  <c r="I45" i="204" s="1"/>
  <c r="D45" i="204"/>
  <c r="R42" i="204"/>
  <c r="N77" i="204"/>
  <c r="H77" i="204"/>
  <c r="R77" i="204" s="1"/>
  <c r="D76" i="204"/>
  <c r="K6" i="204"/>
  <c r="O6" i="204"/>
  <c r="H6" i="204"/>
  <c r="N6" i="204"/>
  <c r="G6" i="204"/>
  <c r="G25" i="204" s="1"/>
  <c r="G48" i="204" s="1"/>
  <c r="M6" i="204"/>
  <c r="M25" i="204" s="1"/>
  <c r="L6" i="204"/>
  <c r="P6" i="204"/>
  <c r="J6" i="204"/>
  <c r="I6" i="204"/>
  <c r="F6" i="204"/>
  <c r="Q6" i="204" s="1"/>
  <c r="R6" i="204" s="1"/>
  <c r="F15" i="204"/>
  <c r="N55" i="204"/>
  <c r="H55" i="204"/>
  <c r="Q55" i="204" s="1"/>
  <c r="J55" i="204"/>
  <c r="M55" i="204"/>
  <c r="G55" i="204"/>
  <c r="R55" i="204" s="1"/>
  <c r="O55" i="204"/>
  <c r="L55" i="204"/>
  <c r="I55" i="204"/>
  <c r="F55" i="204"/>
  <c r="P55" i="204"/>
  <c r="K55" i="204"/>
  <c r="J49" i="204"/>
  <c r="L49" i="204"/>
  <c r="I49" i="204"/>
  <c r="H49" i="204"/>
  <c r="N49" i="204"/>
  <c r="M49" i="204"/>
  <c r="G49" i="204"/>
  <c r="O49" i="204" s="1"/>
  <c r="D70" i="204"/>
  <c r="F49" i="204"/>
  <c r="K49" i="204"/>
  <c r="D83" i="204"/>
  <c r="R83" i="204" s="1"/>
  <c r="R79" i="204"/>
  <c r="F79" i="204"/>
  <c r="F83" i="204" s="1"/>
  <c r="R71" i="204"/>
  <c r="F43" i="204"/>
  <c r="F45" i="204" s="1"/>
  <c r="R43" i="204"/>
  <c r="N37" i="204"/>
  <c r="Q3" i="204"/>
  <c r="R3" i="204" s="1"/>
  <c r="R63" i="204"/>
  <c r="F63" i="204"/>
  <c r="R68" i="204"/>
  <c r="F68" i="204"/>
  <c r="K9" i="204"/>
  <c r="L9" i="204"/>
  <c r="I9" i="204"/>
  <c r="I25" i="204" s="1"/>
  <c r="P9" i="204"/>
  <c r="H9" i="204"/>
  <c r="O9" i="204"/>
  <c r="J9" i="204"/>
  <c r="N9" i="204"/>
  <c r="F9" i="204"/>
  <c r="Q9" i="204" s="1"/>
  <c r="M9" i="204"/>
  <c r="G9" i="204"/>
  <c r="N32" i="204"/>
  <c r="H32" i="204"/>
  <c r="Q32" i="204" s="1"/>
  <c r="J32" i="204"/>
  <c r="M32" i="204"/>
  <c r="P32" i="204"/>
  <c r="F32" i="204"/>
  <c r="O32" i="204"/>
  <c r="I32" i="204"/>
  <c r="G32" i="204"/>
  <c r="L32" i="204"/>
  <c r="K32" i="204"/>
  <c r="R67" i="204"/>
  <c r="H67" i="204"/>
  <c r="J52" i="204"/>
  <c r="L52" i="204"/>
  <c r="H52" i="204"/>
  <c r="N52" i="204"/>
  <c r="M52" i="204"/>
  <c r="F52" i="204"/>
  <c r="I52" i="204"/>
  <c r="G52" i="204"/>
  <c r="K52" i="204"/>
  <c r="O52" i="204" s="1"/>
  <c r="D109" i="204"/>
  <c r="F81" i="204"/>
  <c r="R81" i="204" s="1"/>
  <c r="N29" i="204"/>
  <c r="H29" i="204"/>
  <c r="R29" i="204" s="1"/>
  <c r="P29" i="204"/>
  <c r="I29" i="204"/>
  <c r="L29" i="204"/>
  <c r="F29" i="204"/>
  <c r="Q29" i="204" s="1"/>
  <c r="O29" i="204"/>
  <c r="M29" i="204"/>
  <c r="K29" i="204"/>
  <c r="J29" i="204"/>
  <c r="G29" i="204"/>
  <c r="L69" i="204"/>
  <c r="R69" i="204" s="1"/>
  <c r="R26" i="204"/>
  <c r="D25" i="204"/>
  <c r="Q28" i="204"/>
  <c r="R28" i="204" s="1"/>
  <c r="R16" i="204"/>
  <c r="P54" i="204"/>
  <c r="P70" i="204" s="1"/>
  <c r="P78" i="204" s="1"/>
  <c r="J54" i="204"/>
  <c r="I54" i="204"/>
  <c r="K54" i="204"/>
  <c r="L54" i="204"/>
  <c r="O54" i="204"/>
  <c r="N54" i="204"/>
  <c r="M54" i="204"/>
  <c r="F54" i="204"/>
  <c r="Q54" i="204" s="1"/>
  <c r="H54" i="204"/>
  <c r="G54" i="204"/>
  <c r="D87" i="204"/>
  <c r="L88" i="204"/>
  <c r="F88" i="204"/>
  <c r="R88" i="204" s="1"/>
  <c r="J12" i="204"/>
  <c r="I12" i="204"/>
  <c r="M12" i="204"/>
  <c r="L12" i="204"/>
  <c r="K12" i="204"/>
  <c r="F12" i="204"/>
  <c r="R12" i="204" s="1"/>
  <c r="N12" i="204"/>
  <c r="H12" i="204"/>
  <c r="G12" i="204"/>
  <c r="O12" i="204"/>
  <c r="J53" i="204"/>
  <c r="N53" i="204"/>
  <c r="G53" i="204"/>
  <c r="M53" i="204"/>
  <c r="L53" i="204"/>
  <c r="I53" i="204"/>
  <c r="H53" i="204"/>
  <c r="K53" i="204"/>
  <c r="F53" i="204"/>
  <c r="N93" i="204"/>
  <c r="H93" i="204"/>
  <c r="P93" i="204"/>
  <c r="I93" i="204"/>
  <c r="O93" i="204"/>
  <c r="G93" i="204"/>
  <c r="M93" i="204"/>
  <c r="F93" i="204"/>
  <c r="R93" i="204" s="1"/>
  <c r="K93" i="204"/>
  <c r="J93" i="204"/>
  <c r="L93" i="204"/>
  <c r="Q93" i="204"/>
  <c r="J64" i="204"/>
  <c r="I64" i="204"/>
  <c r="N64" i="204"/>
  <c r="F64" i="204"/>
  <c r="G64" i="204"/>
  <c r="H64" i="204"/>
  <c r="K64" i="204"/>
  <c r="M64" i="204"/>
  <c r="L64" i="204"/>
  <c r="Q57" i="204"/>
  <c r="R57" i="204" s="1"/>
  <c r="O10" i="204"/>
  <c r="O25" i="204" s="1"/>
  <c r="I10" i="204"/>
  <c r="L10" i="204"/>
  <c r="M10" i="204"/>
  <c r="K10" i="204"/>
  <c r="K25" i="204" s="1"/>
  <c r="P10" i="204"/>
  <c r="P25" i="204" s="1"/>
  <c r="P48" i="204" s="1"/>
  <c r="P2" i="204" s="1"/>
  <c r="P95" i="204" s="1"/>
  <c r="H10" i="204"/>
  <c r="F10" i="204"/>
  <c r="N10" i="204"/>
  <c r="N25" i="204" s="1"/>
  <c r="N48" i="204" s="1"/>
  <c r="J10" i="204"/>
  <c r="G10" i="204"/>
  <c r="L44" i="204"/>
  <c r="L45" i="204" s="1"/>
  <c r="M74" i="204"/>
  <c r="G74" i="204"/>
  <c r="I74" i="204"/>
  <c r="N74" i="204"/>
  <c r="L74" i="204"/>
  <c r="H74" i="204"/>
  <c r="F74" i="204"/>
  <c r="J74" i="204"/>
  <c r="K74" i="204"/>
  <c r="F60" i="204"/>
  <c r="R60" i="204" s="1"/>
  <c r="D92" i="204"/>
  <c r="F89" i="204"/>
  <c r="L89" i="204" s="1"/>
  <c r="M73" i="204"/>
  <c r="G73" i="204"/>
  <c r="R73" i="204" s="1"/>
  <c r="N73" i="204"/>
  <c r="F73" i="204"/>
  <c r="O73" i="204" s="1"/>
  <c r="I73" i="204"/>
  <c r="H73" i="204"/>
  <c r="L73" i="204"/>
  <c r="K73" i="204"/>
  <c r="J73" i="204"/>
  <c r="P27" i="204"/>
  <c r="P37" i="204" s="1"/>
  <c r="J27" i="204"/>
  <c r="J37" i="204" s="1"/>
  <c r="O27" i="204"/>
  <c r="Q27" i="204" s="1"/>
  <c r="H27" i="204"/>
  <c r="N27" i="204"/>
  <c r="F27" i="204"/>
  <c r="F37" i="204" s="1"/>
  <c r="M27" i="204"/>
  <c r="M37" i="204" s="1"/>
  <c r="L27" i="204"/>
  <c r="K27" i="204"/>
  <c r="K37" i="204" s="1"/>
  <c r="G27" i="204"/>
  <c r="G37" i="204" s="1"/>
  <c r="I27" i="204"/>
  <c r="I37" i="204" s="1"/>
  <c r="Q7" i="204"/>
  <c r="R7" i="204" s="1"/>
  <c r="D37" i="204"/>
  <c r="R7" i="203"/>
  <c r="L25" i="203"/>
  <c r="N31" i="203"/>
  <c r="H31" i="203"/>
  <c r="M31" i="203"/>
  <c r="G31" i="203"/>
  <c r="P31" i="203"/>
  <c r="J31" i="203"/>
  <c r="L31" i="203"/>
  <c r="F31" i="203"/>
  <c r="R31" i="203" s="1"/>
  <c r="Q31" i="203"/>
  <c r="K31" i="203"/>
  <c r="O31" i="203"/>
  <c r="I31" i="203"/>
  <c r="N16" i="203"/>
  <c r="H16" i="203"/>
  <c r="H25" i="203" s="1"/>
  <c r="H48" i="203" s="1"/>
  <c r="M16" i="203"/>
  <c r="G16" i="203"/>
  <c r="P16" i="203"/>
  <c r="L16" i="203"/>
  <c r="F16" i="203"/>
  <c r="R16" i="203" s="1"/>
  <c r="Q16" i="203"/>
  <c r="K16" i="203"/>
  <c r="O16" i="203"/>
  <c r="O25" i="203" s="1"/>
  <c r="O48" i="203" s="1"/>
  <c r="J16" i="203"/>
  <c r="I16" i="203"/>
  <c r="O94" i="203"/>
  <c r="R94" i="203" s="1"/>
  <c r="H94" i="203"/>
  <c r="N66" i="203"/>
  <c r="H66" i="203"/>
  <c r="M66" i="203"/>
  <c r="G66" i="203"/>
  <c r="L66" i="203"/>
  <c r="F66" i="203"/>
  <c r="K66" i="203"/>
  <c r="J66" i="203"/>
  <c r="I66" i="203"/>
  <c r="O66" i="203" s="1"/>
  <c r="F88" i="203"/>
  <c r="D87" i="203"/>
  <c r="F80" i="203"/>
  <c r="R80" i="203"/>
  <c r="F63" i="203"/>
  <c r="R63" i="203" s="1"/>
  <c r="Q90" i="203"/>
  <c r="L90" i="203"/>
  <c r="R90" i="203" s="1"/>
  <c r="M37" i="203"/>
  <c r="Q3" i="203"/>
  <c r="D37" i="203"/>
  <c r="K25" i="203"/>
  <c r="K48" i="203" s="1"/>
  <c r="N14" i="203"/>
  <c r="H14" i="203"/>
  <c r="M14" i="203"/>
  <c r="M25" i="203" s="1"/>
  <c r="M48" i="203" s="1"/>
  <c r="G14" i="203"/>
  <c r="G25" i="203" s="1"/>
  <c r="L14" i="203"/>
  <c r="F14" i="203"/>
  <c r="K14" i="203"/>
  <c r="J14" i="203"/>
  <c r="J25" i="203" s="1"/>
  <c r="P14" i="203"/>
  <c r="O14" i="203"/>
  <c r="I14" i="203"/>
  <c r="I25" i="203" s="1"/>
  <c r="H77" i="203"/>
  <c r="F36" i="203"/>
  <c r="L36" i="203" s="1"/>
  <c r="N54" i="203"/>
  <c r="H54" i="203"/>
  <c r="M54" i="203"/>
  <c r="G54" i="203"/>
  <c r="L54" i="203"/>
  <c r="F54" i="203"/>
  <c r="Q54" i="203" s="1"/>
  <c r="K54" i="203"/>
  <c r="P54" i="203"/>
  <c r="J54" i="203"/>
  <c r="O54" i="203"/>
  <c r="I54" i="203"/>
  <c r="H67" i="203"/>
  <c r="R67" i="203" s="1"/>
  <c r="D109" i="203"/>
  <c r="F82" i="203"/>
  <c r="R82" i="203" s="1"/>
  <c r="F68" i="203"/>
  <c r="R68" i="203" s="1"/>
  <c r="L93" i="203"/>
  <c r="F93" i="203"/>
  <c r="Q93" i="203" s="1"/>
  <c r="K93" i="203"/>
  <c r="P93" i="203"/>
  <c r="J93" i="203"/>
  <c r="O93" i="203"/>
  <c r="I93" i="203"/>
  <c r="N93" i="203"/>
  <c r="H93" i="203"/>
  <c r="M93" i="203"/>
  <c r="G93" i="203"/>
  <c r="Q45" i="203"/>
  <c r="R45" i="203"/>
  <c r="Q56" i="203"/>
  <c r="R56" i="203" s="1"/>
  <c r="K37" i="203"/>
  <c r="R5" i="203"/>
  <c r="R33" i="203"/>
  <c r="R13" i="203"/>
  <c r="R29" i="203"/>
  <c r="I62" i="203"/>
  <c r="N62" i="203" s="1"/>
  <c r="F79" i="203"/>
  <c r="D83" i="203"/>
  <c r="N57" i="203"/>
  <c r="H57" i="203"/>
  <c r="R57" i="203" s="1"/>
  <c r="M57" i="203"/>
  <c r="G57" i="203"/>
  <c r="L57" i="203"/>
  <c r="F57" i="203"/>
  <c r="K57" i="203"/>
  <c r="Q57" i="203" s="1"/>
  <c r="P57" i="203"/>
  <c r="J57" i="203"/>
  <c r="O57" i="203"/>
  <c r="I57" i="203"/>
  <c r="K72" i="203"/>
  <c r="J72" i="203"/>
  <c r="I72" i="203"/>
  <c r="N72" i="203"/>
  <c r="H72" i="203"/>
  <c r="O72" i="203" s="1"/>
  <c r="R72" i="203" s="1"/>
  <c r="M72" i="203"/>
  <c r="G72" i="203"/>
  <c r="L72" i="203"/>
  <c r="F72" i="203"/>
  <c r="R26" i="203"/>
  <c r="R3" i="203"/>
  <c r="N28" i="203"/>
  <c r="H28" i="203"/>
  <c r="M28" i="203"/>
  <c r="G28" i="203"/>
  <c r="G37" i="203" s="1"/>
  <c r="P28" i="203"/>
  <c r="P37" i="203" s="1"/>
  <c r="J28" i="203"/>
  <c r="J37" i="203" s="1"/>
  <c r="L28" i="203"/>
  <c r="F28" i="203"/>
  <c r="R28" i="203" s="1"/>
  <c r="Q28" i="203"/>
  <c r="K28" i="203"/>
  <c r="O28" i="203"/>
  <c r="I28" i="203"/>
  <c r="I37" i="203" s="1"/>
  <c r="R9" i="203"/>
  <c r="F81" i="203"/>
  <c r="R81" i="203" s="1"/>
  <c r="N50" i="203"/>
  <c r="H50" i="203"/>
  <c r="O50" i="203" s="1"/>
  <c r="R50" i="203" s="1"/>
  <c r="L50" i="203"/>
  <c r="F50" i="203"/>
  <c r="K50" i="203"/>
  <c r="J50" i="203"/>
  <c r="I50" i="203"/>
  <c r="G50" i="203"/>
  <c r="M50" i="203"/>
  <c r="R60" i="203"/>
  <c r="F60" i="203"/>
  <c r="D76" i="203"/>
  <c r="R71" i="203"/>
  <c r="F71" i="203"/>
  <c r="K73" i="203"/>
  <c r="J73" i="203"/>
  <c r="I73" i="203"/>
  <c r="N73" i="203"/>
  <c r="H73" i="203"/>
  <c r="M73" i="203"/>
  <c r="G73" i="203"/>
  <c r="O73" i="203" s="1"/>
  <c r="L73" i="203"/>
  <c r="F73" i="203"/>
  <c r="R44" i="203"/>
  <c r="Q10" i="203"/>
  <c r="R10" i="203" s="1"/>
  <c r="Q4" i="203"/>
  <c r="N37" i="203"/>
  <c r="O12" i="203"/>
  <c r="R12" i="203" s="1"/>
  <c r="Q59" i="203"/>
  <c r="R59" i="203" s="1"/>
  <c r="N25" i="203"/>
  <c r="N48" i="203" s="1"/>
  <c r="F89" i="203"/>
  <c r="L89" i="203" s="1"/>
  <c r="R89" i="203" s="1"/>
  <c r="N51" i="203"/>
  <c r="H51" i="203"/>
  <c r="M51" i="203"/>
  <c r="G51" i="203"/>
  <c r="L51" i="203"/>
  <c r="F51" i="203"/>
  <c r="R51" i="203" s="1"/>
  <c r="K51" i="203"/>
  <c r="J51" i="203"/>
  <c r="O51" i="203"/>
  <c r="I51" i="203"/>
  <c r="N64" i="203"/>
  <c r="H64" i="203"/>
  <c r="M64" i="203"/>
  <c r="G64" i="203"/>
  <c r="L64" i="203"/>
  <c r="F64" i="203"/>
  <c r="K64" i="203"/>
  <c r="J64" i="203"/>
  <c r="I64" i="203"/>
  <c r="L55" i="203"/>
  <c r="F55" i="203"/>
  <c r="Q55" i="203" s="1"/>
  <c r="K55" i="203"/>
  <c r="P55" i="203"/>
  <c r="J55" i="203"/>
  <c r="O55" i="203"/>
  <c r="I55" i="203"/>
  <c r="N55" i="203"/>
  <c r="H55" i="203"/>
  <c r="M55" i="203"/>
  <c r="G55" i="203"/>
  <c r="N46" i="203"/>
  <c r="N47" i="203" s="1"/>
  <c r="K46" i="203"/>
  <c r="K47" i="203" s="1"/>
  <c r="F46" i="203"/>
  <c r="F47" i="203" s="1"/>
  <c r="D47" i="203"/>
  <c r="K74" i="203"/>
  <c r="J74" i="203"/>
  <c r="I74" i="203"/>
  <c r="N74" i="203"/>
  <c r="H74" i="203"/>
  <c r="M74" i="203"/>
  <c r="G74" i="203"/>
  <c r="L74" i="203"/>
  <c r="F74" i="203"/>
  <c r="O74" i="203" s="1"/>
  <c r="H37" i="203"/>
  <c r="Q30" i="203"/>
  <c r="R30" i="203" s="1"/>
  <c r="N53" i="203"/>
  <c r="H53" i="203"/>
  <c r="M53" i="203"/>
  <c r="G53" i="203"/>
  <c r="L53" i="203"/>
  <c r="F53" i="203"/>
  <c r="R53" i="203" s="1"/>
  <c r="K53" i="203"/>
  <c r="J53" i="203"/>
  <c r="O53" i="203"/>
  <c r="I53" i="203"/>
  <c r="K92" i="203"/>
  <c r="J92" i="203"/>
  <c r="I92" i="203"/>
  <c r="H92" i="203"/>
  <c r="G92" i="203"/>
  <c r="L92" i="203"/>
  <c r="F92" i="203"/>
  <c r="N49" i="203"/>
  <c r="H49" i="203"/>
  <c r="L49" i="203"/>
  <c r="F49" i="203"/>
  <c r="K49" i="203"/>
  <c r="J49" i="203"/>
  <c r="I49" i="203"/>
  <c r="D70" i="203"/>
  <c r="M49" i="203"/>
  <c r="G49" i="203"/>
  <c r="G70" i="203" s="1"/>
  <c r="L69" i="203"/>
  <c r="F69" i="203"/>
  <c r="R69" i="203" s="1"/>
  <c r="N52" i="203"/>
  <c r="H52" i="203"/>
  <c r="O52" i="203" s="1"/>
  <c r="R52" i="203" s="1"/>
  <c r="M52" i="203"/>
  <c r="G52" i="203"/>
  <c r="L52" i="203"/>
  <c r="F52" i="203"/>
  <c r="K52" i="203"/>
  <c r="J52" i="203"/>
  <c r="I52" i="203"/>
  <c r="N65" i="203"/>
  <c r="H65" i="203"/>
  <c r="M65" i="203"/>
  <c r="G65" i="203"/>
  <c r="L65" i="203"/>
  <c r="F65" i="203"/>
  <c r="O65" i="203" s="1"/>
  <c r="K65" i="203"/>
  <c r="J65" i="203"/>
  <c r="R65" i="203" s="1"/>
  <c r="I65" i="203"/>
  <c r="L58" i="203"/>
  <c r="F58" i="203"/>
  <c r="R58" i="203" s="1"/>
  <c r="Q58" i="203"/>
  <c r="K58" i="203"/>
  <c r="P58" i="203"/>
  <c r="J58" i="203"/>
  <c r="O58" i="203"/>
  <c r="I58" i="203"/>
  <c r="N58" i="203"/>
  <c r="H58" i="203"/>
  <c r="G58" i="203"/>
  <c r="M58" i="203"/>
  <c r="K61" i="203"/>
  <c r="P61" i="203"/>
  <c r="J61" i="203"/>
  <c r="O61" i="203"/>
  <c r="I61" i="203"/>
  <c r="N61" i="203"/>
  <c r="H61" i="203"/>
  <c r="M61" i="203"/>
  <c r="G61" i="203"/>
  <c r="L61" i="203"/>
  <c r="F61" i="203"/>
  <c r="Q61" i="203" s="1"/>
  <c r="K75" i="203"/>
  <c r="J75" i="203"/>
  <c r="I75" i="203"/>
  <c r="N75" i="203"/>
  <c r="H75" i="203"/>
  <c r="O75" i="203" s="1"/>
  <c r="R75" i="203" s="1"/>
  <c r="M75" i="203"/>
  <c r="G75" i="203"/>
  <c r="L75" i="203"/>
  <c r="F75" i="203"/>
  <c r="Q7" i="203"/>
  <c r="R4" i="203"/>
  <c r="O37" i="203"/>
  <c r="Q26" i="203"/>
  <c r="G92" i="202"/>
  <c r="J92" i="202"/>
  <c r="K92" i="202"/>
  <c r="F92" i="202"/>
  <c r="L92" i="202"/>
  <c r="I92" i="202"/>
  <c r="H92" i="202"/>
  <c r="M75" i="202"/>
  <c r="G75" i="202"/>
  <c r="K75" i="202"/>
  <c r="H75" i="202"/>
  <c r="L75" i="202"/>
  <c r="F75" i="202"/>
  <c r="R75" i="202" s="1"/>
  <c r="J75" i="202"/>
  <c r="O75" i="202"/>
  <c r="N75" i="202"/>
  <c r="I75" i="202"/>
  <c r="L3" i="202"/>
  <c r="F3" i="202"/>
  <c r="F25" i="202" s="1"/>
  <c r="N3" i="202"/>
  <c r="G3" i="202"/>
  <c r="D25" i="202"/>
  <c r="M3" i="202"/>
  <c r="K3" i="202"/>
  <c r="J3" i="202"/>
  <c r="H3" i="202"/>
  <c r="I3" i="202"/>
  <c r="P3" i="202"/>
  <c r="O3" i="202"/>
  <c r="N5" i="202"/>
  <c r="H5" i="202"/>
  <c r="O5" i="202"/>
  <c r="G5" i="202"/>
  <c r="M5" i="202"/>
  <c r="F5" i="202"/>
  <c r="Q5" i="202" s="1"/>
  <c r="L5" i="202"/>
  <c r="K5" i="202"/>
  <c r="P5" i="202"/>
  <c r="J5" i="202"/>
  <c r="I5" i="202"/>
  <c r="N27" i="202"/>
  <c r="H27" i="202"/>
  <c r="K27" i="202"/>
  <c r="P27" i="202"/>
  <c r="G27" i="202"/>
  <c r="G37" i="202" s="1"/>
  <c r="O27" i="202"/>
  <c r="F27" i="202"/>
  <c r="Q27" i="202" s="1"/>
  <c r="J27" i="202"/>
  <c r="M27" i="202"/>
  <c r="L27" i="202"/>
  <c r="I27" i="202"/>
  <c r="L56" i="202"/>
  <c r="F56" i="202"/>
  <c r="J56" i="202"/>
  <c r="Q56" i="202" s="1"/>
  <c r="N56" i="202"/>
  <c r="I56" i="202"/>
  <c r="P56" i="202"/>
  <c r="H56" i="202"/>
  <c r="O56" i="202"/>
  <c r="M56" i="202"/>
  <c r="K56" i="202"/>
  <c r="G56" i="202"/>
  <c r="J49" i="202"/>
  <c r="L49" i="202"/>
  <c r="G49" i="202"/>
  <c r="K49" i="202"/>
  <c r="N49" i="202"/>
  <c r="F49" i="202"/>
  <c r="D70" i="202"/>
  <c r="M49" i="202"/>
  <c r="I49" i="202"/>
  <c r="H49" i="202"/>
  <c r="I62" i="202"/>
  <c r="R62" i="202" s="1"/>
  <c r="N62" i="202"/>
  <c r="H94" i="202"/>
  <c r="O94" i="202" s="1"/>
  <c r="L9" i="202"/>
  <c r="F9" i="202"/>
  <c r="P9" i="202"/>
  <c r="I9" i="202"/>
  <c r="O9" i="202"/>
  <c r="H9" i="202"/>
  <c r="N9" i="202"/>
  <c r="G9" i="202"/>
  <c r="M9" i="202"/>
  <c r="J9" i="202"/>
  <c r="K9" i="202"/>
  <c r="R46" i="202"/>
  <c r="O50" i="202"/>
  <c r="R50" i="202" s="1"/>
  <c r="R80" i="202"/>
  <c r="F80" i="202"/>
  <c r="R71" i="202"/>
  <c r="F71" i="202"/>
  <c r="D76" i="202"/>
  <c r="D87" i="202"/>
  <c r="L88" i="202"/>
  <c r="F88" i="202"/>
  <c r="R88" i="202"/>
  <c r="F43" i="202"/>
  <c r="F45" i="202" s="1"/>
  <c r="R47" i="202"/>
  <c r="Q47" i="202"/>
  <c r="M61" i="202"/>
  <c r="G61" i="202"/>
  <c r="Q61" i="202" s="1"/>
  <c r="R61" i="202" s="1"/>
  <c r="P61" i="202"/>
  <c r="I61" i="202"/>
  <c r="O61" i="202"/>
  <c r="F61" i="202"/>
  <c r="K61" i="202"/>
  <c r="J61" i="202"/>
  <c r="H61" i="202"/>
  <c r="N61" i="202"/>
  <c r="L61" i="202"/>
  <c r="P4" i="202"/>
  <c r="J4" i="202"/>
  <c r="Q4" i="202" s="1"/>
  <c r="N4" i="202"/>
  <c r="G4" i="202"/>
  <c r="M4" i="202"/>
  <c r="F4" i="202"/>
  <c r="L4" i="202"/>
  <c r="K4" i="202"/>
  <c r="R4" i="202" s="1"/>
  <c r="O4" i="202"/>
  <c r="I4" i="202"/>
  <c r="H4" i="202"/>
  <c r="J51" i="202"/>
  <c r="I51" i="202"/>
  <c r="H51" i="202"/>
  <c r="M51" i="202"/>
  <c r="G51" i="202"/>
  <c r="R51" i="202" s="1"/>
  <c r="N51" i="202"/>
  <c r="L51" i="202"/>
  <c r="K51" i="202"/>
  <c r="F51" i="202"/>
  <c r="O51" i="202" s="1"/>
  <c r="J66" i="202"/>
  <c r="O66" i="202" s="1"/>
  <c r="N66" i="202"/>
  <c r="G66" i="202"/>
  <c r="M66" i="202"/>
  <c r="I66" i="202"/>
  <c r="H66" i="202"/>
  <c r="L66" i="202"/>
  <c r="K66" i="202"/>
  <c r="F66" i="202"/>
  <c r="J52" i="202"/>
  <c r="L52" i="202"/>
  <c r="N52" i="202"/>
  <c r="F52" i="202"/>
  <c r="I52" i="202"/>
  <c r="H52" i="202"/>
  <c r="M52" i="202"/>
  <c r="K52" i="202"/>
  <c r="G52" i="202"/>
  <c r="H77" i="202"/>
  <c r="N77" i="202" s="1"/>
  <c r="R77" i="202" s="1"/>
  <c r="N8" i="202"/>
  <c r="H8" i="202"/>
  <c r="P8" i="202"/>
  <c r="I8" i="202"/>
  <c r="O8" i="202"/>
  <c r="G8" i="202"/>
  <c r="M8" i="202"/>
  <c r="F8" i="202"/>
  <c r="Q8" i="202" s="1"/>
  <c r="L8" i="202"/>
  <c r="K8" i="202"/>
  <c r="J8" i="202"/>
  <c r="Q10" i="202"/>
  <c r="R10" i="202" s="1"/>
  <c r="N55" i="202"/>
  <c r="H55" i="202"/>
  <c r="J55" i="202"/>
  <c r="K55" i="202"/>
  <c r="O55" i="202"/>
  <c r="F55" i="202"/>
  <c r="R55" i="202" s="1"/>
  <c r="I55" i="202"/>
  <c r="Q55" i="202" s="1"/>
  <c r="P55" i="202"/>
  <c r="M55" i="202"/>
  <c r="L55" i="202"/>
  <c r="G55" i="202"/>
  <c r="L6" i="202"/>
  <c r="F6" i="202"/>
  <c r="Q6" i="202" s="1"/>
  <c r="O6" i="202"/>
  <c r="H6" i="202"/>
  <c r="N6" i="202"/>
  <c r="G6" i="202"/>
  <c r="M6" i="202"/>
  <c r="K6" i="202"/>
  <c r="I6" i="202"/>
  <c r="J6" i="202"/>
  <c r="P6" i="202"/>
  <c r="N93" i="202"/>
  <c r="H93" i="202"/>
  <c r="M93" i="202"/>
  <c r="F93" i="202"/>
  <c r="I93" i="202"/>
  <c r="L93" i="202"/>
  <c r="G93" i="202"/>
  <c r="P93" i="202"/>
  <c r="K93" i="202"/>
  <c r="O93" i="202"/>
  <c r="J93" i="202"/>
  <c r="M74" i="202"/>
  <c r="G74" i="202"/>
  <c r="O74" i="202" s="1"/>
  <c r="I74" i="202"/>
  <c r="K74" i="202"/>
  <c r="F74" i="202"/>
  <c r="N74" i="202"/>
  <c r="J74" i="202"/>
  <c r="R74" i="202" s="1"/>
  <c r="L74" i="202"/>
  <c r="H74" i="202"/>
  <c r="F36" i="202"/>
  <c r="L36" i="202" s="1"/>
  <c r="R36" i="202" s="1"/>
  <c r="P54" i="202"/>
  <c r="J54" i="202"/>
  <c r="I54" i="202"/>
  <c r="O54" i="202"/>
  <c r="G54" i="202"/>
  <c r="R54" i="202" s="1"/>
  <c r="L54" i="202"/>
  <c r="F54" i="202"/>
  <c r="Q54" i="202" s="1"/>
  <c r="K54" i="202"/>
  <c r="N54" i="202"/>
  <c r="M54" i="202"/>
  <c r="H54" i="202"/>
  <c r="K12" i="202"/>
  <c r="N12" i="202"/>
  <c r="G12" i="202"/>
  <c r="M12" i="202"/>
  <c r="F12" i="202"/>
  <c r="O12" i="202" s="1"/>
  <c r="L12" i="202"/>
  <c r="J12" i="202"/>
  <c r="I12" i="202"/>
  <c r="H12" i="202"/>
  <c r="P57" i="202"/>
  <c r="J57" i="202"/>
  <c r="K57" i="202"/>
  <c r="H57" i="202"/>
  <c r="M57" i="202"/>
  <c r="O57" i="202"/>
  <c r="G57" i="202"/>
  <c r="N57" i="202"/>
  <c r="L57" i="202"/>
  <c r="I57" i="202"/>
  <c r="F57" i="202"/>
  <c r="Q57" i="202" s="1"/>
  <c r="F69" i="202"/>
  <c r="F60" i="202"/>
  <c r="R60" i="202"/>
  <c r="D83" i="202"/>
  <c r="R79" i="202"/>
  <c r="F79" i="202"/>
  <c r="P7" i="202"/>
  <c r="J7" i="202"/>
  <c r="O7" i="202"/>
  <c r="H7" i="202"/>
  <c r="Q7" i="202" s="1"/>
  <c r="N7" i="202"/>
  <c r="G7" i="202"/>
  <c r="M7" i="202"/>
  <c r="F7" i="202"/>
  <c r="L7" i="202"/>
  <c r="K7" i="202"/>
  <c r="I7" i="202"/>
  <c r="Q16" i="202"/>
  <c r="R16" i="202" s="1"/>
  <c r="P26" i="202"/>
  <c r="I26" i="202"/>
  <c r="I37" i="202" s="1"/>
  <c r="M26" i="202"/>
  <c r="K26" i="202"/>
  <c r="J26" i="202"/>
  <c r="D37" i="202"/>
  <c r="O26" i="202"/>
  <c r="H26" i="202"/>
  <c r="F26" i="202"/>
  <c r="Q26" i="202" s="1"/>
  <c r="N26" i="202"/>
  <c r="J53" i="202"/>
  <c r="N53" i="202"/>
  <c r="G53" i="202"/>
  <c r="K53" i="202"/>
  <c r="F53" i="202"/>
  <c r="O53" i="202" s="1"/>
  <c r="I53" i="202"/>
  <c r="M53" i="202"/>
  <c r="L53" i="202"/>
  <c r="H53" i="202"/>
  <c r="H67" i="202"/>
  <c r="R67" i="202"/>
  <c r="L30" i="202"/>
  <c r="F30" i="202"/>
  <c r="N30" i="202"/>
  <c r="G30" i="202"/>
  <c r="J30" i="202"/>
  <c r="P30" i="202"/>
  <c r="O30" i="202"/>
  <c r="I30" i="202"/>
  <c r="M30" i="202"/>
  <c r="K30" i="202"/>
  <c r="H30" i="202"/>
  <c r="L33" i="202"/>
  <c r="M33" i="202"/>
  <c r="F33" i="202"/>
  <c r="R33" i="202" s="1"/>
  <c r="P33" i="202"/>
  <c r="H33" i="202"/>
  <c r="Q33" i="202" s="1"/>
  <c r="K33" i="202"/>
  <c r="G33" i="202"/>
  <c r="J33" i="202"/>
  <c r="O33" i="202"/>
  <c r="N33" i="202"/>
  <c r="I33" i="202"/>
  <c r="N29" i="202"/>
  <c r="H29" i="202"/>
  <c r="M29" i="202"/>
  <c r="F29" i="202"/>
  <c r="R29" i="202" s="1"/>
  <c r="Q29" i="202"/>
  <c r="J29" i="202"/>
  <c r="I29" i="202"/>
  <c r="L29" i="202"/>
  <c r="G29" i="202"/>
  <c r="P29" i="202"/>
  <c r="O29" i="202"/>
  <c r="K29" i="202"/>
  <c r="K13" i="202"/>
  <c r="P13" i="202"/>
  <c r="I13" i="202"/>
  <c r="O13" i="202"/>
  <c r="H13" i="202"/>
  <c r="N13" i="202"/>
  <c r="G13" i="202"/>
  <c r="M13" i="202"/>
  <c r="F13" i="202"/>
  <c r="Q13" i="202" s="1"/>
  <c r="J13" i="202"/>
  <c r="L13" i="202"/>
  <c r="M72" i="202"/>
  <c r="G72" i="202"/>
  <c r="G76" i="202" s="1"/>
  <c r="K72" i="202"/>
  <c r="K76" i="202" s="1"/>
  <c r="I72" i="202"/>
  <c r="N72" i="202"/>
  <c r="H72" i="202"/>
  <c r="H76" i="202" s="1"/>
  <c r="L72" i="202"/>
  <c r="L76" i="202" s="1"/>
  <c r="J72" i="202"/>
  <c r="F72" i="202"/>
  <c r="M73" i="202"/>
  <c r="G73" i="202"/>
  <c r="N73" i="202"/>
  <c r="F73" i="202"/>
  <c r="J73" i="202"/>
  <c r="L73" i="202"/>
  <c r="K73" i="202"/>
  <c r="I73" i="202"/>
  <c r="H73" i="202"/>
  <c r="F63" i="202"/>
  <c r="R63" i="202" s="1"/>
  <c r="F81" i="202"/>
  <c r="R81" i="202"/>
  <c r="N32" i="202"/>
  <c r="H32" i="202"/>
  <c r="O32" i="202"/>
  <c r="G32" i="202"/>
  <c r="K32" i="202"/>
  <c r="J32" i="202"/>
  <c r="Q32" i="202" s="1"/>
  <c r="M32" i="202"/>
  <c r="I32" i="202"/>
  <c r="F32" i="202"/>
  <c r="R32" i="202" s="1"/>
  <c r="P32" i="202"/>
  <c r="L32" i="202"/>
  <c r="R31" i="202"/>
  <c r="F15" i="202"/>
  <c r="I42" i="202"/>
  <c r="I45" i="202" s="1"/>
  <c r="R42" i="202"/>
  <c r="D45" i="202"/>
  <c r="Q28" i="202"/>
  <c r="R28" i="202" s="1"/>
  <c r="P17" i="202"/>
  <c r="J17" i="202"/>
  <c r="M17" i="202"/>
  <c r="G17" i="202"/>
  <c r="O17" i="202"/>
  <c r="F17" i="202"/>
  <c r="N17" i="202"/>
  <c r="L17" i="202"/>
  <c r="K17" i="202"/>
  <c r="I17" i="202"/>
  <c r="H17" i="202"/>
  <c r="Q17" i="202" s="1"/>
  <c r="R17" i="202" s="1"/>
  <c r="Q90" i="202"/>
  <c r="F24" i="202"/>
  <c r="J65" i="202"/>
  <c r="L65" i="202"/>
  <c r="H65" i="202"/>
  <c r="M65" i="202"/>
  <c r="N65" i="202"/>
  <c r="O65" i="202" s="1"/>
  <c r="K65" i="202"/>
  <c r="G65" i="202"/>
  <c r="I65" i="202"/>
  <c r="F65" i="202"/>
  <c r="L89" i="202"/>
  <c r="R89" i="202"/>
  <c r="F89" i="202"/>
  <c r="R58" i="202"/>
  <c r="R94" i="201"/>
  <c r="R9" i="201"/>
  <c r="R13" i="201"/>
  <c r="L53" i="201"/>
  <c r="F53" i="201"/>
  <c r="K53" i="201"/>
  <c r="I53" i="201"/>
  <c r="H53" i="201"/>
  <c r="N53" i="201"/>
  <c r="M53" i="201"/>
  <c r="J53" i="201"/>
  <c r="G53" i="201"/>
  <c r="F11" i="201"/>
  <c r="R11" i="201" s="1"/>
  <c r="L51" i="201"/>
  <c r="F51" i="201"/>
  <c r="J51" i="201"/>
  <c r="I51" i="201"/>
  <c r="G51" i="201"/>
  <c r="O51" i="201"/>
  <c r="N51" i="201"/>
  <c r="M51" i="201"/>
  <c r="K51" i="201"/>
  <c r="R51" i="201" s="1"/>
  <c r="H51" i="201"/>
  <c r="F80" i="201"/>
  <c r="R80" i="201"/>
  <c r="L66" i="201"/>
  <c r="F66" i="201"/>
  <c r="K66" i="201"/>
  <c r="I66" i="201"/>
  <c r="H66" i="201"/>
  <c r="O66" i="201" s="1"/>
  <c r="J66" i="201"/>
  <c r="G66" i="201"/>
  <c r="N66" i="201"/>
  <c r="M66" i="201"/>
  <c r="R43" i="201"/>
  <c r="F43" i="201"/>
  <c r="F45" i="201" s="1"/>
  <c r="M27" i="201"/>
  <c r="G27" i="201"/>
  <c r="L27" i="201"/>
  <c r="F27" i="201"/>
  <c r="I27" i="201"/>
  <c r="P27" i="201"/>
  <c r="H27" i="201"/>
  <c r="O27" i="201"/>
  <c r="K27" i="201"/>
  <c r="K37" i="201" s="1"/>
  <c r="N27" i="201"/>
  <c r="N37" i="201" s="1"/>
  <c r="J27" i="201"/>
  <c r="I37" i="201"/>
  <c r="R30" i="201"/>
  <c r="K8" i="201"/>
  <c r="P8" i="201"/>
  <c r="J8" i="201"/>
  <c r="O8" i="201"/>
  <c r="I8" i="201"/>
  <c r="H8" i="201"/>
  <c r="G8" i="201"/>
  <c r="Q8" i="201" s="1"/>
  <c r="F8" i="201"/>
  <c r="R8" i="201" s="1"/>
  <c r="N8" i="201"/>
  <c r="M8" i="201"/>
  <c r="L8" i="201"/>
  <c r="R46" i="201"/>
  <c r="K46" i="201"/>
  <c r="K47" i="201" s="1"/>
  <c r="F46" i="201"/>
  <c r="F47" i="201" s="1"/>
  <c r="D47" i="201"/>
  <c r="N46" i="201"/>
  <c r="N47" i="201" s="1"/>
  <c r="L54" i="201"/>
  <c r="F54" i="201"/>
  <c r="Q54" i="201" s="1"/>
  <c r="K54" i="201"/>
  <c r="O54" i="201"/>
  <c r="G54" i="201"/>
  <c r="R54" i="201" s="1"/>
  <c r="N54" i="201"/>
  <c r="H54" i="201"/>
  <c r="P54" i="201"/>
  <c r="J54" i="201"/>
  <c r="I54" i="201"/>
  <c r="M54" i="201"/>
  <c r="O17" i="201"/>
  <c r="I17" i="201"/>
  <c r="N17" i="201"/>
  <c r="H17" i="201"/>
  <c r="G17" i="201"/>
  <c r="Q17" i="201" s="1"/>
  <c r="P17" i="201"/>
  <c r="F17" i="201"/>
  <c r="M17" i="201"/>
  <c r="L17" i="201"/>
  <c r="K17" i="201"/>
  <c r="J17" i="201"/>
  <c r="O94" i="201"/>
  <c r="D45" i="201"/>
  <c r="O12" i="201"/>
  <c r="R12" i="201" s="1"/>
  <c r="N33" i="201"/>
  <c r="H33" i="201"/>
  <c r="P33" i="201"/>
  <c r="I33" i="201"/>
  <c r="O33" i="201"/>
  <c r="G33" i="201"/>
  <c r="F33" i="201"/>
  <c r="R33" i="201" s="1"/>
  <c r="Q33" i="201"/>
  <c r="M33" i="201"/>
  <c r="L33" i="201"/>
  <c r="K33" i="201"/>
  <c r="J33" i="201"/>
  <c r="L49" i="201"/>
  <c r="F49" i="201"/>
  <c r="O49" i="201" s="1"/>
  <c r="D70" i="201"/>
  <c r="M49" i="201"/>
  <c r="K49" i="201"/>
  <c r="I49" i="201"/>
  <c r="H49" i="201"/>
  <c r="G49" i="201"/>
  <c r="N49" i="201"/>
  <c r="J49" i="201"/>
  <c r="F69" i="201"/>
  <c r="R69" i="201"/>
  <c r="L69" i="201"/>
  <c r="F15" i="201"/>
  <c r="Q32" i="201"/>
  <c r="P93" i="201"/>
  <c r="J93" i="201"/>
  <c r="O93" i="201"/>
  <c r="I93" i="201"/>
  <c r="M93" i="201"/>
  <c r="L93" i="201"/>
  <c r="K93" i="201"/>
  <c r="F93" i="201"/>
  <c r="N93" i="201"/>
  <c r="H93" i="201"/>
  <c r="G93" i="201"/>
  <c r="Q93" i="201" s="1"/>
  <c r="I72" i="201"/>
  <c r="N72" i="201"/>
  <c r="H72" i="201"/>
  <c r="G72" i="201"/>
  <c r="F72" i="201"/>
  <c r="M72" i="201"/>
  <c r="L72" i="201"/>
  <c r="K72" i="201"/>
  <c r="J72" i="201"/>
  <c r="K14" i="201"/>
  <c r="N14" i="201"/>
  <c r="G14" i="201"/>
  <c r="M14" i="201"/>
  <c r="F14" i="201"/>
  <c r="Q14" i="201" s="1"/>
  <c r="L14" i="201"/>
  <c r="J14" i="201"/>
  <c r="I14" i="201"/>
  <c r="P14" i="201"/>
  <c r="H14" i="201"/>
  <c r="O14" i="201"/>
  <c r="L52" i="201"/>
  <c r="F52" i="201"/>
  <c r="M52" i="201"/>
  <c r="K52" i="201"/>
  <c r="G52" i="201"/>
  <c r="O52" i="201"/>
  <c r="N52" i="201"/>
  <c r="I52" i="201"/>
  <c r="H52" i="201"/>
  <c r="R52" i="201" s="1"/>
  <c r="J52" i="201"/>
  <c r="F68" i="201"/>
  <c r="R68" i="201" s="1"/>
  <c r="F60" i="201"/>
  <c r="R60" i="201"/>
  <c r="F71" i="201"/>
  <c r="R71" i="201" s="1"/>
  <c r="D76" i="201"/>
  <c r="D109" i="201" s="1"/>
  <c r="M10" i="201"/>
  <c r="G10" i="201"/>
  <c r="L10" i="201"/>
  <c r="F10" i="201"/>
  <c r="Q10" i="201" s="1"/>
  <c r="K10" i="201"/>
  <c r="P10" i="201"/>
  <c r="O10" i="201"/>
  <c r="I10" i="201"/>
  <c r="N10" i="201"/>
  <c r="J10" i="201"/>
  <c r="H10" i="201"/>
  <c r="R10" i="201" s="1"/>
  <c r="L24" i="201"/>
  <c r="R24" i="201" s="1"/>
  <c r="R32" i="201"/>
  <c r="D37" i="201"/>
  <c r="D48" i="201" s="1"/>
  <c r="R6" i="201"/>
  <c r="F79" i="201"/>
  <c r="D83" i="201"/>
  <c r="K31" i="201"/>
  <c r="P31" i="201"/>
  <c r="J31" i="201"/>
  <c r="O31" i="201"/>
  <c r="G31" i="201"/>
  <c r="Q31" i="201" s="1"/>
  <c r="N31" i="201"/>
  <c r="F31" i="201"/>
  <c r="M31" i="201"/>
  <c r="L31" i="201"/>
  <c r="I31" i="201"/>
  <c r="H31" i="201"/>
  <c r="L50" i="201"/>
  <c r="F50" i="201"/>
  <c r="O50" i="201" s="1"/>
  <c r="R50" i="201" s="1"/>
  <c r="H50" i="201"/>
  <c r="N50" i="201"/>
  <c r="G50" i="201"/>
  <c r="I50" i="201"/>
  <c r="K50" i="201"/>
  <c r="J50" i="201"/>
  <c r="M50" i="201"/>
  <c r="Q90" i="201"/>
  <c r="F88" i="201"/>
  <c r="L88" i="201"/>
  <c r="R88" i="201"/>
  <c r="D87" i="201"/>
  <c r="K5" i="201"/>
  <c r="P5" i="201"/>
  <c r="J5" i="201"/>
  <c r="O5" i="201"/>
  <c r="I5" i="201"/>
  <c r="N5" i="201"/>
  <c r="M5" i="201"/>
  <c r="M25" i="201" s="1"/>
  <c r="L5" i="201"/>
  <c r="H5" i="201"/>
  <c r="G5" i="201"/>
  <c r="G25" i="201" s="1"/>
  <c r="F5" i="201"/>
  <c r="Q5" i="201" s="1"/>
  <c r="L57" i="201"/>
  <c r="F57" i="201"/>
  <c r="Q57" i="201" s="1"/>
  <c r="K57" i="201"/>
  <c r="I57" i="201"/>
  <c r="P57" i="201"/>
  <c r="H57" i="201"/>
  <c r="O57" i="201"/>
  <c r="N57" i="201"/>
  <c r="M57" i="201"/>
  <c r="J57" i="201"/>
  <c r="G57" i="201"/>
  <c r="F82" i="201"/>
  <c r="R82" i="201" s="1"/>
  <c r="R81" i="201"/>
  <c r="F81" i="201"/>
  <c r="I75" i="201"/>
  <c r="N75" i="201"/>
  <c r="H75" i="201"/>
  <c r="G75" i="201"/>
  <c r="F75" i="201"/>
  <c r="M75" i="201"/>
  <c r="L75" i="201"/>
  <c r="K75" i="201"/>
  <c r="J75" i="201"/>
  <c r="K16" i="201"/>
  <c r="P16" i="201"/>
  <c r="J16" i="201"/>
  <c r="M16" i="201"/>
  <c r="L16" i="201"/>
  <c r="I16" i="201"/>
  <c r="H16" i="201"/>
  <c r="G16" i="201"/>
  <c r="O16" i="201"/>
  <c r="F16" i="201"/>
  <c r="N16" i="201"/>
  <c r="N56" i="201"/>
  <c r="H56" i="201"/>
  <c r="M56" i="201"/>
  <c r="G56" i="201"/>
  <c r="Q56" i="201" s="1"/>
  <c r="O56" i="201"/>
  <c r="L56" i="201"/>
  <c r="F56" i="201"/>
  <c r="P56" i="201"/>
  <c r="J56" i="201"/>
  <c r="I56" i="201"/>
  <c r="K56" i="201"/>
  <c r="R56" i="201" s="1"/>
  <c r="I73" i="201"/>
  <c r="N73" i="201"/>
  <c r="H73" i="201"/>
  <c r="M73" i="201"/>
  <c r="L73" i="201"/>
  <c r="K73" i="201"/>
  <c r="J73" i="201"/>
  <c r="G73" i="201"/>
  <c r="F73" i="201"/>
  <c r="L64" i="201"/>
  <c r="F64" i="201"/>
  <c r="K64" i="201"/>
  <c r="G64" i="201"/>
  <c r="N64" i="201"/>
  <c r="H64" i="201"/>
  <c r="O64" i="201" s="1"/>
  <c r="M64" i="201"/>
  <c r="J64" i="201"/>
  <c r="I64" i="201"/>
  <c r="M7" i="201"/>
  <c r="G7" i="201"/>
  <c r="L7" i="201"/>
  <c r="F7" i="201"/>
  <c r="Q7" i="201" s="1"/>
  <c r="K7" i="201"/>
  <c r="J7" i="201"/>
  <c r="I7" i="201"/>
  <c r="O7" i="201"/>
  <c r="H7" i="201"/>
  <c r="H25" i="201" s="1"/>
  <c r="H48" i="201" s="1"/>
  <c r="P7" i="201"/>
  <c r="N7" i="201"/>
  <c r="N25" i="201"/>
  <c r="I92" i="201"/>
  <c r="H92" i="201"/>
  <c r="F92" i="201"/>
  <c r="M92" i="201" s="1"/>
  <c r="L92" i="201"/>
  <c r="K92" i="201"/>
  <c r="J92" i="201"/>
  <c r="G92" i="201"/>
  <c r="H67" i="201"/>
  <c r="R67" i="201" s="1"/>
  <c r="L44" i="201"/>
  <c r="L45" i="201" s="1"/>
  <c r="P55" i="201"/>
  <c r="J55" i="201"/>
  <c r="O55" i="201"/>
  <c r="I55" i="201"/>
  <c r="K55" i="201"/>
  <c r="H55" i="201"/>
  <c r="F55" i="201"/>
  <c r="Q55" i="201"/>
  <c r="N55" i="201"/>
  <c r="M55" i="201"/>
  <c r="L55" i="201"/>
  <c r="R55" i="201" s="1"/>
  <c r="G55" i="201"/>
  <c r="H77" i="201"/>
  <c r="N77" i="201" s="1"/>
  <c r="K28" i="201"/>
  <c r="P28" i="201"/>
  <c r="J28" i="201"/>
  <c r="J37" i="201" s="1"/>
  <c r="M28" i="201"/>
  <c r="M37" i="201" s="1"/>
  <c r="L28" i="201"/>
  <c r="I28" i="201"/>
  <c r="H28" i="201"/>
  <c r="H37" i="201" s="1"/>
  <c r="G28" i="201"/>
  <c r="O28" i="201"/>
  <c r="F28" i="201"/>
  <c r="N28" i="201"/>
  <c r="P58" i="201"/>
  <c r="J58" i="201"/>
  <c r="O58" i="201"/>
  <c r="I58" i="201"/>
  <c r="M58" i="201"/>
  <c r="L58" i="201"/>
  <c r="F58" i="201"/>
  <c r="Q58" i="201" s="1"/>
  <c r="K58" i="201"/>
  <c r="N58" i="201"/>
  <c r="H58" i="201"/>
  <c r="G58" i="201"/>
  <c r="R58" i="201" s="1"/>
  <c r="L65" i="201"/>
  <c r="F65" i="201"/>
  <c r="K65" i="201"/>
  <c r="M65" i="201"/>
  <c r="J65" i="201"/>
  <c r="H65" i="201"/>
  <c r="G65" i="201"/>
  <c r="R65" i="201" s="1"/>
  <c r="O65" i="201"/>
  <c r="N65" i="201"/>
  <c r="I65" i="201"/>
  <c r="O29" i="201"/>
  <c r="O37" i="201" s="1"/>
  <c r="I29" i="201"/>
  <c r="N29" i="201"/>
  <c r="H29" i="201"/>
  <c r="G29" i="201"/>
  <c r="P29" i="201"/>
  <c r="F29" i="201"/>
  <c r="Q29" i="201" s="1"/>
  <c r="M29" i="201"/>
  <c r="L29" i="201"/>
  <c r="K29" i="201"/>
  <c r="J29" i="201"/>
  <c r="M4" i="201"/>
  <c r="G4" i="201"/>
  <c r="L4" i="201"/>
  <c r="F4" i="201"/>
  <c r="F25" i="201" s="1"/>
  <c r="K4" i="201"/>
  <c r="P4" i="201"/>
  <c r="O4" i="201"/>
  <c r="O25" i="201" s="1"/>
  <c r="O48" i="201" s="1"/>
  <c r="N4" i="201"/>
  <c r="J4" i="201"/>
  <c r="I4" i="201"/>
  <c r="Q4" i="201" s="1"/>
  <c r="H4" i="201"/>
  <c r="Q3" i="201"/>
  <c r="R3" i="201" s="1"/>
  <c r="F82" i="200"/>
  <c r="R82" i="200" s="1"/>
  <c r="N54" i="200"/>
  <c r="H54" i="200"/>
  <c r="L54" i="200"/>
  <c r="R54" i="200" s="1"/>
  <c r="F54" i="200"/>
  <c r="Q54" i="200" s="1"/>
  <c r="M54" i="200"/>
  <c r="J54" i="200"/>
  <c r="P54" i="200"/>
  <c r="O54" i="200"/>
  <c r="I54" i="200"/>
  <c r="G54" i="200"/>
  <c r="K54" i="200"/>
  <c r="K74" i="200"/>
  <c r="I74" i="200"/>
  <c r="G74" i="200"/>
  <c r="M74" i="200"/>
  <c r="L74" i="200"/>
  <c r="J74" i="200"/>
  <c r="H74" i="200"/>
  <c r="N74" i="200"/>
  <c r="F74" i="200"/>
  <c r="D25" i="200"/>
  <c r="M3" i="200"/>
  <c r="G3" i="200"/>
  <c r="L3" i="200"/>
  <c r="K3" i="200"/>
  <c r="P3" i="200"/>
  <c r="F3" i="200"/>
  <c r="O3" i="200"/>
  <c r="I3" i="200"/>
  <c r="J3" i="200"/>
  <c r="N3" i="200"/>
  <c r="H3" i="200"/>
  <c r="K75" i="200"/>
  <c r="I75" i="200"/>
  <c r="M75" i="200"/>
  <c r="J75" i="200"/>
  <c r="N75" i="200"/>
  <c r="L75" i="200"/>
  <c r="H75" i="200"/>
  <c r="O75" i="200" s="1"/>
  <c r="G75" i="200"/>
  <c r="F75" i="200"/>
  <c r="R75" i="200" s="1"/>
  <c r="D76" i="200"/>
  <c r="F71" i="200"/>
  <c r="R71" i="200"/>
  <c r="P33" i="200"/>
  <c r="J33" i="200"/>
  <c r="N33" i="200"/>
  <c r="H33" i="200"/>
  <c r="O33" i="200"/>
  <c r="F33" i="200"/>
  <c r="Q33" i="200" s="1"/>
  <c r="L33" i="200"/>
  <c r="K33" i="200"/>
  <c r="I33" i="200"/>
  <c r="M33" i="200"/>
  <c r="G33" i="200"/>
  <c r="F81" i="200"/>
  <c r="R81" i="200" s="1"/>
  <c r="I62" i="200"/>
  <c r="N62" i="200" s="1"/>
  <c r="F36" i="200"/>
  <c r="L36" i="200" s="1"/>
  <c r="R36" i="200" s="1"/>
  <c r="I12" i="200"/>
  <c r="M12" i="200"/>
  <c r="R12" i="200" s="1"/>
  <c r="F12" i="200"/>
  <c r="O12" i="200" s="1"/>
  <c r="L12" i="200"/>
  <c r="K12" i="200"/>
  <c r="J12" i="200"/>
  <c r="H12" i="200"/>
  <c r="N12" i="200"/>
  <c r="G12" i="200"/>
  <c r="M28" i="200"/>
  <c r="G28" i="200"/>
  <c r="L28" i="200"/>
  <c r="K28" i="200"/>
  <c r="J28" i="200"/>
  <c r="I28" i="200"/>
  <c r="F28" i="200"/>
  <c r="Q28" i="200" s="1"/>
  <c r="H28" i="200"/>
  <c r="R28" i="200" s="1"/>
  <c r="O28" i="200"/>
  <c r="N28" i="200"/>
  <c r="P28" i="200"/>
  <c r="H94" i="200"/>
  <c r="R94" i="200" s="1"/>
  <c r="O94" i="200"/>
  <c r="K29" i="200"/>
  <c r="M29" i="200"/>
  <c r="F29" i="200"/>
  <c r="L29" i="200"/>
  <c r="J29" i="200"/>
  <c r="Q29" i="200" s="1"/>
  <c r="I29" i="200"/>
  <c r="G29" i="200"/>
  <c r="H29" i="200"/>
  <c r="O29" i="200"/>
  <c r="N29" i="200"/>
  <c r="P29" i="200"/>
  <c r="K72" i="200"/>
  <c r="I72" i="200"/>
  <c r="M72" i="200"/>
  <c r="J72" i="200"/>
  <c r="H72" i="200"/>
  <c r="G72" i="200"/>
  <c r="F72" i="200"/>
  <c r="O72" i="200" s="1"/>
  <c r="L72" i="200"/>
  <c r="N72" i="200"/>
  <c r="L58" i="200"/>
  <c r="F58" i="200"/>
  <c r="P58" i="200"/>
  <c r="J58" i="200"/>
  <c r="K58" i="200"/>
  <c r="H58" i="200"/>
  <c r="O58" i="200"/>
  <c r="N58" i="200"/>
  <c r="M58" i="200"/>
  <c r="G58" i="200"/>
  <c r="I58" i="200"/>
  <c r="N49" i="200"/>
  <c r="H49" i="200"/>
  <c r="L49" i="200"/>
  <c r="F49" i="200"/>
  <c r="J49" i="200"/>
  <c r="G49" i="200"/>
  <c r="K49" i="200"/>
  <c r="I49" i="200"/>
  <c r="D70" i="200"/>
  <c r="M49" i="200"/>
  <c r="H67" i="200"/>
  <c r="R67" i="200"/>
  <c r="P56" i="200"/>
  <c r="J56" i="200"/>
  <c r="N56" i="200"/>
  <c r="H56" i="200"/>
  <c r="L56" i="200"/>
  <c r="I56" i="200"/>
  <c r="Q56" i="200"/>
  <c r="O56" i="200"/>
  <c r="M56" i="200"/>
  <c r="G56" i="200"/>
  <c r="F56" i="200"/>
  <c r="R56" i="200" s="1"/>
  <c r="K56" i="200"/>
  <c r="R43" i="200"/>
  <c r="F43" i="200"/>
  <c r="F45" i="200" s="1"/>
  <c r="O13" i="200"/>
  <c r="I13" i="200"/>
  <c r="P13" i="200"/>
  <c r="H13" i="200"/>
  <c r="Q13" i="200" s="1"/>
  <c r="R13" i="200" s="1"/>
  <c r="N13" i="200"/>
  <c r="G13" i="200"/>
  <c r="M13" i="200"/>
  <c r="F13" i="200"/>
  <c r="L13" i="200"/>
  <c r="K13" i="200"/>
  <c r="J13" i="200"/>
  <c r="N52" i="200"/>
  <c r="H52" i="200"/>
  <c r="L52" i="200"/>
  <c r="F52" i="200"/>
  <c r="J52" i="200"/>
  <c r="G52" i="200"/>
  <c r="M52" i="200"/>
  <c r="K52" i="200"/>
  <c r="I52" i="200"/>
  <c r="N53" i="200"/>
  <c r="H53" i="200"/>
  <c r="L53" i="200"/>
  <c r="F53" i="200"/>
  <c r="G53" i="200"/>
  <c r="M53" i="200"/>
  <c r="K53" i="200"/>
  <c r="J53" i="200"/>
  <c r="I53" i="200"/>
  <c r="H77" i="200"/>
  <c r="N77" i="200" s="1"/>
  <c r="L44" i="200"/>
  <c r="L45" i="200" s="1"/>
  <c r="R44" i="200"/>
  <c r="F24" i="200"/>
  <c r="L24" i="200" s="1"/>
  <c r="K4" i="200"/>
  <c r="P4" i="200"/>
  <c r="J4" i="200"/>
  <c r="R4" i="200" s="1"/>
  <c r="O4" i="200"/>
  <c r="I4" i="200"/>
  <c r="N4" i="200"/>
  <c r="M4" i="200"/>
  <c r="G4" i="200"/>
  <c r="F4" i="200"/>
  <c r="L4" i="200"/>
  <c r="H4" i="200"/>
  <c r="Q4" i="200" s="1"/>
  <c r="D45" i="200"/>
  <c r="I42" i="200"/>
  <c r="I45" i="200" s="1"/>
  <c r="R42" i="200"/>
  <c r="L55" i="200"/>
  <c r="F55" i="200"/>
  <c r="P55" i="200"/>
  <c r="J55" i="200"/>
  <c r="H55" i="200"/>
  <c r="N55" i="200"/>
  <c r="O55" i="200"/>
  <c r="M55" i="200"/>
  <c r="K55" i="200"/>
  <c r="G55" i="200"/>
  <c r="Q55" i="200" s="1"/>
  <c r="I55" i="200"/>
  <c r="L32" i="200"/>
  <c r="P32" i="200"/>
  <c r="K32" i="200"/>
  <c r="O32" i="200"/>
  <c r="G32" i="200"/>
  <c r="N32" i="200"/>
  <c r="F32" i="200"/>
  <c r="M32" i="200"/>
  <c r="J32" i="200"/>
  <c r="H32" i="200"/>
  <c r="I32" i="200"/>
  <c r="K73" i="200"/>
  <c r="I73" i="200"/>
  <c r="J73" i="200"/>
  <c r="G73" i="200"/>
  <c r="L73" i="200"/>
  <c r="H73" i="200"/>
  <c r="F73" i="200"/>
  <c r="N73" i="200"/>
  <c r="M73" i="200"/>
  <c r="N57" i="200"/>
  <c r="H57" i="200"/>
  <c r="L57" i="200"/>
  <c r="F57" i="200"/>
  <c r="P57" i="200"/>
  <c r="G57" i="200"/>
  <c r="M57" i="200"/>
  <c r="O57" i="200"/>
  <c r="K57" i="200"/>
  <c r="J57" i="200"/>
  <c r="I57" i="200"/>
  <c r="K7" i="200"/>
  <c r="P7" i="200"/>
  <c r="J7" i="200"/>
  <c r="O7" i="200"/>
  <c r="I7" i="200"/>
  <c r="H7" i="200"/>
  <c r="Q7" i="200" s="1"/>
  <c r="G7" i="200"/>
  <c r="M7" i="200"/>
  <c r="L7" i="200"/>
  <c r="F7" i="200"/>
  <c r="N7" i="200"/>
  <c r="F46" i="200"/>
  <c r="F47" i="200" s="1"/>
  <c r="D47" i="200"/>
  <c r="K46" i="200"/>
  <c r="K47" i="200" s="1"/>
  <c r="N46" i="200"/>
  <c r="N47" i="200" s="1"/>
  <c r="O8" i="200"/>
  <c r="I8" i="200"/>
  <c r="N8" i="200"/>
  <c r="H8" i="200"/>
  <c r="M8" i="200"/>
  <c r="G8" i="200"/>
  <c r="F8" i="200"/>
  <c r="K8" i="200"/>
  <c r="J8" i="200"/>
  <c r="P8" i="200"/>
  <c r="L8" i="200"/>
  <c r="M31" i="200"/>
  <c r="G31" i="200"/>
  <c r="N31" i="200"/>
  <c r="F31" i="200"/>
  <c r="Q31" i="200" s="1"/>
  <c r="L31" i="200"/>
  <c r="K31" i="200"/>
  <c r="J31" i="200"/>
  <c r="H31" i="200"/>
  <c r="I31" i="200"/>
  <c r="P31" i="200"/>
  <c r="O31" i="200"/>
  <c r="K61" i="200"/>
  <c r="O61" i="200"/>
  <c r="I61" i="200"/>
  <c r="P61" i="200"/>
  <c r="G61" i="200"/>
  <c r="M61" i="200"/>
  <c r="L61" i="200"/>
  <c r="J61" i="200"/>
  <c r="H61" i="200"/>
  <c r="N61" i="200"/>
  <c r="F61" i="200"/>
  <c r="M14" i="200"/>
  <c r="G14" i="200"/>
  <c r="P14" i="200"/>
  <c r="I14" i="200"/>
  <c r="Q14" i="200" s="1"/>
  <c r="O14" i="200"/>
  <c r="H14" i="200"/>
  <c r="N14" i="200"/>
  <c r="F14" i="200"/>
  <c r="L14" i="200"/>
  <c r="K14" i="200"/>
  <c r="J14" i="200"/>
  <c r="O5" i="200"/>
  <c r="I5" i="200"/>
  <c r="N5" i="200"/>
  <c r="H5" i="200"/>
  <c r="M5" i="200"/>
  <c r="G5" i="200"/>
  <c r="Q5" i="200" s="1"/>
  <c r="R5" i="200" s="1"/>
  <c r="L5" i="200"/>
  <c r="K5" i="200"/>
  <c r="P5" i="200"/>
  <c r="J5" i="200"/>
  <c r="F5" i="200"/>
  <c r="J26" i="200"/>
  <c r="D37" i="200"/>
  <c r="K26" i="200"/>
  <c r="K37" i="200" s="1"/>
  <c r="I26" i="200"/>
  <c r="P26" i="200"/>
  <c r="H26" i="200"/>
  <c r="F26" i="200"/>
  <c r="N26" i="200"/>
  <c r="M26" i="200"/>
  <c r="O26" i="200"/>
  <c r="F69" i="200"/>
  <c r="M6" i="200"/>
  <c r="G6" i="200"/>
  <c r="L6" i="200"/>
  <c r="F6" i="200"/>
  <c r="K6" i="200"/>
  <c r="J6" i="200"/>
  <c r="I6" i="200"/>
  <c r="O6" i="200"/>
  <c r="N6" i="200"/>
  <c r="H6" i="200"/>
  <c r="P6" i="200"/>
  <c r="L89" i="200"/>
  <c r="R89" i="200" s="1"/>
  <c r="F89" i="200"/>
  <c r="N66" i="200"/>
  <c r="H66" i="200"/>
  <c r="L66" i="200"/>
  <c r="F66" i="200"/>
  <c r="G66" i="200"/>
  <c r="M66" i="200"/>
  <c r="I66" i="200"/>
  <c r="K66" i="200"/>
  <c r="J66" i="200"/>
  <c r="M16" i="200"/>
  <c r="G16" i="200"/>
  <c r="L16" i="200"/>
  <c r="K16" i="200"/>
  <c r="J16" i="200"/>
  <c r="I16" i="200"/>
  <c r="H16" i="200"/>
  <c r="O16" i="200"/>
  <c r="N16" i="200"/>
  <c r="F16" i="200"/>
  <c r="Q16" i="200" s="1"/>
  <c r="P16" i="200"/>
  <c r="N64" i="200"/>
  <c r="H64" i="200"/>
  <c r="L64" i="200"/>
  <c r="F64" i="200"/>
  <c r="M64" i="200"/>
  <c r="J64" i="200"/>
  <c r="I64" i="200"/>
  <c r="G64" i="200"/>
  <c r="K64" i="200"/>
  <c r="L15" i="200"/>
  <c r="F15" i="200"/>
  <c r="R15" i="200" s="1"/>
  <c r="F88" i="200"/>
  <c r="L88" i="200" s="1"/>
  <c r="D87" i="200"/>
  <c r="R63" i="200"/>
  <c r="F63" i="200"/>
  <c r="Q90" i="200"/>
  <c r="L90" i="200"/>
  <c r="R90" i="200" s="1"/>
  <c r="F60" i="200"/>
  <c r="R60" i="200"/>
  <c r="O30" i="200"/>
  <c r="I30" i="200"/>
  <c r="M30" i="200"/>
  <c r="F30" i="200"/>
  <c r="Q30" i="200" s="1"/>
  <c r="L30" i="200"/>
  <c r="K30" i="200"/>
  <c r="J30" i="200"/>
  <c r="G30" i="200"/>
  <c r="H30" i="200"/>
  <c r="P30" i="200"/>
  <c r="N30" i="200"/>
  <c r="N50" i="200"/>
  <c r="H50" i="200"/>
  <c r="L50" i="200"/>
  <c r="F50" i="200"/>
  <c r="G50" i="200"/>
  <c r="M50" i="200"/>
  <c r="K50" i="200"/>
  <c r="J50" i="200"/>
  <c r="I50" i="200"/>
  <c r="P59" i="200"/>
  <c r="J59" i="200"/>
  <c r="N59" i="200"/>
  <c r="H59" i="200"/>
  <c r="O59" i="200"/>
  <c r="F59" i="200"/>
  <c r="L59" i="200"/>
  <c r="M59" i="200"/>
  <c r="K59" i="200"/>
  <c r="I59" i="200"/>
  <c r="G59" i="200"/>
  <c r="K10" i="200"/>
  <c r="P10" i="200"/>
  <c r="J10" i="200"/>
  <c r="O10" i="200"/>
  <c r="I10" i="200"/>
  <c r="N10" i="200"/>
  <c r="M10" i="200"/>
  <c r="G10" i="200"/>
  <c r="F10" i="200"/>
  <c r="L10" i="200"/>
  <c r="H10" i="200"/>
  <c r="D92" i="200"/>
  <c r="F11" i="200"/>
  <c r="R11" i="200" s="1"/>
  <c r="N51" i="200"/>
  <c r="H51" i="200"/>
  <c r="L51" i="200"/>
  <c r="F51" i="200"/>
  <c r="M51" i="200"/>
  <c r="J51" i="200"/>
  <c r="K51" i="200"/>
  <c r="I51" i="200"/>
  <c r="G51" i="200"/>
  <c r="F80" i="200"/>
  <c r="R80" i="200" s="1"/>
  <c r="M9" i="200"/>
  <c r="G9" i="200"/>
  <c r="L9" i="200"/>
  <c r="F9" i="200"/>
  <c r="K9" i="200"/>
  <c r="P9" i="200"/>
  <c r="O9" i="200"/>
  <c r="I9" i="200"/>
  <c r="H9" i="200"/>
  <c r="N9" i="200"/>
  <c r="J9" i="200"/>
  <c r="R79" i="200"/>
  <c r="F79" i="200"/>
  <c r="D83" i="200"/>
  <c r="O27" i="200"/>
  <c r="I27" i="200"/>
  <c r="L27" i="200"/>
  <c r="K27" i="200"/>
  <c r="J27" i="200"/>
  <c r="H27" i="200"/>
  <c r="F27" i="200"/>
  <c r="Q27" i="200" s="1"/>
  <c r="G27" i="200"/>
  <c r="G37" i="200" s="1"/>
  <c r="N27" i="200"/>
  <c r="M27" i="200"/>
  <c r="P27" i="200"/>
  <c r="N65" i="200"/>
  <c r="H65" i="200"/>
  <c r="L65" i="200"/>
  <c r="F65" i="200"/>
  <c r="J65" i="200"/>
  <c r="G65" i="200"/>
  <c r="M65" i="200"/>
  <c r="I65" i="200"/>
  <c r="K65" i="200"/>
  <c r="K17" i="200"/>
  <c r="M17" i="200"/>
  <c r="F17" i="200"/>
  <c r="L17" i="200"/>
  <c r="J17" i="200"/>
  <c r="I17" i="200"/>
  <c r="H17" i="200"/>
  <c r="O17" i="200"/>
  <c r="N17" i="200"/>
  <c r="G17" i="200"/>
  <c r="P17" i="200"/>
  <c r="D109" i="200"/>
  <c r="R68" i="200"/>
  <c r="F68" i="200"/>
  <c r="D93" i="200"/>
  <c r="R66" i="199"/>
  <c r="R8" i="199"/>
  <c r="N65" i="199"/>
  <c r="H65" i="199"/>
  <c r="J65" i="199"/>
  <c r="F65" i="199"/>
  <c r="O65" i="199" s="1"/>
  <c r="L65" i="199"/>
  <c r="K65" i="199"/>
  <c r="I65" i="199"/>
  <c r="G65" i="199"/>
  <c r="M65" i="199"/>
  <c r="P59" i="199"/>
  <c r="J59" i="199"/>
  <c r="L59" i="199"/>
  <c r="F59" i="199"/>
  <c r="K59" i="199"/>
  <c r="H59" i="199"/>
  <c r="G59" i="199"/>
  <c r="Q59" i="199" s="1"/>
  <c r="O59" i="199"/>
  <c r="N59" i="199"/>
  <c r="M59" i="199"/>
  <c r="I59" i="199"/>
  <c r="H77" i="199"/>
  <c r="N77" i="199" s="1"/>
  <c r="N31" i="199"/>
  <c r="H31" i="199"/>
  <c r="P31" i="199"/>
  <c r="I31" i="199"/>
  <c r="O31" i="199"/>
  <c r="G31" i="199"/>
  <c r="R31" i="199" s="1"/>
  <c r="M31" i="199"/>
  <c r="F31" i="199"/>
  <c r="L31" i="199"/>
  <c r="Q31" i="199"/>
  <c r="K31" i="199"/>
  <c r="J31" i="199"/>
  <c r="D76" i="199"/>
  <c r="F71" i="199"/>
  <c r="R71" i="199" s="1"/>
  <c r="L5" i="199"/>
  <c r="F5" i="199"/>
  <c r="M5" i="199"/>
  <c r="O5" i="199"/>
  <c r="H5" i="199"/>
  <c r="K5" i="199"/>
  <c r="G5" i="199"/>
  <c r="Q5" i="199" s="1"/>
  <c r="J5" i="199"/>
  <c r="P5" i="199"/>
  <c r="I5" i="199"/>
  <c r="N5" i="199"/>
  <c r="L32" i="199"/>
  <c r="F32" i="199"/>
  <c r="P32" i="199"/>
  <c r="I32" i="199"/>
  <c r="O32" i="199"/>
  <c r="H32" i="199"/>
  <c r="R32" i="199" s="1"/>
  <c r="N32" i="199"/>
  <c r="G32" i="199"/>
  <c r="M32" i="199"/>
  <c r="K32" i="199"/>
  <c r="J32" i="199"/>
  <c r="Q32" i="199" s="1"/>
  <c r="D87" i="199"/>
  <c r="F88" i="199"/>
  <c r="N28" i="199"/>
  <c r="H28" i="199"/>
  <c r="O28" i="199"/>
  <c r="G28" i="199"/>
  <c r="M28" i="199"/>
  <c r="F28" i="199"/>
  <c r="Q28" i="199" s="1"/>
  <c r="L28" i="199"/>
  <c r="K28" i="199"/>
  <c r="P28" i="199"/>
  <c r="J28" i="199"/>
  <c r="I28" i="199"/>
  <c r="R28" i="199" s="1"/>
  <c r="D109" i="199"/>
  <c r="P56" i="199"/>
  <c r="J56" i="199"/>
  <c r="L56" i="199"/>
  <c r="F56" i="199"/>
  <c r="Q56" i="199" s="1"/>
  <c r="H56" i="199"/>
  <c r="G56" i="199"/>
  <c r="O56" i="199"/>
  <c r="N56" i="199"/>
  <c r="M56" i="199"/>
  <c r="K56" i="199"/>
  <c r="I56" i="199"/>
  <c r="N52" i="199"/>
  <c r="H52" i="199"/>
  <c r="J52" i="199"/>
  <c r="F52" i="199"/>
  <c r="O52" i="199" s="1"/>
  <c r="M52" i="199"/>
  <c r="L52" i="199"/>
  <c r="K52" i="199"/>
  <c r="I52" i="199"/>
  <c r="G52" i="199"/>
  <c r="F80" i="199"/>
  <c r="R80" i="199"/>
  <c r="F81" i="199"/>
  <c r="R81" i="199" s="1"/>
  <c r="R63" i="199"/>
  <c r="F63" i="199"/>
  <c r="Q90" i="199"/>
  <c r="L90" i="199"/>
  <c r="R90" i="199" s="1"/>
  <c r="L17" i="199"/>
  <c r="F17" i="199"/>
  <c r="O17" i="199"/>
  <c r="H17" i="199"/>
  <c r="N17" i="199"/>
  <c r="G17" i="199"/>
  <c r="M17" i="199"/>
  <c r="K17" i="199"/>
  <c r="J17" i="199"/>
  <c r="I17" i="199"/>
  <c r="P17" i="199"/>
  <c r="F69" i="199"/>
  <c r="L69" i="199" s="1"/>
  <c r="R69" i="199" s="1"/>
  <c r="F82" i="199"/>
  <c r="R82" i="199"/>
  <c r="D83" i="199"/>
  <c r="R79" i="199"/>
  <c r="F79" i="199"/>
  <c r="N4" i="199"/>
  <c r="H4" i="199"/>
  <c r="L4" i="199"/>
  <c r="O4" i="199"/>
  <c r="G4" i="199"/>
  <c r="Q4" i="199" s="1"/>
  <c r="K4" i="199"/>
  <c r="F4" i="199"/>
  <c r="R4" i="199" s="1"/>
  <c r="J4" i="199"/>
  <c r="P4" i="199"/>
  <c r="I4" i="199"/>
  <c r="M4" i="199"/>
  <c r="F43" i="199"/>
  <c r="F45" i="199" s="1"/>
  <c r="L29" i="199"/>
  <c r="F29" i="199"/>
  <c r="O29" i="199"/>
  <c r="H29" i="199"/>
  <c r="N29" i="199"/>
  <c r="G29" i="199"/>
  <c r="M29" i="199"/>
  <c r="K29" i="199"/>
  <c r="J29" i="199"/>
  <c r="I29" i="199"/>
  <c r="P29" i="199"/>
  <c r="N53" i="199"/>
  <c r="H53" i="199"/>
  <c r="J53" i="199"/>
  <c r="L53" i="199"/>
  <c r="M53" i="199"/>
  <c r="K53" i="199"/>
  <c r="I53" i="199"/>
  <c r="G53" i="199"/>
  <c r="F53" i="199"/>
  <c r="O53" i="199" s="1"/>
  <c r="D92" i="199"/>
  <c r="F89" i="199"/>
  <c r="L89" i="199" s="1"/>
  <c r="R89" i="199" s="1"/>
  <c r="F68" i="199"/>
  <c r="R68" i="199" s="1"/>
  <c r="L93" i="199"/>
  <c r="F93" i="199"/>
  <c r="N93" i="199"/>
  <c r="H93" i="199"/>
  <c r="J93" i="199"/>
  <c r="P93" i="199"/>
  <c r="O93" i="199"/>
  <c r="M93" i="199"/>
  <c r="K93" i="199"/>
  <c r="I93" i="199"/>
  <c r="G93" i="199"/>
  <c r="P6" i="199"/>
  <c r="J6" i="199"/>
  <c r="M6" i="199"/>
  <c r="F6" i="199"/>
  <c r="O6" i="199"/>
  <c r="H6" i="199"/>
  <c r="L6" i="199"/>
  <c r="G6" i="199"/>
  <c r="K6" i="199"/>
  <c r="I6" i="199"/>
  <c r="N6" i="199"/>
  <c r="L33" i="199"/>
  <c r="J33" i="199"/>
  <c r="I33" i="199"/>
  <c r="P33" i="199"/>
  <c r="H33" i="199"/>
  <c r="O33" i="199"/>
  <c r="G33" i="199"/>
  <c r="N33" i="199"/>
  <c r="F33" i="199"/>
  <c r="Q33" i="199" s="1"/>
  <c r="M33" i="199"/>
  <c r="K33" i="199"/>
  <c r="H67" i="199"/>
  <c r="R67" i="199" s="1"/>
  <c r="K26" i="199"/>
  <c r="N26" i="199"/>
  <c r="M26" i="199"/>
  <c r="J26" i="199"/>
  <c r="D37" i="199"/>
  <c r="Q26" i="199"/>
  <c r="R26" i="199" s="1"/>
  <c r="I26" i="199"/>
  <c r="H26" i="199"/>
  <c r="P26" i="199"/>
  <c r="F26" i="199"/>
  <c r="O26" i="199"/>
  <c r="K74" i="199"/>
  <c r="M74" i="199"/>
  <c r="G74" i="199"/>
  <c r="L74" i="199"/>
  <c r="N74" i="199"/>
  <c r="J74" i="199"/>
  <c r="I74" i="199"/>
  <c r="H74" i="199"/>
  <c r="F74" i="199"/>
  <c r="P27" i="199"/>
  <c r="J27" i="199"/>
  <c r="Q27" i="199" s="1"/>
  <c r="N27" i="199"/>
  <c r="G27" i="199"/>
  <c r="M27" i="199"/>
  <c r="F27" i="199"/>
  <c r="L27" i="199"/>
  <c r="K27" i="199"/>
  <c r="I27" i="199"/>
  <c r="H27" i="199"/>
  <c r="O27" i="199"/>
  <c r="N51" i="199"/>
  <c r="H51" i="199"/>
  <c r="J51" i="199"/>
  <c r="I51" i="199"/>
  <c r="F51" i="199"/>
  <c r="R51" i="199" s="1"/>
  <c r="O51" i="199"/>
  <c r="M51" i="199"/>
  <c r="L51" i="199"/>
  <c r="K51" i="199"/>
  <c r="G51" i="199"/>
  <c r="K61" i="199"/>
  <c r="M61" i="199"/>
  <c r="G61" i="199"/>
  <c r="L61" i="199"/>
  <c r="N61" i="199"/>
  <c r="J61" i="199"/>
  <c r="I61" i="199"/>
  <c r="H61" i="199"/>
  <c r="F61" i="199"/>
  <c r="O61" i="199"/>
  <c r="P61" i="199"/>
  <c r="P3" i="199"/>
  <c r="J3" i="199"/>
  <c r="L3" i="199"/>
  <c r="N3" i="199"/>
  <c r="G3" i="199"/>
  <c r="K3" i="199"/>
  <c r="F3" i="199"/>
  <c r="Q3" i="199" s="1"/>
  <c r="I3" i="199"/>
  <c r="D25" i="199"/>
  <c r="O3" i="199"/>
  <c r="H3" i="199"/>
  <c r="H25" i="199" s="1"/>
  <c r="M3" i="199"/>
  <c r="L55" i="199"/>
  <c r="F55" i="199"/>
  <c r="N55" i="199"/>
  <c r="H55" i="199"/>
  <c r="M55" i="199"/>
  <c r="J55" i="199"/>
  <c r="I55" i="199"/>
  <c r="G55" i="199"/>
  <c r="Q55" i="199" s="1"/>
  <c r="P55" i="199"/>
  <c r="P70" i="199" s="1"/>
  <c r="P78" i="199" s="1"/>
  <c r="O55" i="199"/>
  <c r="K55" i="199"/>
  <c r="M9" i="199"/>
  <c r="G9" i="199"/>
  <c r="L9" i="199"/>
  <c r="F9" i="199"/>
  <c r="Q9" i="199" s="1"/>
  <c r="K9" i="199"/>
  <c r="P9" i="199"/>
  <c r="J9" i="199"/>
  <c r="I9" i="199"/>
  <c r="H9" i="199"/>
  <c r="O9" i="199"/>
  <c r="N9" i="199"/>
  <c r="N49" i="199"/>
  <c r="H49" i="199"/>
  <c r="J49" i="199"/>
  <c r="F49" i="199"/>
  <c r="I49" i="199"/>
  <c r="G49" i="199"/>
  <c r="D70" i="199"/>
  <c r="M49" i="199"/>
  <c r="M70" i="199" s="1"/>
  <c r="L49" i="199"/>
  <c r="K49" i="199"/>
  <c r="L12" i="199"/>
  <c r="F12" i="199"/>
  <c r="O12" i="199" s="1"/>
  <c r="K12" i="199"/>
  <c r="J12" i="199"/>
  <c r="I12" i="199"/>
  <c r="H12" i="199"/>
  <c r="N12" i="199"/>
  <c r="G12" i="199"/>
  <c r="R12" i="199" s="1"/>
  <c r="M12" i="199"/>
  <c r="K7" i="199"/>
  <c r="P7" i="199"/>
  <c r="J7" i="199"/>
  <c r="R7" i="199" s="1"/>
  <c r="O7" i="199"/>
  <c r="I7" i="199"/>
  <c r="N7" i="199"/>
  <c r="H7" i="199"/>
  <c r="M7" i="199"/>
  <c r="L7" i="199"/>
  <c r="G7" i="199"/>
  <c r="F7" i="199"/>
  <c r="Q7" i="199" s="1"/>
  <c r="N57" i="199"/>
  <c r="H57" i="199"/>
  <c r="P57" i="199"/>
  <c r="J57" i="199"/>
  <c r="L57" i="199"/>
  <c r="O57" i="199"/>
  <c r="M57" i="199"/>
  <c r="K57" i="199"/>
  <c r="I57" i="199"/>
  <c r="R57" i="199" s="1"/>
  <c r="G57" i="199"/>
  <c r="F57" i="199"/>
  <c r="Q57" i="199" s="1"/>
  <c r="K72" i="199"/>
  <c r="M72" i="199"/>
  <c r="M76" i="199" s="1"/>
  <c r="M78" i="199" s="1"/>
  <c r="G72" i="199"/>
  <c r="I72" i="199"/>
  <c r="N72" i="199"/>
  <c r="L72" i="199"/>
  <c r="J72" i="199"/>
  <c r="J76" i="199" s="1"/>
  <c r="H72" i="199"/>
  <c r="F72" i="199"/>
  <c r="O72" i="199" s="1"/>
  <c r="P30" i="199"/>
  <c r="J30" i="199"/>
  <c r="O30" i="199"/>
  <c r="H30" i="199"/>
  <c r="N30" i="199"/>
  <c r="G30" i="199"/>
  <c r="M30" i="199"/>
  <c r="F30" i="199"/>
  <c r="Q30" i="199" s="1"/>
  <c r="L30" i="199"/>
  <c r="K30" i="199"/>
  <c r="I30" i="199"/>
  <c r="L44" i="199"/>
  <c r="L45" i="199" s="1"/>
  <c r="R44" i="199"/>
  <c r="K46" i="199"/>
  <c r="K47" i="199" s="1"/>
  <c r="F46" i="199"/>
  <c r="F47" i="199" s="1"/>
  <c r="D47" i="199"/>
  <c r="N46" i="199"/>
  <c r="N47" i="199" s="1"/>
  <c r="F36" i="199"/>
  <c r="L36" i="199" s="1"/>
  <c r="R36" i="199" s="1"/>
  <c r="K75" i="199"/>
  <c r="M75" i="199"/>
  <c r="G75" i="199"/>
  <c r="I75" i="199"/>
  <c r="L75" i="199"/>
  <c r="J75" i="199"/>
  <c r="H75" i="199"/>
  <c r="F75" i="199"/>
  <c r="R75" i="199" s="1"/>
  <c r="O75" i="199"/>
  <c r="N75" i="199"/>
  <c r="F24" i="199"/>
  <c r="L58" i="199"/>
  <c r="F58" i="199"/>
  <c r="Q58" i="199" s="1"/>
  <c r="N58" i="199"/>
  <c r="H58" i="199"/>
  <c r="P58" i="199"/>
  <c r="G58" i="199"/>
  <c r="K58" i="199"/>
  <c r="J58" i="199"/>
  <c r="I58" i="199"/>
  <c r="M58" i="199"/>
  <c r="O58" i="199"/>
  <c r="N16" i="199"/>
  <c r="H16" i="199"/>
  <c r="O16" i="199"/>
  <c r="G16" i="199"/>
  <c r="M16" i="199"/>
  <c r="F16" i="199"/>
  <c r="Q16" i="199" s="1"/>
  <c r="L16" i="199"/>
  <c r="K16" i="199"/>
  <c r="J16" i="199"/>
  <c r="I16" i="199"/>
  <c r="P16" i="199"/>
  <c r="N50" i="199"/>
  <c r="H50" i="199"/>
  <c r="J50" i="199"/>
  <c r="L50" i="199"/>
  <c r="G50" i="199"/>
  <c r="F50" i="199"/>
  <c r="O50" i="199" s="1"/>
  <c r="M50" i="199"/>
  <c r="K50" i="199"/>
  <c r="I50" i="199"/>
  <c r="L13" i="199"/>
  <c r="F13" i="199"/>
  <c r="K13" i="199"/>
  <c r="P13" i="199"/>
  <c r="J13" i="199"/>
  <c r="O13" i="199"/>
  <c r="I13" i="199"/>
  <c r="N13" i="199"/>
  <c r="M13" i="199"/>
  <c r="H13" i="199"/>
  <c r="G13" i="199"/>
  <c r="Q13" i="199" s="1"/>
  <c r="K10" i="199"/>
  <c r="P10" i="199"/>
  <c r="J10" i="199"/>
  <c r="O10" i="199"/>
  <c r="I10" i="199"/>
  <c r="Q10" i="199" s="1"/>
  <c r="N10" i="199"/>
  <c r="H10" i="199"/>
  <c r="G10" i="199"/>
  <c r="F10" i="199"/>
  <c r="M10" i="199"/>
  <c r="L10" i="199"/>
  <c r="F60" i="199"/>
  <c r="R60" i="199"/>
  <c r="I62" i="199"/>
  <c r="H94" i="199"/>
  <c r="K73" i="199"/>
  <c r="M73" i="199"/>
  <c r="G73" i="199"/>
  <c r="O73" i="199" s="1"/>
  <c r="F73" i="199"/>
  <c r="N73" i="199"/>
  <c r="L73" i="199"/>
  <c r="J73" i="199"/>
  <c r="I73" i="199"/>
  <c r="H73" i="199"/>
  <c r="N64" i="199"/>
  <c r="H64" i="199"/>
  <c r="J64" i="199"/>
  <c r="I64" i="199"/>
  <c r="M64" i="199"/>
  <c r="L64" i="199"/>
  <c r="K64" i="199"/>
  <c r="G64" i="199"/>
  <c r="O64" i="199" s="1"/>
  <c r="F64" i="199"/>
  <c r="R32" i="198"/>
  <c r="R75" i="198"/>
  <c r="R13" i="198"/>
  <c r="I12" i="198"/>
  <c r="L12" i="198"/>
  <c r="F12" i="198"/>
  <c r="N12" i="198"/>
  <c r="H12" i="198"/>
  <c r="O12" i="198" s="1"/>
  <c r="M12" i="198"/>
  <c r="K12" i="198"/>
  <c r="G12" i="198"/>
  <c r="J12" i="198"/>
  <c r="N7" i="198"/>
  <c r="H7" i="198"/>
  <c r="K7" i="198"/>
  <c r="J7" i="198"/>
  <c r="I7" i="198"/>
  <c r="M7" i="198"/>
  <c r="P7" i="198"/>
  <c r="G7" i="198"/>
  <c r="O7" i="198"/>
  <c r="F7" i="198"/>
  <c r="Q7" i="198" s="1"/>
  <c r="L7" i="198"/>
  <c r="K14" i="198"/>
  <c r="O14" i="198"/>
  <c r="H14" i="198"/>
  <c r="L14" i="198"/>
  <c r="G14" i="198"/>
  <c r="Q14" i="198" s="1"/>
  <c r="I14" i="198"/>
  <c r="P14" i="198"/>
  <c r="F14" i="198"/>
  <c r="N14" i="198"/>
  <c r="M14" i="198"/>
  <c r="J14" i="198"/>
  <c r="J64" i="198"/>
  <c r="I64" i="198"/>
  <c r="G64" i="198"/>
  <c r="O64" i="198" s="1"/>
  <c r="L64" i="198"/>
  <c r="F64" i="198"/>
  <c r="M64" i="198"/>
  <c r="K64" i="198"/>
  <c r="H64" i="198"/>
  <c r="N64" i="198"/>
  <c r="L8" i="198"/>
  <c r="F8" i="198"/>
  <c r="O8" i="198"/>
  <c r="I8" i="198"/>
  <c r="N8" i="198"/>
  <c r="H8" i="198"/>
  <c r="M8" i="198"/>
  <c r="K8" i="198"/>
  <c r="J8" i="198"/>
  <c r="P8" i="198"/>
  <c r="G8" i="198"/>
  <c r="N10" i="198"/>
  <c r="H10" i="198"/>
  <c r="K10" i="198"/>
  <c r="M10" i="198"/>
  <c r="O10" i="198"/>
  <c r="L10" i="198"/>
  <c r="G10" i="198"/>
  <c r="J10" i="198"/>
  <c r="P10" i="198"/>
  <c r="I10" i="198"/>
  <c r="Q10" i="198" s="1"/>
  <c r="R10" i="198" s="1"/>
  <c r="F10" i="198"/>
  <c r="K16" i="198"/>
  <c r="L16" i="198"/>
  <c r="O16" i="198"/>
  <c r="H16" i="198"/>
  <c r="J16" i="198"/>
  <c r="I16" i="198"/>
  <c r="N16" i="198"/>
  <c r="G16" i="198"/>
  <c r="R16" i="198" s="1"/>
  <c r="P16" i="198"/>
  <c r="F16" i="198"/>
  <c r="Q16" i="198" s="1"/>
  <c r="M16" i="198"/>
  <c r="I42" i="198"/>
  <c r="I45" i="198" s="1"/>
  <c r="R42" i="198"/>
  <c r="D45" i="198"/>
  <c r="L33" i="198"/>
  <c r="K33" i="198"/>
  <c r="O33" i="198"/>
  <c r="G33" i="198"/>
  <c r="P33" i="198"/>
  <c r="F33" i="198"/>
  <c r="J33" i="198"/>
  <c r="I33" i="198"/>
  <c r="M33" i="198"/>
  <c r="H33" i="198"/>
  <c r="N33" i="198"/>
  <c r="D86" i="198"/>
  <c r="F86" i="198" s="1"/>
  <c r="Q57" i="198"/>
  <c r="P9" i="198"/>
  <c r="J9" i="198"/>
  <c r="Q9" i="198" s="1"/>
  <c r="M9" i="198"/>
  <c r="G9" i="198"/>
  <c r="I9" i="198"/>
  <c r="L9" i="198"/>
  <c r="H9" i="198"/>
  <c r="O9" i="198"/>
  <c r="F9" i="198"/>
  <c r="N9" i="198"/>
  <c r="K9" i="198"/>
  <c r="D25" i="198"/>
  <c r="M3" i="198"/>
  <c r="G3" i="198"/>
  <c r="L3" i="198"/>
  <c r="K3" i="198"/>
  <c r="O3" i="198"/>
  <c r="J3" i="198"/>
  <c r="H3" i="198"/>
  <c r="P3" i="198"/>
  <c r="I3" i="198"/>
  <c r="F3" i="198"/>
  <c r="F25" i="198" s="1"/>
  <c r="N3" i="198"/>
  <c r="Q90" i="198"/>
  <c r="L90" i="198"/>
  <c r="R90" i="198"/>
  <c r="L15" i="198"/>
  <c r="F15" i="198"/>
  <c r="R15" i="198" s="1"/>
  <c r="F82" i="198"/>
  <c r="R82" i="198" s="1"/>
  <c r="M30" i="198"/>
  <c r="G30" i="198"/>
  <c r="L30" i="198"/>
  <c r="P30" i="198"/>
  <c r="I30" i="198"/>
  <c r="H30" i="198"/>
  <c r="K30" i="198"/>
  <c r="Q30" i="198"/>
  <c r="F30" i="198"/>
  <c r="R30" i="198" s="1"/>
  <c r="O30" i="198"/>
  <c r="N30" i="198"/>
  <c r="J30" i="198"/>
  <c r="K28" i="198"/>
  <c r="L28" i="198"/>
  <c r="O28" i="198"/>
  <c r="H28" i="198"/>
  <c r="N28" i="198"/>
  <c r="G28" i="198"/>
  <c r="R28" i="198" s="1"/>
  <c r="P28" i="198"/>
  <c r="M28" i="198"/>
  <c r="J28" i="198"/>
  <c r="F28" i="198"/>
  <c r="Q28" i="198" s="1"/>
  <c r="I28" i="198"/>
  <c r="F60" i="198"/>
  <c r="R60" i="198" s="1"/>
  <c r="L44" i="198"/>
  <c r="L45" i="198" s="1"/>
  <c r="H77" i="198"/>
  <c r="R77" i="198" s="1"/>
  <c r="N77" i="198"/>
  <c r="Q13" i="198"/>
  <c r="F36" i="198"/>
  <c r="L36" i="198" s="1"/>
  <c r="J53" i="198"/>
  <c r="I53" i="198"/>
  <c r="K53" i="198"/>
  <c r="M53" i="198"/>
  <c r="G53" i="198"/>
  <c r="H53" i="198"/>
  <c r="O53" i="198" s="1"/>
  <c r="N53" i="198"/>
  <c r="L53" i="198"/>
  <c r="F53" i="198"/>
  <c r="R73" i="198"/>
  <c r="P6" i="198"/>
  <c r="J6" i="198"/>
  <c r="M6" i="198"/>
  <c r="G6" i="198"/>
  <c r="O6" i="198"/>
  <c r="F6" i="198"/>
  <c r="R6" i="198" s="1"/>
  <c r="I6" i="198"/>
  <c r="Q6" i="198" s="1"/>
  <c r="N6" i="198"/>
  <c r="L6" i="198"/>
  <c r="K6" i="198"/>
  <c r="H6" i="198"/>
  <c r="D37" i="198"/>
  <c r="O26" i="198"/>
  <c r="H26" i="198"/>
  <c r="J26" i="198"/>
  <c r="N26" i="198"/>
  <c r="N37" i="198" s="1"/>
  <c r="I26" i="198"/>
  <c r="F26" i="198"/>
  <c r="K26" i="198"/>
  <c r="P26" i="198"/>
  <c r="M26" i="198"/>
  <c r="M37" i="198" s="1"/>
  <c r="D109" i="198"/>
  <c r="J51" i="198"/>
  <c r="I51" i="198"/>
  <c r="G51" i="198"/>
  <c r="N51" i="198"/>
  <c r="K51" i="198"/>
  <c r="L51" i="198"/>
  <c r="H51" i="198"/>
  <c r="F51" i="198"/>
  <c r="M51" i="198"/>
  <c r="K31" i="198"/>
  <c r="M31" i="198"/>
  <c r="F31" i="198"/>
  <c r="Q31" i="198" s="1"/>
  <c r="R31" i="198" s="1"/>
  <c r="P31" i="198"/>
  <c r="I31" i="198"/>
  <c r="O31" i="198"/>
  <c r="N31" i="198"/>
  <c r="L31" i="198"/>
  <c r="H31" i="198"/>
  <c r="J31" i="198"/>
  <c r="G31" i="198"/>
  <c r="J65" i="198"/>
  <c r="I65" i="198"/>
  <c r="M65" i="198"/>
  <c r="K65" i="198"/>
  <c r="F65" i="198"/>
  <c r="N65" i="198"/>
  <c r="L65" i="198"/>
  <c r="H65" i="198"/>
  <c r="G65" i="198"/>
  <c r="O65" i="198" s="1"/>
  <c r="L56" i="198"/>
  <c r="F56" i="198"/>
  <c r="K56" i="198"/>
  <c r="O56" i="198"/>
  <c r="G56" i="198"/>
  <c r="P56" i="198"/>
  <c r="J56" i="198"/>
  <c r="M56" i="198"/>
  <c r="I56" i="198"/>
  <c r="H56" i="198"/>
  <c r="Q56" i="198" s="1"/>
  <c r="N56" i="198"/>
  <c r="D83" i="198"/>
  <c r="F79" i="198"/>
  <c r="N93" i="198"/>
  <c r="H93" i="198"/>
  <c r="M93" i="198"/>
  <c r="G93" i="198"/>
  <c r="K93" i="198"/>
  <c r="F93" i="198"/>
  <c r="Q93" i="198" s="1"/>
  <c r="L93" i="198"/>
  <c r="J93" i="198"/>
  <c r="P93" i="198"/>
  <c r="O93" i="198"/>
  <c r="I93" i="198"/>
  <c r="J66" i="198"/>
  <c r="I66" i="198"/>
  <c r="K66" i="198"/>
  <c r="H66" i="198"/>
  <c r="N66" i="198"/>
  <c r="F66" i="198"/>
  <c r="O66" i="198" s="1"/>
  <c r="M66" i="198"/>
  <c r="L66" i="198"/>
  <c r="G66" i="198"/>
  <c r="J52" i="198"/>
  <c r="I52" i="198"/>
  <c r="M52" i="198"/>
  <c r="N52" i="198"/>
  <c r="H52" i="198"/>
  <c r="L52" i="198"/>
  <c r="F52" i="198"/>
  <c r="O52" i="198" s="1"/>
  <c r="K52" i="198"/>
  <c r="G52" i="198"/>
  <c r="F69" i="198"/>
  <c r="L69" i="198" s="1"/>
  <c r="R69" i="198" s="1"/>
  <c r="M27" i="198"/>
  <c r="G27" i="198"/>
  <c r="K27" i="198"/>
  <c r="O27" i="198"/>
  <c r="H27" i="198"/>
  <c r="R27" i="198" s="1"/>
  <c r="F27" i="198"/>
  <c r="Q27" i="198" s="1"/>
  <c r="P27" i="198"/>
  <c r="N27" i="198"/>
  <c r="J27" i="198"/>
  <c r="L27" i="198"/>
  <c r="I27" i="198"/>
  <c r="O29" i="198"/>
  <c r="I29" i="198"/>
  <c r="L29" i="198"/>
  <c r="P29" i="198"/>
  <c r="Q29" i="198" s="1"/>
  <c r="H29" i="198"/>
  <c r="K29" i="198"/>
  <c r="J29" i="198"/>
  <c r="G29" i="198"/>
  <c r="F29" i="198"/>
  <c r="R29" i="198" s="1"/>
  <c r="N29" i="198"/>
  <c r="M29" i="198"/>
  <c r="I62" i="198"/>
  <c r="N62" i="198"/>
  <c r="R62" i="198" s="1"/>
  <c r="P54" i="198"/>
  <c r="J54" i="198"/>
  <c r="O54" i="198"/>
  <c r="I54" i="198"/>
  <c r="G54" i="198"/>
  <c r="Q54" i="198" s="1"/>
  <c r="L54" i="198"/>
  <c r="F54" i="198"/>
  <c r="H54" i="198"/>
  <c r="M54" i="198"/>
  <c r="N54" i="198"/>
  <c r="K54" i="198"/>
  <c r="O5" i="198"/>
  <c r="I5" i="198"/>
  <c r="M5" i="198"/>
  <c r="F5" i="198"/>
  <c r="H5" i="198"/>
  <c r="Q5" i="198" s="1"/>
  <c r="L5" i="198"/>
  <c r="P5" i="198"/>
  <c r="K5" i="198"/>
  <c r="J5" i="198"/>
  <c r="N5" i="198"/>
  <c r="G5" i="198"/>
  <c r="F43" i="198"/>
  <c r="F45" i="198" s="1"/>
  <c r="R43" i="198"/>
  <c r="F68" i="198"/>
  <c r="R68" i="198" s="1"/>
  <c r="K46" i="198"/>
  <c r="K47" i="198" s="1"/>
  <c r="F46" i="198"/>
  <c r="F47" i="198" s="1"/>
  <c r="D47" i="198"/>
  <c r="N46" i="198"/>
  <c r="N47" i="198" s="1"/>
  <c r="R80" i="198"/>
  <c r="F80" i="198"/>
  <c r="L59" i="198"/>
  <c r="F59" i="198"/>
  <c r="K59" i="198"/>
  <c r="I59" i="198"/>
  <c r="P59" i="198"/>
  <c r="G59" i="198"/>
  <c r="M59" i="198"/>
  <c r="H59" i="198"/>
  <c r="Q59" i="198" s="1"/>
  <c r="O59" i="198"/>
  <c r="N59" i="198"/>
  <c r="J59" i="198"/>
  <c r="F81" i="198"/>
  <c r="R81" i="198" s="1"/>
  <c r="H67" i="198"/>
  <c r="R67" i="198" s="1"/>
  <c r="F11" i="198"/>
  <c r="R11" i="198" s="1"/>
  <c r="F24" i="198"/>
  <c r="L24" i="198" s="1"/>
  <c r="R24" i="198" s="1"/>
  <c r="N55" i="198"/>
  <c r="H55" i="198"/>
  <c r="M55" i="198"/>
  <c r="G55" i="198"/>
  <c r="K55" i="198"/>
  <c r="I55" i="198"/>
  <c r="O55" i="198"/>
  <c r="J55" i="198"/>
  <c r="F55" i="198"/>
  <c r="P55" i="198"/>
  <c r="Q55" i="198"/>
  <c r="R55" i="198" s="1"/>
  <c r="L55" i="198"/>
  <c r="M74" i="198"/>
  <c r="G74" i="198"/>
  <c r="L74" i="198"/>
  <c r="F74" i="198"/>
  <c r="R74" i="198" s="1"/>
  <c r="J74" i="198"/>
  <c r="O74" i="198" s="1"/>
  <c r="K74" i="198"/>
  <c r="H74" i="198"/>
  <c r="I74" i="198"/>
  <c r="N74" i="198"/>
  <c r="N58" i="198"/>
  <c r="H58" i="198"/>
  <c r="M58" i="198"/>
  <c r="G58" i="198"/>
  <c r="O58" i="198"/>
  <c r="J58" i="198"/>
  <c r="P58" i="198"/>
  <c r="F58" i="198"/>
  <c r="Q58" i="198" s="1"/>
  <c r="L58" i="198"/>
  <c r="K58" i="198"/>
  <c r="I58" i="198"/>
  <c r="H94" i="198"/>
  <c r="O94" i="198"/>
  <c r="R94" i="198"/>
  <c r="R57" i="198"/>
  <c r="J50" i="198"/>
  <c r="I50" i="198"/>
  <c r="K50" i="198"/>
  <c r="F50" i="198"/>
  <c r="O50" i="198" s="1"/>
  <c r="L50" i="198"/>
  <c r="G50" i="198"/>
  <c r="M50" i="198"/>
  <c r="N50" i="198"/>
  <c r="H50" i="198"/>
  <c r="K4" i="198"/>
  <c r="M4" i="198"/>
  <c r="F4" i="198"/>
  <c r="H4" i="198"/>
  <c r="L4" i="198"/>
  <c r="J4" i="198"/>
  <c r="O4" i="198"/>
  <c r="P4" i="198"/>
  <c r="I4" i="198"/>
  <c r="N4" i="198"/>
  <c r="G4" i="198"/>
  <c r="Q4" i="198" s="1"/>
  <c r="M61" i="198"/>
  <c r="G61" i="198"/>
  <c r="L61" i="198"/>
  <c r="F61" i="198"/>
  <c r="J61" i="198"/>
  <c r="K61" i="198"/>
  <c r="P61" i="198"/>
  <c r="H61" i="198"/>
  <c r="O61" i="198"/>
  <c r="N61" i="198"/>
  <c r="I61" i="198"/>
  <c r="O17" i="198"/>
  <c r="I17" i="198"/>
  <c r="L17" i="198"/>
  <c r="P17" i="198"/>
  <c r="H17" i="198"/>
  <c r="G17" i="198"/>
  <c r="F17" i="198"/>
  <c r="Q17" i="198" s="1"/>
  <c r="N17" i="198"/>
  <c r="J17" i="198"/>
  <c r="M17" i="198"/>
  <c r="R17" i="198" s="1"/>
  <c r="K17" i="198"/>
  <c r="J49" i="198"/>
  <c r="D70" i="198"/>
  <c r="I49" i="198"/>
  <c r="I70" i="198" s="1"/>
  <c r="M49" i="198"/>
  <c r="G49" i="198"/>
  <c r="L49" i="198"/>
  <c r="H49" i="198"/>
  <c r="N49" i="198"/>
  <c r="K49" i="198"/>
  <c r="K70" i="198" s="1"/>
  <c r="F49" i="198"/>
  <c r="D92" i="198"/>
  <c r="F89" i="198"/>
  <c r="M72" i="198"/>
  <c r="M76" i="198" s="1"/>
  <c r="G72" i="198"/>
  <c r="G76" i="198" s="1"/>
  <c r="L72" i="198"/>
  <c r="L76" i="198" s="1"/>
  <c r="F72" i="198"/>
  <c r="F76" i="198" s="1"/>
  <c r="H72" i="198"/>
  <c r="H76" i="198" s="1"/>
  <c r="N72" i="198"/>
  <c r="I72" i="198"/>
  <c r="I76" i="198" s="1"/>
  <c r="K72" i="198"/>
  <c r="J72" i="198"/>
  <c r="L88" i="198"/>
  <c r="R75" i="197"/>
  <c r="R33" i="197"/>
  <c r="R14" i="197"/>
  <c r="R58" i="197"/>
  <c r="R24" i="197"/>
  <c r="R16" i="197"/>
  <c r="R72" i="197"/>
  <c r="R28" i="197"/>
  <c r="F81" i="197"/>
  <c r="R81" i="197"/>
  <c r="I37" i="197"/>
  <c r="N55" i="197"/>
  <c r="H55" i="197"/>
  <c r="J55" i="197"/>
  <c r="L55" i="197"/>
  <c r="P55" i="197"/>
  <c r="F55" i="197"/>
  <c r="O55" i="197"/>
  <c r="M55" i="197"/>
  <c r="I55" i="197"/>
  <c r="G55" i="197"/>
  <c r="K55" i="197"/>
  <c r="F89" i="197"/>
  <c r="L89" i="197" s="1"/>
  <c r="Q57" i="197"/>
  <c r="R57" i="197" s="1"/>
  <c r="J73" i="197"/>
  <c r="M73" i="197"/>
  <c r="M76" i="197" s="1"/>
  <c r="G73" i="197"/>
  <c r="G76" i="197" s="1"/>
  <c r="I73" i="197"/>
  <c r="L73" i="197"/>
  <c r="L76" i="197" s="1"/>
  <c r="N73" i="197"/>
  <c r="N76" i="197" s="1"/>
  <c r="K73" i="197"/>
  <c r="H73" i="197"/>
  <c r="F73" i="197"/>
  <c r="O73" i="197" s="1"/>
  <c r="R73" i="197" s="1"/>
  <c r="F11" i="197"/>
  <c r="R11" i="197"/>
  <c r="O53" i="197"/>
  <c r="R6" i="197"/>
  <c r="O66" i="197"/>
  <c r="R66" i="197" s="1"/>
  <c r="F71" i="197"/>
  <c r="D76" i="197"/>
  <c r="M4" i="197"/>
  <c r="G4" i="197"/>
  <c r="J4" i="197"/>
  <c r="P4" i="197"/>
  <c r="I4" i="197"/>
  <c r="O4" i="197"/>
  <c r="H4" i="197"/>
  <c r="L4" i="197"/>
  <c r="Q4" i="197" s="1"/>
  <c r="F4" i="197"/>
  <c r="N4" i="197"/>
  <c r="K4" i="197"/>
  <c r="F43" i="197"/>
  <c r="F45" i="197" s="1"/>
  <c r="R43" i="197"/>
  <c r="I62" i="197"/>
  <c r="N62" i="197" s="1"/>
  <c r="H94" i="197"/>
  <c r="O94" i="197"/>
  <c r="R94" i="197" s="1"/>
  <c r="Q27" i="197"/>
  <c r="R53" i="197"/>
  <c r="K5" i="197"/>
  <c r="J5" i="197"/>
  <c r="P5" i="197"/>
  <c r="I5" i="197"/>
  <c r="O5" i="197"/>
  <c r="H5" i="197"/>
  <c r="M5" i="197"/>
  <c r="F5" i="197"/>
  <c r="Q5" i="197" s="1"/>
  <c r="N5" i="197"/>
  <c r="L5" i="197"/>
  <c r="G5" i="197"/>
  <c r="J74" i="197"/>
  <c r="J76" i="197" s="1"/>
  <c r="M74" i="197"/>
  <c r="G74" i="197"/>
  <c r="F74" i="197"/>
  <c r="O74" i="197" s="1"/>
  <c r="I74" i="197"/>
  <c r="R74" i="197" s="1"/>
  <c r="N74" i="197"/>
  <c r="L74" i="197"/>
  <c r="K74" i="197"/>
  <c r="H74" i="197"/>
  <c r="G37" i="197"/>
  <c r="R13" i="197"/>
  <c r="P31" i="197"/>
  <c r="J31" i="197"/>
  <c r="J37" i="197" s="1"/>
  <c r="L31" i="197"/>
  <c r="L37" i="197" s="1"/>
  <c r="F31" i="197"/>
  <c r="Q31" i="197" s="1"/>
  <c r="K31" i="197"/>
  <c r="K37" i="197" s="1"/>
  <c r="I31" i="197"/>
  <c r="H31" i="197"/>
  <c r="H37" i="197" s="1"/>
  <c r="N31" i="197"/>
  <c r="N37" i="197" s="1"/>
  <c r="M31" i="197"/>
  <c r="M37" i="197" s="1"/>
  <c r="O31" i="197"/>
  <c r="O37" i="197" s="1"/>
  <c r="G31" i="197"/>
  <c r="L56" i="197"/>
  <c r="F56" i="197"/>
  <c r="J56" i="197"/>
  <c r="M56" i="197"/>
  <c r="N56" i="197"/>
  <c r="K56" i="197"/>
  <c r="I56" i="197"/>
  <c r="P56" i="197"/>
  <c r="G56" i="197"/>
  <c r="O56" i="197"/>
  <c r="H56" i="197"/>
  <c r="L24" i="197"/>
  <c r="R64" i="197"/>
  <c r="D92" i="197"/>
  <c r="P61" i="197"/>
  <c r="J61" i="197"/>
  <c r="M61" i="197"/>
  <c r="G61" i="197"/>
  <c r="Q61" i="197" s="1"/>
  <c r="O61" i="197"/>
  <c r="F61" i="197"/>
  <c r="R61" i="197" s="1"/>
  <c r="I61" i="197"/>
  <c r="N61" i="197"/>
  <c r="L61" i="197"/>
  <c r="K61" i="197"/>
  <c r="H61" i="197"/>
  <c r="Q17" i="197"/>
  <c r="R17" i="197" s="1"/>
  <c r="R9" i="197"/>
  <c r="O3" i="197"/>
  <c r="I3" i="197"/>
  <c r="J3" i="197"/>
  <c r="P3" i="197"/>
  <c r="H3" i="197"/>
  <c r="Q3" i="197" s="1"/>
  <c r="N3" i="197"/>
  <c r="G3" i="197"/>
  <c r="L3" i="197"/>
  <c r="D25" i="197"/>
  <c r="F3" i="197"/>
  <c r="K3" i="197"/>
  <c r="R3" i="197" s="1"/>
  <c r="M3" i="197"/>
  <c r="K46" i="197"/>
  <c r="K47" i="197" s="1"/>
  <c r="D47" i="197"/>
  <c r="N46" i="197"/>
  <c r="N47" i="197" s="1"/>
  <c r="F46" i="197"/>
  <c r="F47" i="197" s="1"/>
  <c r="I42" i="197"/>
  <c r="I45" i="197" s="1"/>
  <c r="D45" i="197"/>
  <c r="H77" i="197"/>
  <c r="R77" i="197" s="1"/>
  <c r="N77" i="197"/>
  <c r="F80" i="197"/>
  <c r="R80" i="197"/>
  <c r="O72" i="197"/>
  <c r="P54" i="197"/>
  <c r="P70" i="197" s="1"/>
  <c r="P78" i="197" s="1"/>
  <c r="J54" i="197"/>
  <c r="I54" i="197"/>
  <c r="L54" i="197"/>
  <c r="H54" i="197"/>
  <c r="G54" i="197"/>
  <c r="R54" i="197" s="1"/>
  <c r="O54" i="197"/>
  <c r="F54" i="197"/>
  <c r="Q54" i="197" s="1"/>
  <c r="M54" i="197"/>
  <c r="K54" i="197"/>
  <c r="N54" i="197"/>
  <c r="J52" i="197"/>
  <c r="L52" i="197"/>
  <c r="N52" i="197"/>
  <c r="G52" i="197"/>
  <c r="K52" i="197"/>
  <c r="I52" i="197"/>
  <c r="H52" i="197"/>
  <c r="M52" i="197"/>
  <c r="F52" i="197"/>
  <c r="H76" i="197"/>
  <c r="Q32" i="197"/>
  <c r="R32" i="197" s="1"/>
  <c r="Q14" i="197"/>
  <c r="R7" i="197"/>
  <c r="Q58" i="197"/>
  <c r="Q30" i="197"/>
  <c r="R30" i="197" s="1"/>
  <c r="K8" i="197"/>
  <c r="L8" i="197"/>
  <c r="J8" i="197"/>
  <c r="P8" i="197"/>
  <c r="I8" i="197"/>
  <c r="N8" i="197"/>
  <c r="G8" i="197"/>
  <c r="M8" i="197"/>
  <c r="F8" i="197"/>
  <c r="O8" i="197"/>
  <c r="H8" i="197"/>
  <c r="Q8" i="197" s="1"/>
  <c r="O59" i="197"/>
  <c r="I59" i="197"/>
  <c r="L59" i="197"/>
  <c r="F59" i="197"/>
  <c r="N59" i="197"/>
  <c r="H59" i="197"/>
  <c r="P59" i="197"/>
  <c r="M59" i="197"/>
  <c r="J59" i="197"/>
  <c r="G59" i="197"/>
  <c r="K59" i="197"/>
  <c r="Q59" i="197" s="1"/>
  <c r="R69" i="197"/>
  <c r="R26" i="197"/>
  <c r="P37" i="197"/>
  <c r="N12" i="197"/>
  <c r="H12" i="197"/>
  <c r="J12" i="197"/>
  <c r="I12" i="197"/>
  <c r="G12" i="197"/>
  <c r="O12" i="197" s="1"/>
  <c r="L12" i="197"/>
  <c r="K12" i="197"/>
  <c r="M12" i="197"/>
  <c r="F12" i="197"/>
  <c r="R12" i="197" s="1"/>
  <c r="K93" i="197"/>
  <c r="N93" i="197"/>
  <c r="H93" i="197"/>
  <c r="O93" i="197"/>
  <c r="F93" i="197"/>
  <c r="I93" i="197"/>
  <c r="P93" i="197"/>
  <c r="M93" i="197"/>
  <c r="L93" i="197"/>
  <c r="J93" i="197"/>
  <c r="G93" i="197"/>
  <c r="Q93" i="197" s="1"/>
  <c r="K76" i="197"/>
  <c r="O65" i="197"/>
  <c r="R65" i="197"/>
  <c r="R44" i="197"/>
  <c r="F88" i="197"/>
  <c r="D87" i="197"/>
  <c r="L88" i="197"/>
  <c r="R88" i="197" s="1"/>
  <c r="Q29" i="197"/>
  <c r="R29" i="197" s="1"/>
  <c r="J51" i="197"/>
  <c r="I51" i="197"/>
  <c r="L51" i="197"/>
  <c r="M51" i="197"/>
  <c r="K51" i="197"/>
  <c r="H51" i="197"/>
  <c r="F51" i="197"/>
  <c r="N51" i="197"/>
  <c r="G51" i="197"/>
  <c r="J49" i="197"/>
  <c r="L49" i="197"/>
  <c r="D70" i="197"/>
  <c r="N49" i="197"/>
  <c r="G49" i="197"/>
  <c r="M49" i="197"/>
  <c r="K49" i="197"/>
  <c r="H49" i="197"/>
  <c r="H70" i="197" s="1"/>
  <c r="F49" i="197"/>
  <c r="I49" i="197"/>
  <c r="D83" i="197"/>
  <c r="F79" i="197"/>
  <c r="R79" i="197"/>
  <c r="F82" i="197"/>
  <c r="R82" i="197" s="1"/>
  <c r="R27" i="197"/>
  <c r="Q10" i="197"/>
  <c r="R10" i="197" s="1"/>
  <c r="R5" i="196"/>
  <c r="R3" i="196"/>
  <c r="L13" i="196"/>
  <c r="F13" i="196"/>
  <c r="Q13" i="196" s="1"/>
  <c r="K13" i="196"/>
  <c r="J13" i="196"/>
  <c r="P13" i="196"/>
  <c r="O13" i="196"/>
  <c r="N13" i="196"/>
  <c r="M13" i="196"/>
  <c r="I13" i="196"/>
  <c r="H13" i="196"/>
  <c r="G13" i="196"/>
  <c r="O93" i="196"/>
  <c r="I93" i="196"/>
  <c r="N93" i="196"/>
  <c r="H93" i="196"/>
  <c r="M93" i="196"/>
  <c r="L93" i="196"/>
  <c r="K93" i="196"/>
  <c r="P93" i="196"/>
  <c r="J93" i="196"/>
  <c r="G93" i="196"/>
  <c r="F93" i="196"/>
  <c r="Q93" i="196" s="1"/>
  <c r="L33" i="196"/>
  <c r="M33" i="196"/>
  <c r="F33" i="196"/>
  <c r="K33" i="196"/>
  <c r="O33" i="196"/>
  <c r="N33" i="196"/>
  <c r="H33" i="196"/>
  <c r="J33" i="196"/>
  <c r="G33" i="196"/>
  <c r="P33" i="196"/>
  <c r="I33" i="196"/>
  <c r="Q33" i="196" s="1"/>
  <c r="F89" i="196"/>
  <c r="L89" i="196" s="1"/>
  <c r="R89" i="196" s="1"/>
  <c r="K65" i="196"/>
  <c r="J65" i="196"/>
  <c r="N65" i="196"/>
  <c r="F65" i="196"/>
  <c r="O65" i="196" s="1"/>
  <c r="M65" i="196"/>
  <c r="I65" i="196"/>
  <c r="H65" i="196"/>
  <c r="G65" i="196"/>
  <c r="L65" i="196"/>
  <c r="F15" i="196"/>
  <c r="K66" i="196"/>
  <c r="J66" i="196"/>
  <c r="L66" i="196"/>
  <c r="I66" i="196"/>
  <c r="M66" i="196"/>
  <c r="H66" i="196"/>
  <c r="F66" i="196"/>
  <c r="N66" i="196"/>
  <c r="G66" i="196"/>
  <c r="F24" i="196"/>
  <c r="L24" i="196" s="1"/>
  <c r="R24" i="196" s="1"/>
  <c r="I62" i="196"/>
  <c r="N62" i="196" s="1"/>
  <c r="H67" i="196"/>
  <c r="R67" i="196" s="1"/>
  <c r="O8" i="196"/>
  <c r="I8" i="196"/>
  <c r="N8" i="196"/>
  <c r="H8" i="196"/>
  <c r="M8" i="196"/>
  <c r="G8" i="196"/>
  <c r="R8" i="196" s="1"/>
  <c r="P8" i="196"/>
  <c r="L8" i="196"/>
  <c r="K8" i="196"/>
  <c r="J8" i="196"/>
  <c r="F8" i="196"/>
  <c r="Q8" i="196" s="1"/>
  <c r="P28" i="196"/>
  <c r="J28" i="196"/>
  <c r="O28" i="196"/>
  <c r="I28" i="196"/>
  <c r="L28" i="196"/>
  <c r="K28" i="196"/>
  <c r="H28" i="196"/>
  <c r="R28" i="196" s="1"/>
  <c r="F28" i="196"/>
  <c r="Q28" i="196" s="1"/>
  <c r="N28" i="196"/>
  <c r="G28" i="196"/>
  <c r="M28" i="196"/>
  <c r="N32" i="196"/>
  <c r="H32" i="196"/>
  <c r="M32" i="196"/>
  <c r="G32" i="196"/>
  <c r="J32" i="196"/>
  <c r="I32" i="196"/>
  <c r="F32" i="196"/>
  <c r="P32" i="196"/>
  <c r="O32" i="196"/>
  <c r="L32" i="196"/>
  <c r="K32" i="196"/>
  <c r="N29" i="196"/>
  <c r="H29" i="196"/>
  <c r="Q29" i="196" s="1"/>
  <c r="M29" i="196"/>
  <c r="G29" i="196"/>
  <c r="P29" i="196"/>
  <c r="F29" i="196"/>
  <c r="O29" i="196"/>
  <c r="J29" i="196"/>
  <c r="L29" i="196"/>
  <c r="R29" i="196" s="1"/>
  <c r="I29" i="196"/>
  <c r="K29" i="196"/>
  <c r="K7" i="196"/>
  <c r="P7" i="196"/>
  <c r="J7" i="196"/>
  <c r="I7" i="196"/>
  <c r="O7" i="196"/>
  <c r="N7" i="196"/>
  <c r="M7" i="196"/>
  <c r="L7" i="196"/>
  <c r="H7" i="196"/>
  <c r="G7" i="196"/>
  <c r="F7" i="196"/>
  <c r="Q7" i="196" s="1"/>
  <c r="R7" i="196" s="1"/>
  <c r="N26" i="196"/>
  <c r="N37" i="196" s="1"/>
  <c r="F26" i="196"/>
  <c r="M26" i="196"/>
  <c r="M37" i="196" s="1"/>
  <c r="K26" i="196"/>
  <c r="D37" i="196"/>
  <c r="J26" i="196"/>
  <c r="I26" i="196"/>
  <c r="P26" i="196"/>
  <c r="H26" i="196"/>
  <c r="O26" i="196"/>
  <c r="N46" i="196"/>
  <c r="N47" i="196" s="1"/>
  <c r="K46" i="196"/>
  <c r="K47" i="196" s="1"/>
  <c r="F46" i="196"/>
  <c r="F47" i="196" s="1"/>
  <c r="D47" i="196"/>
  <c r="H77" i="196"/>
  <c r="N77" i="196" s="1"/>
  <c r="R77" i="196" s="1"/>
  <c r="K49" i="196"/>
  <c r="J49" i="196"/>
  <c r="N49" i="196"/>
  <c r="F49" i="196"/>
  <c r="D70" i="196"/>
  <c r="M49" i="196"/>
  <c r="L49" i="196"/>
  <c r="G49" i="196"/>
  <c r="I49" i="196"/>
  <c r="H49" i="196"/>
  <c r="K57" i="196"/>
  <c r="P57" i="196"/>
  <c r="J57" i="196"/>
  <c r="L57" i="196"/>
  <c r="I57" i="196"/>
  <c r="G57" i="196"/>
  <c r="Q57" i="196" s="1"/>
  <c r="F57" i="196"/>
  <c r="N57" i="196"/>
  <c r="M57" i="196"/>
  <c r="O57" i="196"/>
  <c r="H57" i="196"/>
  <c r="F69" i="196"/>
  <c r="L69" i="196" s="1"/>
  <c r="R69" i="196" s="1"/>
  <c r="F80" i="196"/>
  <c r="R80" i="196"/>
  <c r="K52" i="196"/>
  <c r="J52" i="196"/>
  <c r="N52" i="196"/>
  <c r="F52" i="196"/>
  <c r="R52" i="196" s="1"/>
  <c r="M52" i="196"/>
  <c r="G52" i="196"/>
  <c r="I52" i="196"/>
  <c r="H52" i="196"/>
  <c r="O52" i="196" s="1"/>
  <c r="L52" i="196"/>
  <c r="G25" i="196"/>
  <c r="Q3" i="196"/>
  <c r="D92" i="196"/>
  <c r="D87" i="196"/>
  <c r="F88" i="196"/>
  <c r="L88" i="196" s="1"/>
  <c r="K53" i="196"/>
  <c r="J53" i="196"/>
  <c r="L53" i="196"/>
  <c r="I53" i="196"/>
  <c r="G53" i="196"/>
  <c r="F53" i="196"/>
  <c r="N53" i="196"/>
  <c r="M53" i="196"/>
  <c r="H53" i="196"/>
  <c r="N17" i="196"/>
  <c r="H17" i="196"/>
  <c r="M17" i="196"/>
  <c r="G17" i="196"/>
  <c r="Q17" i="196" s="1"/>
  <c r="P17" i="196"/>
  <c r="R17" i="196" s="1"/>
  <c r="F17" i="196"/>
  <c r="O17" i="196"/>
  <c r="L17" i="196"/>
  <c r="J17" i="196"/>
  <c r="I17" i="196"/>
  <c r="K17" i="196"/>
  <c r="I42" i="196"/>
  <c r="I45" i="196" s="1"/>
  <c r="D45" i="196"/>
  <c r="K54" i="196"/>
  <c r="P54" i="196"/>
  <c r="J54" i="196"/>
  <c r="H54" i="196"/>
  <c r="O54" i="196"/>
  <c r="G54" i="196"/>
  <c r="I54" i="196"/>
  <c r="F54" i="196"/>
  <c r="N54" i="196"/>
  <c r="M54" i="196"/>
  <c r="L54" i="196"/>
  <c r="Q54" i="196" s="1"/>
  <c r="M6" i="196"/>
  <c r="G6" i="196"/>
  <c r="L6" i="196"/>
  <c r="F6" i="196"/>
  <c r="O6" i="196"/>
  <c r="K6" i="196"/>
  <c r="J6" i="196"/>
  <c r="I6" i="196"/>
  <c r="H6" i="196"/>
  <c r="N6" i="196"/>
  <c r="P6" i="196"/>
  <c r="O55" i="196"/>
  <c r="I55" i="196"/>
  <c r="N55" i="196"/>
  <c r="H55" i="196"/>
  <c r="L55" i="196"/>
  <c r="K55" i="196"/>
  <c r="G55" i="196"/>
  <c r="F55" i="196"/>
  <c r="Q55" i="196" s="1"/>
  <c r="M55" i="196"/>
  <c r="J55" i="196"/>
  <c r="P55" i="196"/>
  <c r="P31" i="196"/>
  <c r="J31" i="196"/>
  <c r="O31" i="196"/>
  <c r="I31" i="196"/>
  <c r="N31" i="196"/>
  <c r="F31" i="196"/>
  <c r="M31" i="196"/>
  <c r="H31" i="196"/>
  <c r="Q31" i="196" s="1"/>
  <c r="L31" i="196"/>
  <c r="G31" i="196"/>
  <c r="K31" i="196"/>
  <c r="K10" i="196"/>
  <c r="P10" i="196"/>
  <c r="J10" i="196"/>
  <c r="M10" i="196"/>
  <c r="I10" i="196"/>
  <c r="H10" i="196"/>
  <c r="H25" i="196" s="1"/>
  <c r="O10" i="196"/>
  <c r="G10" i="196"/>
  <c r="F10" i="196"/>
  <c r="L10" i="196"/>
  <c r="N10" i="196"/>
  <c r="L27" i="196"/>
  <c r="F27" i="196"/>
  <c r="K27" i="196"/>
  <c r="P27" i="196"/>
  <c r="H27" i="196"/>
  <c r="O27" i="196"/>
  <c r="G27" i="196"/>
  <c r="J27" i="196"/>
  <c r="N27" i="196"/>
  <c r="I27" i="196"/>
  <c r="Q27" i="196" s="1"/>
  <c r="M27" i="196"/>
  <c r="M56" i="196"/>
  <c r="G56" i="196"/>
  <c r="L56" i="196"/>
  <c r="F56" i="196"/>
  <c r="Q56" i="196" s="1"/>
  <c r="P56" i="196"/>
  <c r="H56" i="196"/>
  <c r="O56" i="196"/>
  <c r="I56" i="196"/>
  <c r="K56" i="196"/>
  <c r="N56" i="196"/>
  <c r="J56" i="196"/>
  <c r="F43" i="196"/>
  <c r="F45" i="196" s="1"/>
  <c r="F79" i="196"/>
  <c r="D83" i="196"/>
  <c r="R79" i="196"/>
  <c r="K50" i="196"/>
  <c r="J50" i="196"/>
  <c r="L50" i="196"/>
  <c r="I50" i="196"/>
  <c r="N50" i="196"/>
  <c r="M50" i="196"/>
  <c r="G50" i="196"/>
  <c r="H50" i="196"/>
  <c r="F50" i="196"/>
  <c r="O50" i="196" s="1"/>
  <c r="F60" i="196"/>
  <c r="R60" i="196"/>
  <c r="D76" i="196"/>
  <c r="R71" i="196"/>
  <c r="F71" i="196"/>
  <c r="P25" i="196"/>
  <c r="F82" i="196"/>
  <c r="R82" i="196" s="1"/>
  <c r="N73" i="196"/>
  <c r="H73" i="196"/>
  <c r="M73" i="196"/>
  <c r="G73" i="196"/>
  <c r="R73" i="196" s="1"/>
  <c r="L73" i="196"/>
  <c r="K73" i="196"/>
  <c r="F73" i="196"/>
  <c r="O73" i="196" s="1"/>
  <c r="J73" i="196"/>
  <c r="I73" i="196"/>
  <c r="N72" i="196"/>
  <c r="H72" i="196"/>
  <c r="M72" i="196"/>
  <c r="M76" i="196" s="1"/>
  <c r="G72" i="196"/>
  <c r="I72" i="196"/>
  <c r="I76" i="196" s="1"/>
  <c r="F72" i="196"/>
  <c r="O72" i="196" s="1"/>
  <c r="L72" i="196"/>
  <c r="K72" i="196"/>
  <c r="K76" i="196" s="1"/>
  <c r="J72" i="196"/>
  <c r="J76" i="196" s="1"/>
  <c r="F36" i="196"/>
  <c r="L36" i="196"/>
  <c r="R36" i="196" s="1"/>
  <c r="M9" i="196"/>
  <c r="G9" i="196"/>
  <c r="L9" i="196"/>
  <c r="F9" i="196"/>
  <c r="Q9" i="196" s="1"/>
  <c r="I9" i="196"/>
  <c r="K9" i="196"/>
  <c r="P9" i="196"/>
  <c r="H9" i="196"/>
  <c r="O9" i="196"/>
  <c r="N9" i="196"/>
  <c r="J9" i="196"/>
  <c r="N74" i="196"/>
  <c r="H74" i="196"/>
  <c r="M74" i="196"/>
  <c r="G74" i="196"/>
  <c r="O74" i="196" s="1"/>
  <c r="K74" i="196"/>
  <c r="J74" i="196"/>
  <c r="L74" i="196"/>
  <c r="I74" i="196"/>
  <c r="F74" i="196"/>
  <c r="Q4" i="196"/>
  <c r="K4" i="196"/>
  <c r="K25" i="196" s="1"/>
  <c r="P4" i="196"/>
  <c r="J4" i="196"/>
  <c r="J25" i="196" s="1"/>
  <c r="O4" i="196"/>
  <c r="O25" i="196" s="1"/>
  <c r="G4" i="196"/>
  <c r="M4" i="196"/>
  <c r="M25" i="196" s="1"/>
  <c r="M48" i="196" s="1"/>
  <c r="H4" i="196"/>
  <c r="N4" i="196"/>
  <c r="F4" i="196"/>
  <c r="R4" i="196" s="1"/>
  <c r="L4" i="196"/>
  <c r="I4" i="196"/>
  <c r="I25" i="196" s="1"/>
  <c r="Q90" i="196"/>
  <c r="L90" i="196"/>
  <c r="R90" i="196" s="1"/>
  <c r="O94" i="196"/>
  <c r="H94" i="196"/>
  <c r="R94" i="196"/>
  <c r="R16" i="196"/>
  <c r="P14" i="196"/>
  <c r="J14" i="196"/>
  <c r="O14" i="196"/>
  <c r="I14" i="196"/>
  <c r="L14" i="196"/>
  <c r="K14" i="196"/>
  <c r="F14" i="196"/>
  <c r="Q14" i="196" s="1"/>
  <c r="H14" i="196"/>
  <c r="N14" i="196"/>
  <c r="M14" i="196"/>
  <c r="G14" i="196"/>
  <c r="R14" i="196" s="1"/>
  <c r="F11" i="196"/>
  <c r="R11" i="196" s="1"/>
  <c r="L12" i="196"/>
  <c r="F12" i="196"/>
  <c r="K12" i="196"/>
  <c r="N12" i="196"/>
  <c r="J12" i="196"/>
  <c r="I12" i="196"/>
  <c r="H12" i="196"/>
  <c r="G12" i="196"/>
  <c r="O12" i="196" s="1"/>
  <c r="M12" i="196"/>
  <c r="R44" i="196"/>
  <c r="L44" i="196"/>
  <c r="L45" i="196" s="1"/>
  <c r="M59" i="196"/>
  <c r="G59" i="196"/>
  <c r="L59" i="196"/>
  <c r="F59" i="196"/>
  <c r="Q59" i="196" s="1"/>
  <c r="J59" i="196"/>
  <c r="I59" i="196"/>
  <c r="P59" i="196"/>
  <c r="O59" i="196"/>
  <c r="N59" i="196"/>
  <c r="K59" i="196"/>
  <c r="H59" i="196"/>
  <c r="L30" i="196"/>
  <c r="F30" i="196"/>
  <c r="K30" i="196"/>
  <c r="J30" i="196"/>
  <c r="I30" i="196"/>
  <c r="H30" i="196"/>
  <c r="P30" i="196"/>
  <c r="O30" i="196"/>
  <c r="Q30" i="196" s="1"/>
  <c r="N30" i="196"/>
  <c r="G30" i="196"/>
  <c r="M30" i="196"/>
  <c r="O58" i="196"/>
  <c r="I58" i="196"/>
  <c r="N58" i="196"/>
  <c r="H58" i="196"/>
  <c r="P58" i="196"/>
  <c r="F58" i="196"/>
  <c r="Q58" i="196" s="1"/>
  <c r="R58" i="196" s="1"/>
  <c r="M58" i="196"/>
  <c r="G58" i="196"/>
  <c r="K58" i="196"/>
  <c r="J58" i="196"/>
  <c r="L58" i="196"/>
  <c r="F68" i="196"/>
  <c r="R68" i="196" s="1"/>
  <c r="F81" i="196"/>
  <c r="R81" i="196" s="1"/>
  <c r="K51" i="196"/>
  <c r="J51" i="196"/>
  <c r="H51" i="196"/>
  <c r="G51" i="196"/>
  <c r="N51" i="196"/>
  <c r="L51" i="196"/>
  <c r="I51" i="196"/>
  <c r="M51" i="196"/>
  <c r="F51" i="196"/>
  <c r="O51" i="196" s="1"/>
  <c r="K64" i="196"/>
  <c r="J64" i="196"/>
  <c r="H64" i="196"/>
  <c r="O64" i="196"/>
  <c r="G64" i="196"/>
  <c r="I64" i="196"/>
  <c r="F64" i="196"/>
  <c r="R64" i="196" s="1"/>
  <c r="N64" i="196"/>
  <c r="M64" i="196"/>
  <c r="L64" i="196"/>
  <c r="D25" i="196"/>
  <c r="H67" i="195"/>
  <c r="R67" i="195"/>
  <c r="P4" i="195"/>
  <c r="J4" i="195"/>
  <c r="N4" i="195"/>
  <c r="G4" i="195"/>
  <c r="M4" i="195"/>
  <c r="F4" i="195"/>
  <c r="L4" i="195"/>
  <c r="I4" i="195"/>
  <c r="K4" i="195"/>
  <c r="O4" i="195"/>
  <c r="H4" i="195"/>
  <c r="N32" i="195"/>
  <c r="H32" i="195"/>
  <c r="O32" i="195"/>
  <c r="G32" i="195"/>
  <c r="K32" i="195"/>
  <c r="R32" i="195" s="1"/>
  <c r="J32" i="195"/>
  <c r="I32" i="195"/>
  <c r="F32" i="195"/>
  <c r="Q32" i="195" s="1"/>
  <c r="P32" i="195"/>
  <c r="M32" i="195"/>
  <c r="L32" i="195"/>
  <c r="N55" i="195"/>
  <c r="H55" i="195"/>
  <c r="J55" i="195"/>
  <c r="Q55" i="195" s="1"/>
  <c r="K55" i="195"/>
  <c r="O55" i="195"/>
  <c r="F55" i="195"/>
  <c r="P55" i="195"/>
  <c r="M55" i="195"/>
  <c r="L55" i="195"/>
  <c r="I55" i="195"/>
  <c r="G55" i="195"/>
  <c r="P57" i="195"/>
  <c r="J57" i="195"/>
  <c r="K57" i="195"/>
  <c r="H57" i="195"/>
  <c r="M57" i="195"/>
  <c r="O57" i="195"/>
  <c r="N57" i="195"/>
  <c r="L57" i="195"/>
  <c r="I57" i="195"/>
  <c r="Q57" i="195" s="1"/>
  <c r="G57" i="195"/>
  <c r="F57" i="195"/>
  <c r="N8" i="195"/>
  <c r="H8" i="195"/>
  <c r="P8" i="195"/>
  <c r="I8" i="195"/>
  <c r="O8" i="195"/>
  <c r="G8" i="195"/>
  <c r="M8" i="195"/>
  <c r="F8" i="195"/>
  <c r="K8" i="195"/>
  <c r="L8" i="195"/>
  <c r="J8" i="195"/>
  <c r="J53" i="195"/>
  <c r="N53" i="195"/>
  <c r="G53" i="195"/>
  <c r="K53" i="195"/>
  <c r="F53" i="195"/>
  <c r="O53" i="195" s="1"/>
  <c r="M53" i="195"/>
  <c r="L53" i="195"/>
  <c r="I53" i="195"/>
  <c r="H53" i="195"/>
  <c r="L33" i="195"/>
  <c r="M33" i="195"/>
  <c r="F33" i="195"/>
  <c r="P33" i="195"/>
  <c r="H33" i="195"/>
  <c r="K33" i="195"/>
  <c r="G33" i="195"/>
  <c r="R33" i="195" s="1"/>
  <c r="Q33" i="195"/>
  <c r="O33" i="195"/>
  <c r="N33" i="195"/>
  <c r="J33" i="195"/>
  <c r="I33" i="195"/>
  <c r="L3" i="195"/>
  <c r="F3" i="195"/>
  <c r="Q3" i="195" s="1"/>
  <c r="N3" i="195"/>
  <c r="G3" i="195"/>
  <c r="P3" i="195"/>
  <c r="D25" i="195"/>
  <c r="M3" i="195"/>
  <c r="K3" i="195"/>
  <c r="I3" i="195"/>
  <c r="J3" i="195"/>
  <c r="O3" i="195"/>
  <c r="H3" i="195"/>
  <c r="Q90" i="195"/>
  <c r="L90" i="195" s="1"/>
  <c r="R90" i="195" s="1"/>
  <c r="K13" i="195"/>
  <c r="P13" i="195"/>
  <c r="I13" i="195"/>
  <c r="O13" i="195"/>
  <c r="H13" i="195"/>
  <c r="N13" i="195"/>
  <c r="G13" i="195"/>
  <c r="L13" i="195"/>
  <c r="M13" i="195"/>
  <c r="F13" i="195"/>
  <c r="J13" i="195"/>
  <c r="M72" i="195"/>
  <c r="G72" i="195"/>
  <c r="G76" i="195" s="1"/>
  <c r="K72" i="195"/>
  <c r="I72" i="195"/>
  <c r="N72" i="195"/>
  <c r="L72" i="195"/>
  <c r="L76" i="195" s="1"/>
  <c r="J72" i="195"/>
  <c r="H72" i="195"/>
  <c r="F72" i="195"/>
  <c r="M73" i="195"/>
  <c r="G73" i="195"/>
  <c r="N73" i="195"/>
  <c r="F73" i="195"/>
  <c r="O73" i="195" s="1"/>
  <c r="J73" i="195"/>
  <c r="L73" i="195"/>
  <c r="K73" i="195"/>
  <c r="I73" i="195"/>
  <c r="H73" i="195"/>
  <c r="F63" i="195"/>
  <c r="R63" i="195" s="1"/>
  <c r="F81" i="195"/>
  <c r="R81" i="195"/>
  <c r="P7" i="195"/>
  <c r="J7" i="195"/>
  <c r="O7" i="195"/>
  <c r="H7" i="195"/>
  <c r="N7" i="195"/>
  <c r="G7" i="195"/>
  <c r="M7" i="195"/>
  <c r="F7" i="195"/>
  <c r="K7" i="195"/>
  <c r="L7" i="195"/>
  <c r="R7" i="195" s="1"/>
  <c r="Q7" i="195"/>
  <c r="I7" i="195"/>
  <c r="P28" i="195"/>
  <c r="J28" i="195"/>
  <c r="M28" i="195"/>
  <c r="F28" i="195"/>
  <c r="I28" i="195"/>
  <c r="L28" i="195"/>
  <c r="K28" i="195"/>
  <c r="H28" i="195"/>
  <c r="G28" i="195"/>
  <c r="O28" i="195"/>
  <c r="N28" i="195"/>
  <c r="R58" i="195"/>
  <c r="Q31" i="195"/>
  <c r="R31" i="195" s="1"/>
  <c r="F71" i="195"/>
  <c r="D76" i="195"/>
  <c r="J66" i="195"/>
  <c r="N66" i="195"/>
  <c r="G66" i="195"/>
  <c r="M66" i="195"/>
  <c r="I66" i="195"/>
  <c r="L66" i="195"/>
  <c r="K66" i="195"/>
  <c r="H66" i="195"/>
  <c r="F66" i="195"/>
  <c r="L9" i="195"/>
  <c r="F9" i="195"/>
  <c r="P9" i="195"/>
  <c r="I9" i="195"/>
  <c r="O9" i="195"/>
  <c r="H9" i="195"/>
  <c r="R9" i="195" s="1"/>
  <c r="N9" i="195"/>
  <c r="G9" i="195"/>
  <c r="K9" i="195"/>
  <c r="M9" i="195"/>
  <c r="Q9" i="195"/>
  <c r="J9" i="195"/>
  <c r="D83" i="195"/>
  <c r="F79" i="195"/>
  <c r="F43" i="195"/>
  <c r="F45" i="195" s="1"/>
  <c r="P17" i="195"/>
  <c r="J17" i="195"/>
  <c r="M17" i="195"/>
  <c r="G17" i="195"/>
  <c r="O17" i="195"/>
  <c r="F17" i="195"/>
  <c r="R17" i="195" s="1"/>
  <c r="N17" i="195"/>
  <c r="L17" i="195"/>
  <c r="K17" i="195"/>
  <c r="I17" i="195"/>
  <c r="Q17" i="195"/>
  <c r="H17" i="195"/>
  <c r="F80" i="195"/>
  <c r="R80" i="195" s="1"/>
  <c r="L24" i="195"/>
  <c r="R24" i="195" s="1"/>
  <c r="F24" i="195"/>
  <c r="J65" i="195"/>
  <c r="L65" i="195"/>
  <c r="H65" i="195"/>
  <c r="M65" i="195"/>
  <c r="N65" i="195"/>
  <c r="K65" i="195"/>
  <c r="I65" i="195"/>
  <c r="G65" i="195"/>
  <c r="F65" i="195"/>
  <c r="O65" i="195" s="1"/>
  <c r="L89" i="195"/>
  <c r="F89" i="195"/>
  <c r="R89" i="195" s="1"/>
  <c r="D92" i="195"/>
  <c r="L16" i="195"/>
  <c r="F16" i="195"/>
  <c r="O16" i="195"/>
  <c r="I16" i="195"/>
  <c r="K16" i="195"/>
  <c r="J16" i="195"/>
  <c r="R16" i="195" s="1"/>
  <c r="Q16" i="195"/>
  <c r="H16" i="195"/>
  <c r="P16" i="195"/>
  <c r="G16" i="195"/>
  <c r="N16" i="195"/>
  <c r="M16" i="195"/>
  <c r="N29" i="195"/>
  <c r="H29" i="195"/>
  <c r="Q29" i="195" s="1"/>
  <c r="M29" i="195"/>
  <c r="F29" i="195"/>
  <c r="J29" i="195"/>
  <c r="I29" i="195"/>
  <c r="R29" i="195" s="1"/>
  <c r="G29" i="195"/>
  <c r="P29" i="195"/>
  <c r="O29" i="195"/>
  <c r="L29" i="195"/>
  <c r="K29" i="195"/>
  <c r="J52" i="195"/>
  <c r="L52" i="195"/>
  <c r="N52" i="195"/>
  <c r="F52" i="195"/>
  <c r="I52" i="195"/>
  <c r="M52" i="195"/>
  <c r="K52" i="195"/>
  <c r="H52" i="195"/>
  <c r="G52" i="195"/>
  <c r="K46" i="195"/>
  <c r="K47" i="195" s="1"/>
  <c r="D47" i="195"/>
  <c r="F46" i="195"/>
  <c r="F47" i="195" s="1"/>
  <c r="N46" i="195"/>
  <c r="N47" i="195" s="1"/>
  <c r="L69" i="195"/>
  <c r="R69" i="195" s="1"/>
  <c r="F69" i="195"/>
  <c r="L44" i="195"/>
  <c r="L45" i="195" s="1"/>
  <c r="R44" i="195"/>
  <c r="D87" i="195"/>
  <c r="F88" i="195"/>
  <c r="F36" i="195"/>
  <c r="L36" i="195"/>
  <c r="R36" i="195"/>
  <c r="D109" i="195"/>
  <c r="L15" i="195"/>
  <c r="R15" i="195" s="1"/>
  <c r="F15" i="195"/>
  <c r="L6" i="195"/>
  <c r="F6" i="195"/>
  <c r="Q6" i="195" s="1"/>
  <c r="O6" i="195"/>
  <c r="H6" i="195"/>
  <c r="N6" i="195"/>
  <c r="G6" i="195"/>
  <c r="M6" i="195"/>
  <c r="J6" i="195"/>
  <c r="K6" i="195"/>
  <c r="P6" i="195"/>
  <c r="I6" i="195"/>
  <c r="P26" i="195"/>
  <c r="I26" i="195"/>
  <c r="I37" i="195" s="1"/>
  <c r="M26" i="195"/>
  <c r="K26" i="195"/>
  <c r="J26" i="195"/>
  <c r="H26" i="195"/>
  <c r="Q26" i="195"/>
  <c r="F26" i="195"/>
  <c r="R26" i="195" s="1"/>
  <c r="D37" i="195"/>
  <c r="O26" i="195"/>
  <c r="N26" i="195"/>
  <c r="I42" i="195"/>
  <c r="I45" i="195" s="1"/>
  <c r="D45" i="195"/>
  <c r="D93" i="195"/>
  <c r="F68" i="195"/>
  <c r="R68" i="195" s="1"/>
  <c r="O50" i="195"/>
  <c r="R50" i="195" s="1"/>
  <c r="J51" i="195"/>
  <c r="I51" i="195"/>
  <c r="H51" i="195"/>
  <c r="M51" i="195"/>
  <c r="O51" i="195"/>
  <c r="N51" i="195"/>
  <c r="L51" i="195"/>
  <c r="K51" i="195"/>
  <c r="G51" i="195"/>
  <c r="F51" i="195"/>
  <c r="R51" i="195" s="1"/>
  <c r="N77" i="195"/>
  <c r="R77" i="195" s="1"/>
  <c r="H77" i="195"/>
  <c r="P54" i="195"/>
  <c r="J54" i="195"/>
  <c r="I54" i="195"/>
  <c r="Q54" i="195" s="1"/>
  <c r="O54" i="195"/>
  <c r="G54" i="195"/>
  <c r="L54" i="195"/>
  <c r="F54" i="195"/>
  <c r="N54" i="195"/>
  <c r="M54" i="195"/>
  <c r="K54" i="195"/>
  <c r="H54" i="195"/>
  <c r="K12" i="195"/>
  <c r="N12" i="195"/>
  <c r="G12" i="195"/>
  <c r="M12" i="195"/>
  <c r="F12" i="195"/>
  <c r="I12" i="195"/>
  <c r="L12" i="195"/>
  <c r="J12" i="195"/>
  <c r="H12" i="195"/>
  <c r="F60" i="195"/>
  <c r="R60" i="195"/>
  <c r="O64" i="195"/>
  <c r="R64" i="195" s="1"/>
  <c r="M74" i="195"/>
  <c r="G74" i="195"/>
  <c r="I74" i="195"/>
  <c r="K74" i="195"/>
  <c r="F74" i="195"/>
  <c r="N74" i="195"/>
  <c r="L74" i="195"/>
  <c r="J74" i="195"/>
  <c r="H74" i="195"/>
  <c r="L30" i="195"/>
  <c r="F30" i="195"/>
  <c r="Q30" i="195" s="1"/>
  <c r="N30" i="195"/>
  <c r="G30" i="195"/>
  <c r="J30" i="195"/>
  <c r="P30" i="195"/>
  <c r="O30" i="195"/>
  <c r="M30" i="195"/>
  <c r="K30" i="195"/>
  <c r="I30" i="195"/>
  <c r="H30" i="195"/>
  <c r="R30" i="195" s="1"/>
  <c r="M75" i="195"/>
  <c r="G75" i="195"/>
  <c r="K75" i="195"/>
  <c r="H75" i="195"/>
  <c r="L75" i="195"/>
  <c r="F75" i="195"/>
  <c r="O75" i="195" s="1"/>
  <c r="N75" i="195"/>
  <c r="J75" i="195"/>
  <c r="I75" i="195"/>
  <c r="M61" i="195"/>
  <c r="G61" i="195"/>
  <c r="P61" i="195"/>
  <c r="I61" i="195"/>
  <c r="O61" i="195"/>
  <c r="F61" i="195"/>
  <c r="K61" i="195"/>
  <c r="J61" i="195"/>
  <c r="H61" i="195"/>
  <c r="N61" i="195"/>
  <c r="L61" i="195"/>
  <c r="N5" i="195"/>
  <c r="H5" i="195"/>
  <c r="O5" i="195"/>
  <c r="G5" i="195"/>
  <c r="M5" i="195"/>
  <c r="F5" i="195"/>
  <c r="L5" i="195"/>
  <c r="J5" i="195"/>
  <c r="K5" i="195"/>
  <c r="P5" i="195"/>
  <c r="I5" i="195"/>
  <c r="N27" i="195"/>
  <c r="H27" i="195"/>
  <c r="K27" i="195"/>
  <c r="P27" i="195"/>
  <c r="G27" i="195"/>
  <c r="G37" i="195" s="1"/>
  <c r="O27" i="195"/>
  <c r="F27" i="195"/>
  <c r="M27" i="195"/>
  <c r="L27" i="195"/>
  <c r="J27" i="195"/>
  <c r="I27" i="195"/>
  <c r="L56" i="195"/>
  <c r="F56" i="195"/>
  <c r="R56" i="195" s="1"/>
  <c r="J56" i="195"/>
  <c r="N56" i="195"/>
  <c r="I56" i="195"/>
  <c r="P56" i="195"/>
  <c r="O56" i="195"/>
  <c r="M56" i="195"/>
  <c r="K56" i="195"/>
  <c r="H56" i="195"/>
  <c r="Q56" i="195" s="1"/>
  <c r="G56" i="195"/>
  <c r="J49" i="195"/>
  <c r="L49" i="195"/>
  <c r="G49" i="195"/>
  <c r="K49" i="195"/>
  <c r="N49" i="195"/>
  <c r="D70" i="195"/>
  <c r="M49" i="195"/>
  <c r="I49" i="195"/>
  <c r="I70" i="195" s="1"/>
  <c r="H49" i="195"/>
  <c r="H70" i="195" s="1"/>
  <c r="F49" i="195"/>
  <c r="I62" i="195"/>
  <c r="N62" i="195"/>
  <c r="R62" i="195" s="1"/>
  <c r="H94" i="195"/>
  <c r="O94" i="195" s="1"/>
  <c r="R10" i="195"/>
  <c r="L59" i="195"/>
  <c r="F59" i="195"/>
  <c r="Q59" i="195" s="1"/>
  <c r="K59" i="195"/>
  <c r="O59" i="195"/>
  <c r="G59" i="195"/>
  <c r="J59" i="195"/>
  <c r="N59" i="195"/>
  <c r="M59" i="195"/>
  <c r="I59" i="195"/>
  <c r="H59" i="195"/>
  <c r="P59" i="195"/>
  <c r="R12" i="194"/>
  <c r="R66" i="194"/>
  <c r="R27" i="194"/>
  <c r="L56" i="194"/>
  <c r="F56" i="194"/>
  <c r="K56" i="194"/>
  <c r="J56" i="194"/>
  <c r="Q56" i="194" s="1"/>
  <c r="N56" i="194"/>
  <c r="I56" i="194"/>
  <c r="G56" i="194"/>
  <c r="M56" i="194"/>
  <c r="P56" i="194"/>
  <c r="P70" i="194" s="1"/>
  <c r="P78" i="194" s="1"/>
  <c r="O56" i="194"/>
  <c r="H56" i="194"/>
  <c r="I42" i="194"/>
  <c r="I45" i="194" s="1"/>
  <c r="D45" i="194"/>
  <c r="D48" i="194" s="1"/>
  <c r="N13" i="194"/>
  <c r="H13" i="194"/>
  <c r="L13" i="194"/>
  <c r="F13" i="194"/>
  <c r="I13" i="194"/>
  <c r="P13" i="194"/>
  <c r="G13" i="194"/>
  <c r="J13" i="194"/>
  <c r="O13" i="194"/>
  <c r="M13" i="194"/>
  <c r="K13" i="194"/>
  <c r="R28" i="194"/>
  <c r="R26" i="194"/>
  <c r="J49" i="194"/>
  <c r="M49" i="194"/>
  <c r="F49" i="194"/>
  <c r="L49" i="194"/>
  <c r="D70" i="194"/>
  <c r="K49" i="194"/>
  <c r="N49" i="194"/>
  <c r="I49" i="194"/>
  <c r="H49" i="194"/>
  <c r="G49" i="194"/>
  <c r="M75" i="194"/>
  <c r="G75" i="194"/>
  <c r="L75" i="194"/>
  <c r="K75" i="194"/>
  <c r="H75" i="194"/>
  <c r="F75" i="194"/>
  <c r="I75" i="194"/>
  <c r="J75" i="194"/>
  <c r="O75" i="194" s="1"/>
  <c r="N75" i="194"/>
  <c r="R54" i="194"/>
  <c r="J51" i="194"/>
  <c r="K51" i="194"/>
  <c r="I51" i="194"/>
  <c r="M51" i="194"/>
  <c r="H51" i="194"/>
  <c r="F51" i="194"/>
  <c r="O51" i="194" s="1"/>
  <c r="L51" i="194"/>
  <c r="G51" i="194"/>
  <c r="N51" i="194"/>
  <c r="O9" i="194"/>
  <c r="I9" i="194"/>
  <c r="M9" i="194"/>
  <c r="G9" i="194"/>
  <c r="P9" i="194"/>
  <c r="F9" i="194"/>
  <c r="N9" i="194"/>
  <c r="J9" i="194"/>
  <c r="R9" i="194" s="1"/>
  <c r="H9" i="194"/>
  <c r="Q9" i="194" s="1"/>
  <c r="L9" i="194"/>
  <c r="K9" i="194"/>
  <c r="M10" i="194"/>
  <c r="G10" i="194"/>
  <c r="K10" i="194"/>
  <c r="J10" i="194"/>
  <c r="I10" i="194"/>
  <c r="N10" i="194"/>
  <c r="L10" i="194"/>
  <c r="P10" i="194"/>
  <c r="H10" i="194"/>
  <c r="O10" i="194"/>
  <c r="F10" i="194"/>
  <c r="Q10" i="194" s="1"/>
  <c r="R82" i="194"/>
  <c r="F82" i="194"/>
  <c r="L33" i="194"/>
  <c r="N33" i="194"/>
  <c r="G33" i="194"/>
  <c r="R33" i="194" s="1"/>
  <c r="M33" i="194"/>
  <c r="F33" i="194"/>
  <c r="P33" i="194"/>
  <c r="K33" i="194"/>
  <c r="J33" i="194"/>
  <c r="I33" i="194"/>
  <c r="Q33" i="194"/>
  <c r="H33" i="194"/>
  <c r="O33" i="194"/>
  <c r="J52" i="194"/>
  <c r="M52" i="194"/>
  <c r="F52" i="194"/>
  <c r="L52" i="194"/>
  <c r="K52" i="194"/>
  <c r="H52" i="194"/>
  <c r="I52" i="194"/>
  <c r="G52" i="194"/>
  <c r="N52" i="194"/>
  <c r="P57" i="194"/>
  <c r="J57" i="194"/>
  <c r="L57" i="194"/>
  <c r="K57" i="194"/>
  <c r="I57" i="194"/>
  <c r="G57" i="194"/>
  <c r="H57" i="194"/>
  <c r="F57" i="194"/>
  <c r="Q57" i="194" s="1"/>
  <c r="N57" i="194"/>
  <c r="M57" i="194"/>
  <c r="O57" i="194"/>
  <c r="P17" i="194"/>
  <c r="J17" i="194"/>
  <c r="N17" i="194"/>
  <c r="H17" i="194"/>
  <c r="G17" i="194"/>
  <c r="O17" i="194"/>
  <c r="F17" i="194"/>
  <c r="Q17" i="194" s="1"/>
  <c r="M17" i="194"/>
  <c r="L17" i="194"/>
  <c r="K17" i="194"/>
  <c r="I17" i="194"/>
  <c r="R14" i="194"/>
  <c r="L36" i="194"/>
  <c r="R36" i="194" s="1"/>
  <c r="F36" i="194"/>
  <c r="Q16" i="194"/>
  <c r="R16" i="194" s="1"/>
  <c r="K8" i="194"/>
  <c r="O8" i="194"/>
  <c r="I8" i="194"/>
  <c r="I25" i="194" s="1"/>
  <c r="L8" i="194"/>
  <c r="J8" i="194"/>
  <c r="N8" i="194"/>
  <c r="F8" i="194"/>
  <c r="Q8" i="194" s="1"/>
  <c r="M8" i="194"/>
  <c r="H8" i="194"/>
  <c r="P8" i="194"/>
  <c r="G8" i="194"/>
  <c r="F81" i="194"/>
  <c r="R81" i="194"/>
  <c r="M7" i="194"/>
  <c r="G7" i="194"/>
  <c r="K7" i="194"/>
  <c r="P7" i="194"/>
  <c r="H7" i="194"/>
  <c r="O7" i="194"/>
  <c r="F7" i="194"/>
  <c r="Q7" i="194" s="1"/>
  <c r="J7" i="194"/>
  <c r="I7" i="194"/>
  <c r="N7" i="194"/>
  <c r="N25" i="194" s="1"/>
  <c r="L7" i="194"/>
  <c r="K31" i="194"/>
  <c r="P31" i="194"/>
  <c r="J31" i="194"/>
  <c r="O31" i="194"/>
  <c r="G31" i="194"/>
  <c r="M31" i="194"/>
  <c r="L31" i="194"/>
  <c r="I31" i="194"/>
  <c r="N31" i="194"/>
  <c r="N37" i="194" s="1"/>
  <c r="H31" i="194"/>
  <c r="F31" i="194"/>
  <c r="Q31" i="194" s="1"/>
  <c r="F89" i="194"/>
  <c r="R89" i="194" s="1"/>
  <c r="L89" i="194"/>
  <c r="M6" i="194"/>
  <c r="G6" i="194"/>
  <c r="R6" i="194" s="1"/>
  <c r="N6" i="194"/>
  <c r="F6" i="194"/>
  <c r="L6" i="194"/>
  <c r="P6" i="194"/>
  <c r="I6" i="194"/>
  <c r="O6" i="194"/>
  <c r="H6" i="194"/>
  <c r="K6" i="194"/>
  <c r="Q6" i="194"/>
  <c r="J6" i="194"/>
  <c r="O29" i="194"/>
  <c r="O37" i="194" s="1"/>
  <c r="I29" i="194"/>
  <c r="I37" i="194" s="1"/>
  <c r="N29" i="194"/>
  <c r="H29" i="194"/>
  <c r="H37" i="194" s="1"/>
  <c r="G29" i="194"/>
  <c r="M29" i="194"/>
  <c r="M37" i="194" s="1"/>
  <c r="L29" i="194"/>
  <c r="K29" i="194"/>
  <c r="J29" i="194"/>
  <c r="Q29" i="194" s="1"/>
  <c r="F29" i="194"/>
  <c r="P29" i="194"/>
  <c r="D87" i="194"/>
  <c r="F88" i="194"/>
  <c r="L44" i="194"/>
  <c r="L45" i="194" s="1"/>
  <c r="R44" i="194"/>
  <c r="F60" i="194"/>
  <c r="R60" i="194" s="1"/>
  <c r="N58" i="194"/>
  <c r="H58" i="194"/>
  <c r="L58" i="194"/>
  <c r="K58" i="194"/>
  <c r="G58" i="194"/>
  <c r="O58" i="194"/>
  <c r="J58" i="194"/>
  <c r="I58" i="194"/>
  <c r="P58" i="194"/>
  <c r="F58" i="194"/>
  <c r="Q58" i="194" s="1"/>
  <c r="M58" i="194"/>
  <c r="I62" i="194"/>
  <c r="H94" i="194"/>
  <c r="R94" i="194" s="1"/>
  <c r="O94" i="194"/>
  <c r="D76" i="194"/>
  <c r="F71" i="194"/>
  <c r="O32" i="194"/>
  <c r="I32" i="194"/>
  <c r="N32" i="194"/>
  <c r="H32" i="194"/>
  <c r="K32" i="194"/>
  <c r="G32" i="194"/>
  <c r="G37" i="194" s="1"/>
  <c r="L32" i="194"/>
  <c r="J32" i="194"/>
  <c r="M32" i="194"/>
  <c r="F32" i="194"/>
  <c r="P32" i="194"/>
  <c r="M73" i="194"/>
  <c r="G73" i="194"/>
  <c r="H73" i="194"/>
  <c r="O73" i="194" s="1"/>
  <c r="R73" i="194" s="1"/>
  <c r="N73" i="194"/>
  <c r="F73" i="194"/>
  <c r="J73" i="194"/>
  <c r="L73" i="194"/>
  <c r="K73" i="194"/>
  <c r="I73" i="194"/>
  <c r="M72" i="194"/>
  <c r="G72" i="194"/>
  <c r="L72" i="194"/>
  <c r="K72" i="194"/>
  <c r="J72" i="194"/>
  <c r="J76" i="194" s="1"/>
  <c r="H72" i="194"/>
  <c r="I72" i="194"/>
  <c r="F72" i="194"/>
  <c r="O72" i="194" s="1"/>
  <c r="N72" i="194"/>
  <c r="N76" i="194" s="1"/>
  <c r="Q28" i="194"/>
  <c r="M74" i="194"/>
  <c r="G74" i="194"/>
  <c r="J74" i="194"/>
  <c r="I74" i="194"/>
  <c r="H74" i="194"/>
  <c r="N74" i="194"/>
  <c r="L74" i="194"/>
  <c r="F74" i="194"/>
  <c r="O74" i="194" s="1"/>
  <c r="K74" i="194"/>
  <c r="O5" i="194"/>
  <c r="I5" i="194"/>
  <c r="M5" i="194"/>
  <c r="F5" i="194"/>
  <c r="F25" i="194" s="1"/>
  <c r="L5" i="194"/>
  <c r="P5" i="194"/>
  <c r="H5" i="194"/>
  <c r="H25" i="194" s="1"/>
  <c r="N5" i="194"/>
  <c r="G5" i="194"/>
  <c r="K5" i="194"/>
  <c r="J5" i="194"/>
  <c r="K46" i="194"/>
  <c r="K47" i="194" s="1"/>
  <c r="D47" i="194"/>
  <c r="N46" i="194"/>
  <c r="N47" i="194" s="1"/>
  <c r="F46" i="194"/>
  <c r="F47" i="194" s="1"/>
  <c r="D109" i="194"/>
  <c r="G92" i="194"/>
  <c r="K92" i="194"/>
  <c r="J92" i="194"/>
  <c r="L92" i="194"/>
  <c r="H92" i="194"/>
  <c r="F92" i="194"/>
  <c r="I92" i="194"/>
  <c r="F63" i="194"/>
  <c r="R63" i="194" s="1"/>
  <c r="L59" i="194"/>
  <c r="F59" i="194"/>
  <c r="Q59" i="194" s="1"/>
  <c r="M59" i="194"/>
  <c r="K59" i="194"/>
  <c r="O59" i="194"/>
  <c r="J59" i="194"/>
  <c r="N59" i="194"/>
  <c r="I59" i="194"/>
  <c r="H59" i="194"/>
  <c r="G59" i="194"/>
  <c r="P59" i="194"/>
  <c r="N77" i="194"/>
  <c r="R77" i="194" s="1"/>
  <c r="H77" i="194"/>
  <c r="F15" i="194"/>
  <c r="M30" i="194"/>
  <c r="Q30" i="194" s="1"/>
  <c r="G30" i="194"/>
  <c r="L30" i="194"/>
  <c r="L37" i="194" s="1"/>
  <c r="F30" i="194"/>
  <c r="K30" i="194"/>
  <c r="K37" i="194" s="1"/>
  <c r="I30" i="194"/>
  <c r="N30" i="194"/>
  <c r="J30" i="194"/>
  <c r="O30" i="194"/>
  <c r="H30" i="194"/>
  <c r="P30" i="194"/>
  <c r="P37" i="194" s="1"/>
  <c r="K4" i="194"/>
  <c r="K25" i="194" s="1"/>
  <c r="M4" i="194"/>
  <c r="M25" i="194" s="1"/>
  <c r="M48" i="194" s="1"/>
  <c r="F4" i="194"/>
  <c r="L4" i="194"/>
  <c r="O4" i="194"/>
  <c r="O25" i="194" s="1"/>
  <c r="H4" i="194"/>
  <c r="N4" i="194"/>
  <c r="G4" i="194"/>
  <c r="Q4" i="194" s="1"/>
  <c r="J4" i="194"/>
  <c r="J25" i="194" s="1"/>
  <c r="P4" i="194"/>
  <c r="P25" i="194" s="1"/>
  <c r="P48" i="194" s="1"/>
  <c r="I4" i="194"/>
  <c r="N93" i="194"/>
  <c r="H93" i="194"/>
  <c r="O93" i="194"/>
  <c r="G93" i="194"/>
  <c r="M93" i="194"/>
  <c r="F93" i="194"/>
  <c r="P93" i="194"/>
  <c r="K93" i="194"/>
  <c r="I93" i="194"/>
  <c r="L93" i="194"/>
  <c r="J93" i="194"/>
  <c r="J53" i="194"/>
  <c r="H53" i="194"/>
  <c r="N53" i="194"/>
  <c r="G53" i="194"/>
  <c r="K53" i="194"/>
  <c r="F53" i="194"/>
  <c r="M53" i="194"/>
  <c r="L53" i="194"/>
  <c r="I53" i="194"/>
  <c r="F11" i="194"/>
  <c r="R11" i="194"/>
  <c r="R3" i="194"/>
  <c r="J64" i="194"/>
  <c r="K64" i="194"/>
  <c r="I64" i="194"/>
  <c r="H64" i="194"/>
  <c r="F64" i="194"/>
  <c r="O64" i="194" s="1"/>
  <c r="G64" i="194"/>
  <c r="M64" i="194"/>
  <c r="N64" i="194"/>
  <c r="L64" i="194"/>
  <c r="M61" i="194"/>
  <c r="G61" i="194"/>
  <c r="J61" i="194"/>
  <c r="P61" i="194"/>
  <c r="I61" i="194"/>
  <c r="H61" i="194"/>
  <c r="O61" i="194"/>
  <c r="L61" i="194"/>
  <c r="K61" i="194"/>
  <c r="N61" i="194"/>
  <c r="F61" i="194"/>
  <c r="Q61" i="194" s="1"/>
  <c r="J65" i="194"/>
  <c r="M65" i="194"/>
  <c r="F65" i="194"/>
  <c r="L65" i="194"/>
  <c r="H65" i="194"/>
  <c r="K65" i="194"/>
  <c r="I65" i="194"/>
  <c r="N65" i="194"/>
  <c r="G65" i="194"/>
  <c r="L69" i="194"/>
  <c r="F69" i="194"/>
  <c r="R69" i="194" s="1"/>
  <c r="D83" i="194"/>
  <c r="F79" i="194"/>
  <c r="F83" i="194" s="1"/>
  <c r="F37" i="194"/>
  <c r="R13" i="193"/>
  <c r="P9" i="193"/>
  <c r="J9" i="193"/>
  <c r="O9" i="193"/>
  <c r="I9" i="193"/>
  <c r="G9" i="193"/>
  <c r="M9" i="193"/>
  <c r="N9" i="193"/>
  <c r="F9" i="193"/>
  <c r="Q9" i="193" s="1"/>
  <c r="K9" i="193"/>
  <c r="H9" i="193"/>
  <c r="L9" i="193"/>
  <c r="K31" i="193"/>
  <c r="O31" i="193"/>
  <c r="H31" i="193"/>
  <c r="N31" i="193"/>
  <c r="G31" i="193"/>
  <c r="Q31" i="193" s="1"/>
  <c r="I31" i="193"/>
  <c r="P31" i="193"/>
  <c r="F31" i="193"/>
  <c r="R31" i="193" s="1"/>
  <c r="L31" i="193"/>
  <c r="J31" i="193"/>
  <c r="M31" i="193"/>
  <c r="H94" i="193"/>
  <c r="O94" i="193" s="1"/>
  <c r="L36" i="193"/>
  <c r="R36" i="193"/>
  <c r="F36" i="193"/>
  <c r="P57" i="193"/>
  <c r="J57" i="193"/>
  <c r="M57" i="193"/>
  <c r="F57" i="193"/>
  <c r="R57" i="193" s="1"/>
  <c r="L57" i="193"/>
  <c r="N57" i="193"/>
  <c r="K57" i="193"/>
  <c r="I57" i="193"/>
  <c r="G57" i="193"/>
  <c r="H57" i="193"/>
  <c r="Q57" i="193"/>
  <c r="O57" i="193"/>
  <c r="F69" i="193"/>
  <c r="L69" i="193" s="1"/>
  <c r="R69" i="193" s="1"/>
  <c r="Q14" i="193"/>
  <c r="R14" i="193" s="1"/>
  <c r="P3" i="193"/>
  <c r="J3" i="193"/>
  <c r="O3" i="193"/>
  <c r="D25" i="193"/>
  <c r="K3" i="193"/>
  <c r="I3" i="193"/>
  <c r="M3" i="193"/>
  <c r="F3" i="193"/>
  <c r="N3" i="193"/>
  <c r="H3" i="193"/>
  <c r="H25" i="193" s="1"/>
  <c r="G3" i="193"/>
  <c r="L3" i="193"/>
  <c r="M64" i="193"/>
  <c r="G64" i="193"/>
  <c r="J64" i="193"/>
  <c r="L64" i="193"/>
  <c r="K64" i="193"/>
  <c r="H64" i="193"/>
  <c r="F64" i="193"/>
  <c r="N64" i="193"/>
  <c r="I64" i="193"/>
  <c r="M65" i="193"/>
  <c r="G65" i="193"/>
  <c r="J65" i="193"/>
  <c r="I65" i="193"/>
  <c r="H65" i="193"/>
  <c r="K65" i="193"/>
  <c r="F65" i="193"/>
  <c r="N65" i="193"/>
  <c r="L65" i="193"/>
  <c r="M27" i="193"/>
  <c r="G27" i="193"/>
  <c r="N27" i="193"/>
  <c r="F27" i="193"/>
  <c r="L27" i="193"/>
  <c r="J27" i="193"/>
  <c r="I27" i="193"/>
  <c r="H27" i="193"/>
  <c r="O27" i="193"/>
  <c r="K27" i="193"/>
  <c r="P27" i="193"/>
  <c r="J75" i="193"/>
  <c r="M75" i="193"/>
  <c r="G75" i="193"/>
  <c r="L75" i="193"/>
  <c r="K75" i="193"/>
  <c r="N75" i="193"/>
  <c r="H75" i="193"/>
  <c r="F75" i="193"/>
  <c r="I75" i="193"/>
  <c r="N58" i="193"/>
  <c r="H58" i="193"/>
  <c r="M58" i="193"/>
  <c r="F58" i="193"/>
  <c r="Q58" i="193" s="1"/>
  <c r="L58" i="193"/>
  <c r="J58" i="193"/>
  <c r="I58" i="193"/>
  <c r="O58" i="193"/>
  <c r="K58" i="193"/>
  <c r="G58" i="193"/>
  <c r="P58" i="193"/>
  <c r="F71" i="193"/>
  <c r="D76" i="193"/>
  <c r="D109" i="193" s="1"/>
  <c r="P54" i="193"/>
  <c r="P70" i="193" s="1"/>
  <c r="P78" i="193" s="1"/>
  <c r="J54" i="193"/>
  <c r="L54" i="193"/>
  <c r="K54" i="193"/>
  <c r="M54" i="193"/>
  <c r="I54" i="193"/>
  <c r="F54" i="193"/>
  <c r="O54" i="193"/>
  <c r="H54" i="193"/>
  <c r="G54" i="193"/>
  <c r="N54" i="193"/>
  <c r="D83" i="193"/>
  <c r="R79" i="193"/>
  <c r="F79" i="193"/>
  <c r="F82" i="193"/>
  <c r="R82" i="193"/>
  <c r="O12" i="193"/>
  <c r="R12" i="193" s="1"/>
  <c r="R16" i="193"/>
  <c r="L8" i="193"/>
  <c r="F8" i="193"/>
  <c r="K8" i="193"/>
  <c r="M8" i="193"/>
  <c r="J8" i="193"/>
  <c r="O8" i="193"/>
  <c r="G8" i="193"/>
  <c r="H8" i="193"/>
  <c r="Q8" i="193" s="1"/>
  <c r="N8" i="193"/>
  <c r="I8" i="193"/>
  <c r="P8" i="193"/>
  <c r="K46" i="193"/>
  <c r="K47" i="193" s="1"/>
  <c r="D47" i="193"/>
  <c r="N46" i="193"/>
  <c r="N47" i="193" s="1"/>
  <c r="R46" i="193"/>
  <c r="F46" i="193"/>
  <c r="F47" i="193" s="1"/>
  <c r="O17" i="193"/>
  <c r="I17" i="193"/>
  <c r="N17" i="193"/>
  <c r="G17" i="193"/>
  <c r="Q17" i="193" s="1"/>
  <c r="M17" i="193"/>
  <c r="F17" i="193"/>
  <c r="K17" i="193"/>
  <c r="J17" i="193"/>
  <c r="H17" i="193"/>
  <c r="P17" i="193"/>
  <c r="L17" i="193"/>
  <c r="F11" i="193"/>
  <c r="R11" i="193"/>
  <c r="J51" i="193"/>
  <c r="L51" i="193"/>
  <c r="K51" i="193"/>
  <c r="F51" i="193"/>
  <c r="O51" i="193" s="1"/>
  <c r="N51" i="193"/>
  <c r="H51" i="193"/>
  <c r="R51" i="193" s="1"/>
  <c r="G51" i="193"/>
  <c r="M51" i="193"/>
  <c r="I51" i="193"/>
  <c r="F68" i="193"/>
  <c r="R68" i="193" s="1"/>
  <c r="L24" i="193"/>
  <c r="F24" i="193"/>
  <c r="R24" i="193" s="1"/>
  <c r="H67" i="193"/>
  <c r="R67" i="193" s="1"/>
  <c r="I42" i="193"/>
  <c r="I45" i="193" s="1"/>
  <c r="D45" i="193"/>
  <c r="O59" i="193"/>
  <c r="L59" i="193"/>
  <c r="F59" i="193"/>
  <c r="N59" i="193"/>
  <c r="G59" i="193"/>
  <c r="M59" i="193"/>
  <c r="H59" i="193"/>
  <c r="R59" i="193" s="1"/>
  <c r="Q59" i="193"/>
  <c r="P59" i="193"/>
  <c r="J59" i="193"/>
  <c r="K59" i="193"/>
  <c r="I59" i="193"/>
  <c r="J74" i="193"/>
  <c r="M74" i="193"/>
  <c r="G74" i="193"/>
  <c r="F74" i="193"/>
  <c r="O74" i="193" s="1"/>
  <c r="N74" i="193"/>
  <c r="L74" i="193"/>
  <c r="K74" i="193"/>
  <c r="I74" i="193"/>
  <c r="H74" i="193"/>
  <c r="N55" i="193"/>
  <c r="H55" i="193"/>
  <c r="L55" i="193"/>
  <c r="K55" i="193"/>
  <c r="I55" i="193"/>
  <c r="G55" i="193"/>
  <c r="F55" i="193"/>
  <c r="Q55" i="193" s="1"/>
  <c r="P55" i="193"/>
  <c r="M55" i="193"/>
  <c r="O55" i="193"/>
  <c r="J55" i="193"/>
  <c r="F81" i="193"/>
  <c r="R81" i="193" s="1"/>
  <c r="N7" i="193"/>
  <c r="H7" i="193"/>
  <c r="M7" i="193"/>
  <c r="G7" i="193"/>
  <c r="I7" i="193"/>
  <c r="P7" i="193"/>
  <c r="F7" i="193"/>
  <c r="O7" i="193"/>
  <c r="K7" i="193"/>
  <c r="L7" i="193"/>
  <c r="Q7" i="193" s="1"/>
  <c r="J7" i="193"/>
  <c r="L33" i="193"/>
  <c r="N33" i="193"/>
  <c r="G33" i="193"/>
  <c r="Q33" i="193" s="1"/>
  <c r="I33" i="193"/>
  <c r="P33" i="193"/>
  <c r="H33" i="193"/>
  <c r="M33" i="193"/>
  <c r="J33" i="193"/>
  <c r="K33" i="193"/>
  <c r="O33" i="193"/>
  <c r="F33" i="193"/>
  <c r="F15" i="193"/>
  <c r="L93" i="193"/>
  <c r="F93" i="193"/>
  <c r="K93" i="193"/>
  <c r="N93" i="193"/>
  <c r="H93" i="193"/>
  <c r="Q93" i="193" s="1"/>
  <c r="I93" i="193"/>
  <c r="G93" i="193"/>
  <c r="P93" i="193"/>
  <c r="O93" i="193"/>
  <c r="J93" i="193"/>
  <c r="M93" i="193"/>
  <c r="R60" i="193"/>
  <c r="F60" i="193"/>
  <c r="H77" i="193"/>
  <c r="R77" i="193" s="1"/>
  <c r="N77" i="193"/>
  <c r="N10" i="193"/>
  <c r="H10" i="193"/>
  <c r="M10" i="193"/>
  <c r="G10" i="193"/>
  <c r="K10" i="193"/>
  <c r="J10" i="193"/>
  <c r="I10" i="193"/>
  <c r="O10" i="193"/>
  <c r="L10" i="193"/>
  <c r="F10" i="193"/>
  <c r="P10" i="193"/>
  <c r="J72" i="193"/>
  <c r="M72" i="193"/>
  <c r="G72" i="193"/>
  <c r="L72" i="193"/>
  <c r="K72" i="193"/>
  <c r="N72" i="193"/>
  <c r="I72" i="193"/>
  <c r="H72" i="193"/>
  <c r="F72" i="193"/>
  <c r="O72" i="193" s="1"/>
  <c r="F88" i="193"/>
  <c r="D87" i="193"/>
  <c r="J73" i="193"/>
  <c r="M73" i="193"/>
  <c r="G73" i="193"/>
  <c r="I73" i="193"/>
  <c r="H73" i="193"/>
  <c r="N73" i="193"/>
  <c r="L73" i="193"/>
  <c r="K73" i="193"/>
  <c r="F73" i="193"/>
  <c r="J49" i="193"/>
  <c r="N49" i="193"/>
  <c r="G49" i="193"/>
  <c r="M49" i="193"/>
  <c r="F49" i="193"/>
  <c r="H49" i="193"/>
  <c r="K49" i="193"/>
  <c r="K70" i="193" s="1"/>
  <c r="L49" i="193"/>
  <c r="D70" i="193"/>
  <c r="I49" i="193"/>
  <c r="D92" i="193"/>
  <c r="P61" i="193"/>
  <c r="J61" i="193"/>
  <c r="M61" i="193"/>
  <c r="G61" i="193"/>
  <c r="O61" i="193"/>
  <c r="F61" i="193"/>
  <c r="N61" i="193"/>
  <c r="Q61" i="193"/>
  <c r="L61" i="193"/>
  <c r="K61" i="193"/>
  <c r="H61" i="193"/>
  <c r="I61" i="193"/>
  <c r="R61" i="193" s="1"/>
  <c r="L56" i="193"/>
  <c r="F56" i="193"/>
  <c r="M56" i="193"/>
  <c r="K56" i="193"/>
  <c r="P56" i="193"/>
  <c r="G56" i="193"/>
  <c r="R56" i="193" s="1"/>
  <c r="O56" i="193"/>
  <c r="I56" i="193"/>
  <c r="H56" i="193"/>
  <c r="N56" i="193"/>
  <c r="J56" i="193"/>
  <c r="Q56" i="193"/>
  <c r="F89" i="193"/>
  <c r="L89" i="193" s="1"/>
  <c r="R89" i="193" s="1"/>
  <c r="P6" i="193"/>
  <c r="J6" i="193"/>
  <c r="O6" i="193"/>
  <c r="I6" i="193"/>
  <c r="M6" i="193"/>
  <c r="L6" i="193"/>
  <c r="G6" i="193"/>
  <c r="N6" i="193"/>
  <c r="H6" i="193"/>
  <c r="K6" i="193"/>
  <c r="F6" i="193"/>
  <c r="M66" i="193"/>
  <c r="G66" i="193"/>
  <c r="J66" i="193"/>
  <c r="F66" i="193"/>
  <c r="O66" i="193" s="1"/>
  <c r="N66" i="193"/>
  <c r="K66" i="193"/>
  <c r="I66" i="193"/>
  <c r="H66" i="193"/>
  <c r="L66" i="193"/>
  <c r="I62" i="193"/>
  <c r="O32" i="193"/>
  <c r="I32" i="193"/>
  <c r="P32" i="193"/>
  <c r="H32" i="193"/>
  <c r="N32" i="193"/>
  <c r="G32" i="193"/>
  <c r="M32" i="193"/>
  <c r="L32" i="193"/>
  <c r="J32" i="193"/>
  <c r="K32" i="193"/>
  <c r="F32" i="193"/>
  <c r="Q32" i="193" s="1"/>
  <c r="R32" i="193" s="1"/>
  <c r="F80" i="193"/>
  <c r="R80" i="193"/>
  <c r="O29" i="193"/>
  <c r="I29" i="193"/>
  <c r="R29" i="193" s="1"/>
  <c r="N29" i="193"/>
  <c r="G29" i="193"/>
  <c r="Q29" i="193" s="1"/>
  <c r="M29" i="193"/>
  <c r="F29" i="193"/>
  <c r="P29" i="193"/>
  <c r="L29" i="193"/>
  <c r="K29" i="193"/>
  <c r="H29" i="193"/>
  <c r="J29" i="193"/>
  <c r="O52" i="193"/>
  <c r="R52" i="193" s="1"/>
  <c r="O26" i="193"/>
  <c r="H26" i="193"/>
  <c r="M26" i="193"/>
  <c r="K26" i="193"/>
  <c r="N26" i="193"/>
  <c r="I26" i="193"/>
  <c r="I37" i="193" s="1"/>
  <c r="D37" i="193"/>
  <c r="J26" i="193"/>
  <c r="P26" i="193"/>
  <c r="F26" i="193"/>
  <c r="F37" i="193" s="1"/>
  <c r="N4" i="193"/>
  <c r="H4" i="193"/>
  <c r="M4" i="193"/>
  <c r="G4" i="193"/>
  <c r="O4" i="193"/>
  <c r="L4" i="193"/>
  <c r="I4" i="193"/>
  <c r="F4" i="193"/>
  <c r="K4" i="193"/>
  <c r="J4" i="193"/>
  <c r="Q4" i="193" s="1"/>
  <c r="P4" i="193"/>
  <c r="L5" i="193"/>
  <c r="F5" i="193"/>
  <c r="K5" i="193"/>
  <c r="I5" i="193"/>
  <c r="P5" i="193"/>
  <c r="H5" i="193"/>
  <c r="M5" i="193"/>
  <c r="J5" i="193"/>
  <c r="G5" i="193"/>
  <c r="Q5" i="193" s="1"/>
  <c r="O5" i="193"/>
  <c r="N5" i="193"/>
  <c r="J50" i="193"/>
  <c r="I50" i="193"/>
  <c r="H50" i="193"/>
  <c r="F50" i="193"/>
  <c r="N50" i="193"/>
  <c r="M50" i="193"/>
  <c r="K50" i="193"/>
  <c r="G50" i="193"/>
  <c r="O50" i="193" s="1"/>
  <c r="L50" i="193"/>
  <c r="K28" i="193"/>
  <c r="N28" i="193"/>
  <c r="G28" i="193"/>
  <c r="M28" i="193"/>
  <c r="F28" i="193"/>
  <c r="Q28" i="193" s="1"/>
  <c r="H28" i="193"/>
  <c r="P28" i="193"/>
  <c r="O28" i="193"/>
  <c r="J28" i="193"/>
  <c r="L28" i="193"/>
  <c r="I28" i="193"/>
  <c r="F63" i="193"/>
  <c r="R63" i="193" s="1"/>
  <c r="F43" i="193"/>
  <c r="F45" i="193" s="1"/>
  <c r="R43" i="193"/>
  <c r="Q90" i="193"/>
  <c r="R32" i="192"/>
  <c r="D78" i="192"/>
  <c r="R9" i="192"/>
  <c r="D48" i="192"/>
  <c r="R50" i="192"/>
  <c r="O50" i="192"/>
  <c r="M75" i="192"/>
  <c r="G75" i="192"/>
  <c r="L75" i="192"/>
  <c r="K75" i="192"/>
  <c r="F75" i="192"/>
  <c r="J75" i="192"/>
  <c r="I75" i="192"/>
  <c r="H75" i="192"/>
  <c r="N75" i="192"/>
  <c r="J51" i="192"/>
  <c r="K51" i="192"/>
  <c r="I51" i="192"/>
  <c r="O51" i="192" s="1"/>
  <c r="L51" i="192"/>
  <c r="H51" i="192"/>
  <c r="M51" i="192"/>
  <c r="G51" i="192"/>
  <c r="F51" i="192"/>
  <c r="N51" i="192"/>
  <c r="P57" i="192"/>
  <c r="J57" i="192"/>
  <c r="L57" i="192"/>
  <c r="K57" i="192"/>
  <c r="H57" i="192"/>
  <c r="G57" i="192"/>
  <c r="N57" i="192"/>
  <c r="M57" i="192"/>
  <c r="I57" i="192"/>
  <c r="Q57" i="192" s="1"/>
  <c r="F57" i="192"/>
  <c r="O57" i="192"/>
  <c r="R13" i="192"/>
  <c r="Q10" i="192"/>
  <c r="R10" i="192" s="1"/>
  <c r="Q54" i="192"/>
  <c r="R54" i="192" s="1"/>
  <c r="K46" i="192"/>
  <c r="K47" i="192" s="1"/>
  <c r="D47" i="192"/>
  <c r="F46" i="192"/>
  <c r="F47" i="192" s="1"/>
  <c r="N46" i="192"/>
  <c r="N47" i="192" s="1"/>
  <c r="D109" i="192"/>
  <c r="R67" i="192"/>
  <c r="H67" i="192"/>
  <c r="F63" i="192"/>
  <c r="R63" i="192" s="1"/>
  <c r="N58" i="192"/>
  <c r="H58" i="192"/>
  <c r="L58" i="192"/>
  <c r="K58" i="192"/>
  <c r="P58" i="192"/>
  <c r="P70" i="192" s="1"/>
  <c r="P78" i="192" s="1"/>
  <c r="F58" i="192"/>
  <c r="Q58" i="192" s="1"/>
  <c r="O58" i="192"/>
  <c r="M58" i="192"/>
  <c r="J58" i="192"/>
  <c r="I58" i="192"/>
  <c r="G58" i="192"/>
  <c r="I62" i="192"/>
  <c r="H94" i="192"/>
  <c r="O94" i="192" s="1"/>
  <c r="R94" i="192" s="1"/>
  <c r="R5" i="192"/>
  <c r="Q9" i="192"/>
  <c r="F82" i="192"/>
  <c r="R82" i="192"/>
  <c r="J52" i="192"/>
  <c r="M52" i="192"/>
  <c r="F52" i="192"/>
  <c r="O52" i="192" s="1"/>
  <c r="L52" i="192"/>
  <c r="I52" i="192"/>
  <c r="H52" i="192"/>
  <c r="N52" i="192"/>
  <c r="K52" i="192"/>
  <c r="G52" i="192"/>
  <c r="O53" i="192"/>
  <c r="R53" i="192" s="1"/>
  <c r="Q26" i="192"/>
  <c r="R26" i="192" s="1"/>
  <c r="F11" i="192"/>
  <c r="R11" i="192"/>
  <c r="F60" i="192"/>
  <c r="R60" i="192" s="1"/>
  <c r="Q33" i="192"/>
  <c r="R33" i="192" s="1"/>
  <c r="Q4" i="192"/>
  <c r="R4" i="192" s="1"/>
  <c r="R30" i="192"/>
  <c r="D92" i="192"/>
  <c r="M61" i="192"/>
  <c r="G61" i="192"/>
  <c r="J61" i="192"/>
  <c r="P61" i="192"/>
  <c r="I61" i="192"/>
  <c r="F61" i="192"/>
  <c r="Q61" i="192" s="1"/>
  <c r="O61" i="192"/>
  <c r="N61" i="192"/>
  <c r="L61" i="192"/>
  <c r="K61" i="192"/>
  <c r="H61" i="192"/>
  <c r="J65" i="192"/>
  <c r="M65" i="192"/>
  <c r="F65" i="192"/>
  <c r="L65" i="192"/>
  <c r="G65" i="192"/>
  <c r="O65" i="192"/>
  <c r="R65" i="192" s="1"/>
  <c r="N65" i="192"/>
  <c r="K65" i="192"/>
  <c r="I65" i="192"/>
  <c r="H65" i="192"/>
  <c r="L59" i="192"/>
  <c r="F59" i="192"/>
  <c r="M59" i="192"/>
  <c r="K59" i="192"/>
  <c r="N59" i="192"/>
  <c r="J59" i="192"/>
  <c r="Q59" i="192"/>
  <c r="P59" i="192"/>
  <c r="O59" i="192"/>
  <c r="I59" i="192"/>
  <c r="H59" i="192"/>
  <c r="G59" i="192"/>
  <c r="R59" i="192" s="1"/>
  <c r="H77" i="192"/>
  <c r="N77" i="192" s="1"/>
  <c r="R77" i="192" s="1"/>
  <c r="N55" i="192"/>
  <c r="H55" i="192"/>
  <c r="K55" i="192"/>
  <c r="J55" i="192"/>
  <c r="O55" i="192"/>
  <c r="M55" i="192"/>
  <c r="I55" i="192"/>
  <c r="G55" i="192"/>
  <c r="F55" i="192"/>
  <c r="Q55" i="192" s="1"/>
  <c r="R55" i="192" s="1"/>
  <c r="P55" i="192"/>
  <c r="L55" i="192"/>
  <c r="L89" i="192"/>
  <c r="R89" i="192" s="1"/>
  <c r="F89" i="192"/>
  <c r="J66" i="192"/>
  <c r="H66" i="192"/>
  <c r="R66" i="192" s="1"/>
  <c r="N66" i="192"/>
  <c r="G66" i="192"/>
  <c r="M66" i="192"/>
  <c r="F66" i="192"/>
  <c r="O66" i="192" s="1"/>
  <c r="I66" i="192"/>
  <c r="L66" i="192"/>
  <c r="K66" i="192"/>
  <c r="R12" i="192"/>
  <c r="R43" i="192"/>
  <c r="J64" i="192"/>
  <c r="K64" i="192"/>
  <c r="I64" i="192"/>
  <c r="G64" i="192"/>
  <c r="O64" i="192" s="1"/>
  <c r="F64" i="192"/>
  <c r="R64" i="192" s="1"/>
  <c r="M64" i="192"/>
  <c r="L64" i="192"/>
  <c r="N64" i="192"/>
  <c r="H64" i="192"/>
  <c r="M73" i="192"/>
  <c r="G73" i="192"/>
  <c r="O73" i="192"/>
  <c r="H73" i="192"/>
  <c r="N73" i="192"/>
  <c r="F73" i="192"/>
  <c r="I73" i="192"/>
  <c r="L73" i="192"/>
  <c r="R73" i="192" s="1"/>
  <c r="K73" i="192"/>
  <c r="J73" i="192"/>
  <c r="F15" i="192"/>
  <c r="R15" i="192" s="1"/>
  <c r="L15" i="192"/>
  <c r="I42" i="192"/>
  <c r="I45" i="192" s="1"/>
  <c r="D45" i="192"/>
  <c r="D93" i="192"/>
  <c r="F69" i="192"/>
  <c r="D83" i="192"/>
  <c r="F79" i="192"/>
  <c r="R79" i="192" s="1"/>
  <c r="L8" i="192"/>
  <c r="L25" i="192" s="1"/>
  <c r="F8" i="192"/>
  <c r="Q8" i="192" s="1"/>
  <c r="K8" i="192"/>
  <c r="P8" i="192"/>
  <c r="H8" i="192"/>
  <c r="H25" i="192" s="1"/>
  <c r="O8" i="192"/>
  <c r="O25" i="192" s="1"/>
  <c r="O48" i="192" s="1"/>
  <c r="G8" i="192"/>
  <c r="G25" i="192" s="1"/>
  <c r="N8" i="192"/>
  <c r="N25" i="192" s="1"/>
  <c r="I8" i="192"/>
  <c r="M8" i="192"/>
  <c r="M25" i="192" s="1"/>
  <c r="J8" i="192"/>
  <c r="J25" i="192" s="1"/>
  <c r="K31" i="192"/>
  <c r="P31" i="192"/>
  <c r="P37" i="192" s="1"/>
  <c r="J31" i="192"/>
  <c r="N31" i="192"/>
  <c r="F31" i="192"/>
  <c r="Q31" i="192" s="1"/>
  <c r="M31" i="192"/>
  <c r="G31" i="192"/>
  <c r="O31" i="192"/>
  <c r="L31" i="192"/>
  <c r="I31" i="192"/>
  <c r="H31" i="192"/>
  <c r="D87" i="192"/>
  <c r="F88" i="192"/>
  <c r="Q14" i="192"/>
  <c r="R14" i="192" s="1"/>
  <c r="Q3" i="192"/>
  <c r="D37" i="192"/>
  <c r="L56" i="192"/>
  <c r="F56" i="192"/>
  <c r="Q56" i="192" s="1"/>
  <c r="K56" i="192"/>
  <c r="J56" i="192"/>
  <c r="M56" i="192"/>
  <c r="I56" i="192"/>
  <c r="N56" i="192"/>
  <c r="H56" i="192"/>
  <c r="G56" i="192"/>
  <c r="P56" i="192"/>
  <c r="O56" i="192"/>
  <c r="M74" i="192"/>
  <c r="G74" i="192"/>
  <c r="J74" i="192"/>
  <c r="I74" i="192"/>
  <c r="F74" i="192"/>
  <c r="H74" i="192"/>
  <c r="N74" i="192"/>
  <c r="L74" i="192"/>
  <c r="K74" i="192"/>
  <c r="K17" i="192"/>
  <c r="K25" i="192" s="1"/>
  <c r="K48" i="192" s="1"/>
  <c r="P17" i="192"/>
  <c r="P25" i="192" s="1"/>
  <c r="P48" i="192" s="1"/>
  <c r="J17" i="192"/>
  <c r="M17" i="192"/>
  <c r="L17" i="192"/>
  <c r="N17" i="192"/>
  <c r="F17" i="192"/>
  <c r="I17" i="192"/>
  <c r="I25" i="192" s="1"/>
  <c r="H17" i="192"/>
  <c r="O17" i="192"/>
  <c r="G17" i="192"/>
  <c r="J49" i="192"/>
  <c r="J70" i="192" s="1"/>
  <c r="M49" i="192"/>
  <c r="F49" i="192"/>
  <c r="L49" i="192"/>
  <c r="N49" i="192"/>
  <c r="K49" i="192"/>
  <c r="I49" i="192"/>
  <c r="D70" i="192"/>
  <c r="H49" i="192"/>
  <c r="G49" i="192"/>
  <c r="K28" i="192"/>
  <c r="K37" i="192" s="1"/>
  <c r="O28" i="192"/>
  <c r="O37" i="192" s="1"/>
  <c r="H28" i="192"/>
  <c r="H37" i="192" s="1"/>
  <c r="N28" i="192"/>
  <c r="N37" i="192" s="1"/>
  <c r="G28" i="192"/>
  <c r="J28" i="192"/>
  <c r="J37" i="192" s="1"/>
  <c r="I28" i="192"/>
  <c r="L28" i="192"/>
  <c r="F28" i="192"/>
  <c r="P28" i="192"/>
  <c r="M28" i="192"/>
  <c r="M37" i="192" s="1"/>
  <c r="M72" i="192"/>
  <c r="M76" i="192" s="1"/>
  <c r="G72" i="192"/>
  <c r="L72" i="192"/>
  <c r="K72" i="192"/>
  <c r="I72" i="192"/>
  <c r="H72" i="192"/>
  <c r="O72" i="192"/>
  <c r="N72" i="192"/>
  <c r="J72" i="192"/>
  <c r="J76" i="192" s="1"/>
  <c r="F72" i="192"/>
  <c r="F76" i="192" s="1"/>
  <c r="F81" i="192"/>
  <c r="R81" i="192"/>
  <c r="R3" i="192"/>
  <c r="R12" i="191"/>
  <c r="O28" i="191"/>
  <c r="I28" i="191"/>
  <c r="P28" i="191"/>
  <c r="H28" i="191"/>
  <c r="N28" i="191"/>
  <c r="G28" i="191"/>
  <c r="M28" i="191"/>
  <c r="F28" i="191"/>
  <c r="L28" i="191"/>
  <c r="K28" i="191"/>
  <c r="Q28" i="191" s="1"/>
  <c r="J28" i="191"/>
  <c r="L69" i="191"/>
  <c r="R69" i="191" s="1"/>
  <c r="F69" i="191"/>
  <c r="Q3" i="191"/>
  <c r="K3" i="191"/>
  <c r="J3" i="191"/>
  <c r="P3" i="191"/>
  <c r="I3" i="191"/>
  <c r="O3" i="191"/>
  <c r="H3" i="191"/>
  <c r="N3" i="191"/>
  <c r="G3" i="191"/>
  <c r="D25" i="191"/>
  <c r="F3" i="191"/>
  <c r="M3" i="191"/>
  <c r="L3" i="191"/>
  <c r="F63" i="191"/>
  <c r="R63" i="191" s="1"/>
  <c r="O10" i="191"/>
  <c r="I10" i="191"/>
  <c r="M10" i="191"/>
  <c r="F10" i="191"/>
  <c r="L10" i="191"/>
  <c r="K10" i="191"/>
  <c r="J10" i="191"/>
  <c r="P10" i="191"/>
  <c r="N10" i="191"/>
  <c r="H10" i="191"/>
  <c r="G10" i="191"/>
  <c r="F82" i="191"/>
  <c r="R82" i="191" s="1"/>
  <c r="O31" i="191"/>
  <c r="I31" i="191"/>
  <c r="J31" i="191"/>
  <c r="P31" i="191"/>
  <c r="H31" i="191"/>
  <c r="Q31" i="191" s="1"/>
  <c r="N31" i="191"/>
  <c r="G31" i="191"/>
  <c r="M31" i="191"/>
  <c r="L31" i="191"/>
  <c r="K31" i="191"/>
  <c r="F31" i="191"/>
  <c r="J50" i="191"/>
  <c r="M50" i="191"/>
  <c r="F50" i="191"/>
  <c r="K50" i="191"/>
  <c r="I50" i="191"/>
  <c r="H50" i="191"/>
  <c r="N50" i="191"/>
  <c r="L50" i="191"/>
  <c r="G50" i="191"/>
  <c r="R67" i="191"/>
  <c r="H67" i="191"/>
  <c r="F11" i="191"/>
  <c r="R11" i="191" s="1"/>
  <c r="N55" i="191"/>
  <c r="H55" i="191"/>
  <c r="P55" i="191"/>
  <c r="I55" i="191"/>
  <c r="J55" i="191"/>
  <c r="G55" i="191"/>
  <c r="O55" i="191"/>
  <c r="F55" i="191"/>
  <c r="M55" i="191"/>
  <c r="L55" i="191"/>
  <c r="K55" i="191"/>
  <c r="K9" i="191"/>
  <c r="M9" i="191"/>
  <c r="F9" i="191"/>
  <c r="L9" i="191"/>
  <c r="J9" i="191"/>
  <c r="Q9" i="191" s="1"/>
  <c r="P9" i="191"/>
  <c r="I9" i="191"/>
  <c r="G9" i="191"/>
  <c r="H9" i="191"/>
  <c r="R9" i="191" s="1"/>
  <c r="O9" i="191"/>
  <c r="N9" i="191"/>
  <c r="D87" i="191"/>
  <c r="F88" i="191"/>
  <c r="L88" i="191"/>
  <c r="K46" i="191"/>
  <c r="K47" i="191" s="1"/>
  <c r="R46" i="191"/>
  <c r="F46" i="191"/>
  <c r="F47" i="191" s="1"/>
  <c r="D47" i="191"/>
  <c r="N46" i="191"/>
  <c r="N47" i="191" s="1"/>
  <c r="R43" i="191"/>
  <c r="F43" i="191"/>
  <c r="F45" i="191" s="1"/>
  <c r="D109" i="191"/>
  <c r="L44" i="191"/>
  <c r="L45" i="191" s="1"/>
  <c r="R44" i="191"/>
  <c r="H77" i="191"/>
  <c r="N77" i="191" s="1"/>
  <c r="R77" i="191" s="1"/>
  <c r="P16" i="191"/>
  <c r="J16" i="191"/>
  <c r="O16" i="191"/>
  <c r="I16" i="191"/>
  <c r="N16" i="191"/>
  <c r="H16" i="191"/>
  <c r="K16" i="191"/>
  <c r="G16" i="191"/>
  <c r="F16" i="191"/>
  <c r="M16" i="191"/>
  <c r="L16" i="191"/>
  <c r="M8" i="191"/>
  <c r="G8" i="191"/>
  <c r="Q8" i="191" s="1"/>
  <c r="L8" i="191"/>
  <c r="K8" i="191"/>
  <c r="J8" i="191"/>
  <c r="P8" i="191"/>
  <c r="I8" i="191"/>
  <c r="O8" i="191"/>
  <c r="N8" i="191"/>
  <c r="H8" i="191"/>
  <c r="F8" i="191"/>
  <c r="J65" i="191"/>
  <c r="K65" i="191"/>
  <c r="G65" i="191"/>
  <c r="N65" i="191"/>
  <c r="F65" i="191"/>
  <c r="R65" i="191" s="1"/>
  <c r="M65" i="191"/>
  <c r="L65" i="191"/>
  <c r="I65" i="191"/>
  <c r="O65" i="191" s="1"/>
  <c r="H65" i="191"/>
  <c r="M29" i="191"/>
  <c r="G29" i="191"/>
  <c r="P29" i="191"/>
  <c r="I29" i="191"/>
  <c r="O29" i="191"/>
  <c r="H29" i="191"/>
  <c r="N29" i="191"/>
  <c r="F29" i="191"/>
  <c r="R29" i="191" s="1"/>
  <c r="L29" i="191"/>
  <c r="K29" i="191"/>
  <c r="Q29" i="191" s="1"/>
  <c r="J29" i="191"/>
  <c r="K6" i="191"/>
  <c r="L6" i="191"/>
  <c r="J6" i="191"/>
  <c r="P6" i="191"/>
  <c r="I6" i="191"/>
  <c r="O6" i="191"/>
  <c r="H6" i="191"/>
  <c r="F6" i="191"/>
  <c r="Q6" i="191" s="1"/>
  <c r="G6" i="191"/>
  <c r="N6" i="191"/>
  <c r="M6" i="191"/>
  <c r="H94" i="191"/>
  <c r="O94" i="191" s="1"/>
  <c r="R94" i="191" s="1"/>
  <c r="N58" i="191"/>
  <c r="H58" i="191"/>
  <c r="J58" i="191"/>
  <c r="K58" i="191"/>
  <c r="I58" i="191"/>
  <c r="P58" i="191"/>
  <c r="G58" i="191"/>
  <c r="O58" i="191"/>
  <c r="M58" i="191"/>
  <c r="L58" i="191"/>
  <c r="F58" i="191"/>
  <c r="M74" i="191"/>
  <c r="G74" i="191"/>
  <c r="H74" i="191"/>
  <c r="J74" i="191"/>
  <c r="I74" i="191"/>
  <c r="F74" i="191"/>
  <c r="N74" i="191"/>
  <c r="L74" i="191"/>
  <c r="K74" i="191"/>
  <c r="N17" i="191"/>
  <c r="H17" i="191"/>
  <c r="M17" i="191"/>
  <c r="G17" i="191"/>
  <c r="L17" i="191"/>
  <c r="F17" i="191"/>
  <c r="I17" i="191"/>
  <c r="P17" i="191"/>
  <c r="O17" i="191"/>
  <c r="Q17" i="191" s="1"/>
  <c r="K17" i="191"/>
  <c r="J17" i="191"/>
  <c r="F60" i="191"/>
  <c r="R60" i="191" s="1"/>
  <c r="I42" i="191"/>
  <c r="I45" i="191" s="1"/>
  <c r="R42" i="191"/>
  <c r="D45" i="191"/>
  <c r="D92" i="191"/>
  <c r="J49" i="191"/>
  <c r="D70" i="191"/>
  <c r="K49" i="191"/>
  <c r="N49" i="191"/>
  <c r="F49" i="191"/>
  <c r="M49" i="191"/>
  <c r="L49" i="191"/>
  <c r="L70" i="191" s="1"/>
  <c r="I49" i="191"/>
  <c r="H49" i="191"/>
  <c r="G49" i="191"/>
  <c r="O49" i="191" s="1"/>
  <c r="J52" i="191"/>
  <c r="K52" i="191"/>
  <c r="M52" i="191"/>
  <c r="L52" i="191"/>
  <c r="I52" i="191"/>
  <c r="H52" i="191"/>
  <c r="G52" i="191"/>
  <c r="F52" i="191"/>
  <c r="R52" i="191" s="1"/>
  <c r="O52" i="191"/>
  <c r="N52" i="191"/>
  <c r="F68" i="191"/>
  <c r="R68" i="191" s="1"/>
  <c r="D83" i="191"/>
  <c r="F79" i="191"/>
  <c r="R79" i="191"/>
  <c r="F24" i="191"/>
  <c r="L24" i="191"/>
  <c r="R24" i="191"/>
  <c r="J53" i="191"/>
  <c r="M53" i="191"/>
  <c r="F53" i="191"/>
  <c r="I53" i="191"/>
  <c r="H53" i="191"/>
  <c r="G53" i="191"/>
  <c r="N53" i="191"/>
  <c r="L53" i="191"/>
  <c r="K53" i="191"/>
  <c r="M72" i="191"/>
  <c r="G72" i="191"/>
  <c r="J72" i="191"/>
  <c r="H72" i="191"/>
  <c r="F72" i="191"/>
  <c r="N72" i="191"/>
  <c r="L72" i="191"/>
  <c r="L76" i="191" s="1"/>
  <c r="L78" i="191" s="1"/>
  <c r="K72" i="191"/>
  <c r="I72" i="191"/>
  <c r="F36" i="191"/>
  <c r="L36" i="191"/>
  <c r="R36" i="191" s="1"/>
  <c r="O4" i="191"/>
  <c r="I4" i="191"/>
  <c r="K4" i="191"/>
  <c r="J4" i="191"/>
  <c r="P4" i="191"/>
  <c r="H4" i="191"/>
  <c r="N4" i="191"/>
  <c r="G4" i="191"/>
  <c r="L4" i="191"/>
  <c r="M4" i="191"/>
  <c r="F4" i="191"/>
  <c r="M5" i="191"/>
  <c r="G5" i="191"/>
  <c r="K5" i="191"/>
  <c r="J5" i="191"/>
  <c r="P5" i="191"/>
  <c r="I5" i="191"/>
  <c r="O5" i="191"/>
  <c r="H5" i="191"/>
  <c r="N5" i="191"/>
  <c r="L5" i="191"/>
  <c r="F5" i="191"/>
  <c r="J64" i="191"/>
  <c r="H64" i="191"/>
  <c r="K64" i="191"/>
  <c r="I64" i="191"/>
  <c r="G64" i="191"/>
  <c r="N64" i="191"/>
  <c r="M64" i="191"/>
  <c r="L64" i="191"/>
  <c r="F64" i="191"/>
  <c r="L56" i="191"/>
  <c r="F56" i="191"/>
  <c r="P56" i="191"/>
  <c r="I56" i="191"/>
  <c r="M56" i="191"/>
  <c r="K56" i="191"/>
  <c r="J56" i="191"/>
  <c r="H56" i="191"/>
  <c r="G56" i="191"/>
  <c r="Q56" i="191" s="1"/>
  <c r="O56" i="191"/>
  <c r="N56" i="191"/>
  <c r="D76" i="191"/>
  <c r="F71" i="191"/>
  <c r="R71" i="191"/>
  <c r="F80" i="191"/>
  <c r="R80" i="191"/>
  <c r="J51" i="191"/>
  <c r="H51" i="191"/>
  <c r="G51" i="191"/>
  <c r="O51" i="191" s="1"/>
  <c r="N51" i="191"/>
  <c r="F51" i="191"/>
  <c r="R51" i="191" s="1"/>
  <c r="M51" i="191"/>
  <c r="L51" i="191"/>
  <c r="K51" i="191"/>
  <c r="I51" i="191"/>
  <c r="P54" i="191"/>
  <c r="J54" i="191"/>
  <c r="O54" i="191"/>
  <c r="H54" i="191"/>
  <c r="N54" i="191"/>
  <c r="F54" i="191"/>
  <c r="Q54" i="191" s="1"/>
  <c r="M54" i="191"/>
  <c r="L54" i="191"/>
  <c r="K54" i="191"/>
  <c r="I54" i="191"/>
  <c r="G54" i="191"/>
  <c r="L59" i="191"/>
  <c r="F59" i="191"/>
  <c r="R59" i="191" s="1"/>
  <c r="J59" i="191"/>
  <c r="N59" i="191"/>
  <c r="M59" i="191"/>
  <c r="K59" i="191"/>
  <c r="P59" i="191"/>
  <c r="O59" i="191"/>
  <c r="I59" i="191"/>
  <c r="H59" i="191"/>
  <c r="Q59" i="191" s="1"/>
  <c r="G59" i="191"/>
  <c r="K27" i="191"/>
  <c r="O27" i="191"/>
  <c r="H27" i="191"/>
  <c r="N27" i="191"/>
  <c r="G27" i="191"/>
  <c r="M27" i="191"/>
  <c r="F27" i="191"/>
  <c r="Q27" i="191" s="1"/>
  <c r="P27" i="191"/>
  <c r="L27" i="191"/>
  <c r="J27" i="191"/>
  <c r="I27" i="191"/>
  <c r="M73" i="191"/>
  <c r="G73" i="191"/>
  <c r="L73" i="191"/>
  <c r="N73" i="191"/>
  <c r="K73" i="191"/>
  <c r="J73" i="191"/>
  <c r="I73" i="191"/>
  <c r="H73" i="191"/>
  <c r="F73" i="191"/>
  <c r="O73" i="191" s="1"/>
  <c r="R73" i="191" s="1"/>
  <c r="F81" i="191"/>
  <c r="R81" i="191" s="1"/>
  <c r="L33" i="191"/>
  <c r="K33" i="191"/>
  <c r="J33" i="191"/>
  <c r="I33" i="191"/>
  <c r="P33" i="191"/>
  <c r="H33" i="191"/>
  <c r="O33" i="191"/>
  <c r="N33" i="191"/>
  <c r="M33" i="191"/>
  <c r="G33" i="191"/>
  <c r="F33" i="191"/>
  <c r="P14" i="191"/>
  <c r="J14" i="191"/>
  <c r="R14" i="191" s="1"/>
  <c r="O14" i="191"/>
  <c r="I14" i="191"/>
  <c r="N14" i="191"/>
  <c r="H14" i="191"/>
  <c r="M14" i="191"/>
  <c r="L14" i="191"/>
  <c r="K14" i="191"/>
  <c r="G14" i="191"/>
  <c r="F14" i="191"/>
  <c r="Q14" i="191" s="1"/>
  <c r="M26" i="191"/>
  <c r="M37" i="191" s="1"/>
  <c r="O26" i="191"/>
  <c r="F26" i="191"/>
  <c r="N26" i="191"/>
  <c r="K26" i="191"/>
  <c r="P26" i="191"/>
  <c r="J26" i="191"/>
  <c r="I26" i="191"/>
  <c r="H26" i="191"/>
  <c r="D37" i="191"/>
  <c r="R62" i="191"/>
  <c r="N62" i="191"/>
  <c r="I62" i="191"/>
  <c r="M32" i="191"/>
  <c r="G32" i="191"/>
  <c r="Q32" i="191" s="1"/>
  <c r="J32" i="191"/>
  <c r="P32" i="191"/>
  <c r="I32" i="191"/>
  <c r="O32" i="191"/>
  <c r="H32" i="191"/>
  <c r="N32" i="191"/>
  <c r="L32" i="191"/>
  <c r="K32" i="191"/>
  <c r="F32" i="191"/>
  <c r="F15" i="191"/>
  <c r="J66" i="191"/>
  <c r="M66" i="191"/>
  <c r="F66" i="191"/>
  <c r="L66" i="191"/>
  <c r="K66" i="191"/>
  <c r="I66" i="191"/>
  <c r="H66" i="191"/>
  <c r="G66" i="191"/>
  <c r="N66" i="191"/>
  <c r="O7" i="191"/>
  <c r="I7" i="191"/>
  <c r="L7" i="191"/>
  <c r="K7" i="191"/>
  <c r="J7" i="191"/>
  <c r="P7" i="191"/>
  <c r="H7" i="191"/>
  <c r="M7" i="191"/>
  <c r="N7" i="191"/>
  <c r="G7" i="191"/>
  <c r="F7" i="191"/>
  <c r="D93" i="191"/>
  <c r="P57" i="191"/>
  <c r="J57" i="191"/>
  <c r="I57" i="191"/>
  <c r="O57" i="191"/>
  <c r="G57" i="191"/>
  <c r="N57" i="191"/>
  <c r="F57" i="191"/>
  <c r="M57" i="191"/>
  <c r="L57" i="191"/>
  <c r="K57" i="191"/>
  <c r="Q57" i="191" s="1"/>
  <c r="H57" i="191"/>
  <c r="L13" i="191"/>
  <c r="K13" i="191"/>
  <c r="P13" i="191"/>
  <c r="J13" i="191"/>
  <c r="G13" i="191"/>
  <c r="O13" i="191"/>
  <c r="F13" i="191"/>
  <c r="N13" i="191"/>
  <c r="M13" i="191"/>
  <c r="I13" i="191"/>
  <c r="H13" i="191"/>
  <c r="M75" i="191"/>
  <c r="G75" i="191"/>
  <c r="O75" i="191" s="1"/>
  <c r="J75" i="191"/>
  <c r="F75" i="191"/>
  <c r="N75" i="191"/>
  <c r="L75" i="191"/>
  <c r="K75" i="191"/>
  <c r="I75" i="191"/>
  <c r="H75" i="191"/>
  <c r="M61" i="191"/>
  <c r="G61" i="191"/>
  <c r="Q61" i="191" s="1"/>
  <c r="O61" i="191"/>
  <c r="H61" i="191"/>
  <c r="R61" i="191" s="1"/>
  <c r="N61" i="191"/>
  <c r="L61" i="191"/>
  <c r="K61" i="191"/>
  <c r="P61" i="191"/>
  <c r="J61" i="191"/>
  <c r="I61" i="191"/>
  <c r="F61" i="191"/>
  <c r="K30" i="191"/>
  <c r="P30" i="191"/>
  <c r="I30" i="191"/>
  <c r="O30" i="191"/>
  <c r="H30" i="191"/>
  <c r="N30" i="191"/>
  <c r="G30" i="191"/>
  <c r="M30" i="191"/>
  <c r="L30" i="191"/>
  <c r="J30" i="191"/>
  <c r="F30" i="191"/>
  <c r="Q30" i="191" s="1"/>
  <c r="R30" i="191" s="1"/>
  <c r="Q90" i="191"/>
  <c r="F89" i="191"/>
  <c r="L89" i="191"/>
  <c r="R89" i="191" s="1"/>
  <c r="R44" i="190"/>
  <c r="L44" i="190"/>
  <c r="L45" i="190" s="1"/>
  <c r="F82" i="190"/>
  <c r="R82" i="190"/>
  <c r="O17" i="190"/>
  <c r="I17" i="190"/>
  <c r="M17" i="190"/>
  <c r="G17" i="190"/>
  <c r="L17" i="190"/>
  <c r="F17" i="190"/>
  <c r="P17" i="190"/>
  <c r="H17" i="190"/>
  <c r="Q17" i="190" s="1"/>
  <c r="N17" i="190"/>
  <c r="K17" i="190"/>
  <c r="J17" i="190"/>
  <c r="K28" i="190"/>
  <c r="O28" i="190"/>
  <c r="I28" i="190"/>
  <c r="N28" i="190"/>
  <c r="H28" i="190"/>
  <c r="F28" i="190"/>
  <c r="P28" i="190"/>
  <c r="G28" i="190"/>
  <c r="M28" i="190"/>
  <c r="L28" i="190"/>
  <c r="J28" i="190"/>
  <c r="Q28" i="190" s="1"/>
  <c r="P8" i="190"/>
  <c r="J8" i="190"/>
  <c r="N8" i="190"/>
  <c r="H8" i="190"/>
  <c r="M8" i="190"/>
  <c r="G8" i="190"/>
  <c r="K8" i="190"/>
  <c r="O8" i="190"/>
  <c r="I8" i="190"/>
  <c r="L8" i="190"/>
  <c r="F8" i="190"/>
  <c r="Q8" i="190" s="1"/>
  <c r="D47" i="190"/>
  <c r="N46" i="190"/>
  <c r="N47" i="190" s="1"/>
  <c r="K46" i="190"/>
  <c r="K47" i="190" s="1"/>
  <c r="F46" i="190"/>
  <c r="F47" i="190" s="1"/>
  <c r="M12" i="190"/>
  <c r="G12" i="190"/>
  <c r="K12" i="190"/>
  <c r="J12" i="190"/>
  <c r="N12" i="190"/>
  <c r="L12" i="190"/>
  <c r="I12" i="190"/>
  <c r="F12" i="190"/>
  <c r="O12" i="190" s="1"/>
  <c r="H12" i="190"/>
  <c r="M33" i="190"/>
  <c r="G33" i="190"/>
  <c r="K33" i="190"/>
  <c r="P33" i="190"/>
  <c r="J33" i="190"/>
  <c r="H33" i="190"/>
  <c r="F33" i="190"/>
  <c r="Q33" i="190" s="1"/>
  <c r="L33" i="190"/>
  <c r="O33" i="190"/>
  <c r="I33" i="190"/>
  <c r="N33" i="190"/>
  <c r="K31" i="190"/>
  <c r="O31" i="190"/>
  <c r="I31" i="190"/>
  <c r="N31" i="190"/>
  <c r="H31" i="190"/>
  <c r="L31" i="190"/>
  <c r="M31" i="190"/>
  <c r="J31" i="190"/>
  <c r="P31" i="190"/>
  <c r="G31" i="190"/>
  <c r="F31" i="190"/>
  <c r="Q31" i="190" s="1"/>
  <c r="R31" i="190" s="1"/>
  <c r="N51" i="190"/>
  <c r="M51" i="190"/>
  <c r="G51" i="190"/>
  <c r="L51" i="190"/>
  <c r="F51" i="190"/>
  <c r="O51" i="190" s="1"/>
  <c r="K51" i="190"/>
  <c r="H51" i="190"/>
  <c r="J51" i="190"/>
  <c r="I51" i="190"/>
  <c r="N64" i="190"/>
  <c r="H64" i="190"/>
  <c r="M64" i="190"/>
  <c r="G64" i="190"/>
  <c r="L64" i="190"/>
  <c r="F64" i="190"/>
  <c r="K64" i="190"/>
  <c r="J64" i="190"/>
  <c r="I64" i="190"/>
  <c r="K74" i="190"/>
  <c r="J74" i="190"/>
  <c r="I74" i="190"/>
  <c r="N74" i="190"/>
  <c r="H74" i="190"/>
  <c r="G74" i="190"/>
  <c r="L74" i="190"/>
  <c r="F74" i="190"/>
  <c r="O74" i="190" s="1"/>
  <c r="M74" i="190"/>
  <c r="O32" i="190"/>
  <c r="I32" i="190"/>
  <c r="M32" i="190"/>
  <c r="G32" i="190"/>
  <c r="L32" i="190"/>
  <c r="F32" i="190"/>
  <c r="Q32" i="190" s="1"/>
  <c r="J32" i="190"/>
  <c r="H32" i="190"/>
  <c r="K32" i="190"/>
  <c r="P32" i="190"/>
  <c r="N32" i="190"/>
  <c r="P7" i="190"/>
  <c r="J7" i="190"/>
  <c r="O7" i="190"/>
  <c r="I7" i="190"/>
  <c r="M7" i="190"/>
  <c r="L7" i="190"/>
  <c r="K7" i="190"/>
  <c r="N7" i="190"/>
  <c r="H7" i="190"/>
  <c r="Q7" i="190" s="1"/>
  <c r="G7" i="190"/>
  <c r="F7" i="190"/>
  <c r="M49" i="190"/>
  <c r="G49" i="190"/>
  <c r="L49" i="190"/>
  <c r="F49" i="190"/>
  <c r="K49" i="190"/>
  <c r="H49" i="190"/>
  <c r="D70" i="190"/>
  <c r="N49" i="190"/>
  <c r="J49" i="190"/>
  <c r="I49" i="190"/>
  <c r="K92" i="190"/>
  <c r="J92" i="190"/>
  <c r="I92" i="190"/>
  <c r="H92" i="190"/>
  <c r="G92" i="190"/>
  <c r="F92" i="190"/>
  <c r="L92" i="190"/>
  <c r="M30" i="190"/>
  <c r="G30" i="190"/>
  <c r="Q30" i="190" s="1"/>
  <c r="R30" i="190" s="1"/>
  <c r="K30" i="190"/>
  <c r="P30" i="190"/>
  <c r="J30" i="190"/>
  <c r="N30" i="190"/>
  <c r="L30" i="190"/>
  <c r="I30" i="190"/>
  <c r="O30" i="190"/>
  <c r="H30" i="190"/>
  <c r="F30" i="190"/>
  <c r="D76" i="190"/>
  <c r="D109" i="190" s="1"/>
  <c r="F71" i="190"/>
  <c r="F76" i="190" s="1"/>
  <c r="L3" i="190"/>
  <c r="F3" i="190"/>
  <c r="K3" i="190"/>
  <c r="O3" i="190"/>
  <c r="G3" i="190"/>
  <c r="N3" i="190"/>
  <c r="H3" i="190"/>
  <c r="D25" i="190"/>
  <c r="M3" i="190"/>
  <c r="I3" i="190"/>
  <c r="J3" i="190"/>
  <c r="P3" i="190"/>
  <c r="M13" i="190"/>
  <c r="G13" i="190"/>
  <c r="K13" i="190"/>
  <c r="P13" i="190"/>
  <c r="J13" i="190"/>
  <c r="N13" i="190"/>
  <c r="O13" i="190"/>
  <c r="L13" i="190"/>
  <c r="F13" i="190"/>
  <c r="I13" i="190"/>
  <c r="H13" i="190"/>
  <c r="I62" i="190"/>
  <c r="D45" i="190"/>
  <c r="R42" i="190"/>
  <c r="I42" i="190"/>
  <c r="I45" i="190" s="1"/>
  <c r="N52" i="190"/>
  <c r="H52" i="190"/>
  <c r="M52" i="190"/>
  <c r="G52" i="190"/>
  <c r="R52" i="190" s="1"/>
  <c r="L52" i="190"/>
  <c r="F52" i="190"/>
  <c r="K52" i="190"/>
  <c r="J52" i="190"/>
  <c r="O52" i="190"/>
  <c r="I52" i="190"/>
  <c r="N65" i="190"/>
  <c r="H65" i="190"/>
  <c r="M65" i="190"/>
  <c r="G65" i="190"/>
  <c r="R65" i="190" s="1"/>
  <c r="L65" i="190"/>
  <c r="F65" i="190"/>
  <c r="O65" i="190" s="1"/>
  <c r="K65" i="190"/>
  <c r="J65" i="190"/>
  <c r="I65" i="190"/>
  <c r="L55" i="190"/>
  <c r="F55" i="190"/>
  <c r="K55" i="190"/>
  <c r="P55" i="190"/>
  <c r="J55" i="190"/>
  <c r="O55" i="190"/>
  <c r="I55" i="190"/>
  <c r="H55" i="190"/>
  <c r="M55" i="190"/>
  <c r="N55" i="190"/>
  <c r="G55" i="190"/>
  <c r="K61" i="190"/>
  <c r="P61" i="190"/>
  <c r="J61" i="190"/>
  <c r="O61" i="190"/>
  <c r="I61" i="190"/>
  <c r="N61" i="190"/>
  <c r="H61" i="190"/>
  <c r="G61" i="190"/>
  <c r="L61" i="190"/>
  <c r="F61" i="190"/>
  <c r="Q61" i="190" s="1"/>
  <c r="R61" i="190" s="1"/>
  <c r="M61" i="190"/>
  <c r="K75" i="190"/>
  <c r="J75" i="190"/>
  <c r="I75" i="190"/>
  <c r="N75" i="190"/>
  <c r="H75" i="190"/>
  <c r="M75" i="190"/>
  <c r="G75" i="190"/>
  <c r="F75" i="190"/>
  <c r="O75" i="190" s="1"/>
  <c r="L75" i="190"/>
  <c r="L10" i="190"/>
  <c r="F10" i="190"/>
  <c r="P10" i="190"/>
  <c r="J10" i="190"/>
  <c r="O10" i="190"/>
  <c r="I10" i="190"/>
  <c r="G10" i="190"/>
  <c r="Q10" i="190" s="1"/>
  <c r="N10" i="190"/>
  <c r="H10" i="190"/>
  <c r="M10" i="190"/>
  <c r="K10" i="190"/>
  <c r="L15" i="190"/>
  <c r="F15" i="190"/>
  <c r="R15" i="190"/>
  <c r="K16" i="190"/>
  <c r="O16" i="190"/>
  <c r="I16" i="190"/>
  <c r="N16" i="190"/>
  <c r="H16" i="190"/>
  <c r="F16" i="190"/>
  <c r="P16" i="190"/>
  <c r="J16" i="190"/>
  <c r="M16" i="190"/>
  <c r="L16" i="190"/>
  <c r="G16" i="190"/>
  <c r="Q16" i="190" s="1"/>
  <c r="F69" i="190"/>
  <c r="L89" i="190"/>
  <c r="F89" i="190"/>
  <c r="R89" i="190" s="1"/>
  <c r="P56" i="190"/>
  <c r="J56" i="190"/>
  <c r="O56" i="190"/>
  <c r="I56" i="190"/>
  <c r="N56" i="190"/>
  <c r="H56" i="190"/>
  <c r="M56" i="190"/>
  <c r="G56" i="190"/>
  <c r="L56" i="190"/>
  <c r="F56" i="190"/>
  <c r="Q56" i="190" s="1"/>
  <c r="K56" i="190"/>
  <c r="F60" i="190"/>
  <c r="R60" i="190" s="1"/>
  <c r="K73" i="190"/>
  <c r="J73" i="190"/>
  <c r="I73" i="190"/>
  <c r="N73" i="190"/>
  <c r="H73" i="190"/>
  <c r="M73" i="190"/>
  <c r="L73" i="190"/>
  <c r="G73" i="190"/>
  <c r="O73" i="190" s="1"/>
  <c r="F73" i="190"/>
  <c r="L6" i="190"/>
  <c r="F6" i="190"/>
  <c r="Q6" i="190" s="1"/>
  <c r="K6" i="190"/>
  <c r="I6" i="190"/>
  <c r="J6" i="190"/>
  <c r="P6" i="190"/>
  <c r="H6" i="190"/>
  <c r="M6" i="190"/>
  <c r="O6" i="190"/>
  <c r="G6" i="190"/>
  <c r="N6" i="190"/>
  <c r="F24" i="190"/>
  <c r="R81" i="190"/>
  <c r="F81" i="190"/>
  <c r="N53" i="190"/>
  <c r="H53" i="190"/>
  <c r="M53" i="190"/>
  <c r="G53" i="190"/>
  <c r="O53" i="190" s="1"/>
  <c r="L53" i="190"/>
  <c r="F53" i="190"/>
  <c r="K53" i="190"/>
  <c r="J53" i="190"/>
  <c r="I53" i="190"/>
  <c r="N66" i="190"/>
  <c r="H66" i="190"/>
  <c r="M66" i="190"/>
  <c r="G66" i="190"/>
  <c r="O66" i="190" s="1"/>
  <c r="L66" i="190"/>
  <c r="F66" i="190"/>
  <c r="K66" i="190"/>
  <c r="J66" i="190"/>
  <c r="I66" i="190"/>
  <c r="F43" i="190"/>
  <c r="F45" i="190" s="1"/>
  <c r="L58" i="190"/>
  <c r="F58" i="190"/>
  <c r="Q58" i="190" s="1"/>
  <c r="K58" i="190"/>
  <c r="P58" i="190"/>
  <c r="J58" i="190"/>
  <c r="O58" i="190"/>
  <c r="I58" i="190"/>
  <c r="N58" i="190"/>
  <c r="M58" i="190"/>
  <c r="G58" i="190"/>
  <c r="H58" i="190"/>
  <c r="F63" i="190"/>
  <c r="R63" i="190" s="1"/>
  <c r="Q90" i="190"/>
  <c r="L90" i="190" s="1"/>
  <c r="R90" i="190" s="1"/>
  <c r="H77" i="190"/>
  <c r="P59" i="190"/>
  <c r="J59" i="190"/>
  <c r="O59" i="190"/>
  <c r="I59" i="190"/>
  <c r="N59" i="190"/>
  <c r="H59" i="190"/>
  <c r="M59" i="190"/>
  <c r="G59" i="190"/>
  <c r="F59" i="190"/>
  <c r="L59" i="190"/>
  <c r="K59" i="190"/>
  <c r="M27" i="190"/>
  <c r="G27" i="190"/>
  <c r="K27" i="190"/>
  <c r="P27" i="190"/>
  <c r="J27" i="190"/>
  <c r="H27" i="190"/>
  <c r="F27" i="190"/>
  <c r="O27" i="190"/>
  <c r="L27" i="190"/>
  <c r="L37" i="190" s="1"/>
  <c r="N27" i="190"/>
  <c r="I27" i="190"/>
  <c r="N57" i="190"/>
  <c r="H57" i="190"/>
  <c r="M57" i="190"/>
  <c r="G57" i="190"/>
  <c r="L57" i="190"/>
  <c r="F57" i="190"/>
  <c r="K57" i="190"/>
  <c r="P57" i="190"/>
  <c r="J57" i="190"/>
  <c r="I57" i="190"/>
  <c r="O57" i="190"/>
  <c r="K72" i="190"/>
  <c r="K76" i="190" s="1"/>
  <c r="J72" i="190"/>
  <c r="J76" i="190" s="1"/>
  <c r="I72" i="190"/>
  <c r="I76" i="190" s="1"/>
  <c r="N72" i="190"/>
  <c r="H72" i="190"/>
  <c r="H76" i="190" s="1"/>
  <c r="M72" i="190"/>
  <c r="G72" i="190"/>
  <c r="G76" i="190" s="1"/>
  <c r="F72" i="190"/>
  <c r="O72" i="190" s="1"/>
  <c r="L72" i="190"/>
  <c r="N5" i="190"/>
  <c r="H5" i="190"/>
  <c r="M5" i="190"/>
  <c r="G5" i="190"/>
  <c r="O5" i="190"/>
  <c r="I5" i="190"/>
  <c r="L5" i="190"/>
  <c r="P5" i="190"/>
  <c r="K5" i="190"/>
  <c r="Q5" i="190"/>
  <c r="F5" i="190"/>
  <c r="R5" i="190" s="1"/>
  <c r="J5" i="190"/>
  <c r="M50" i="190"/>
  <c r="G50" i="190"/>
  <c r="L50" i="190"/>
  <c r="F50" i="190"/>
  <c r="K50" i="190"/>
  <c r="H50" i="190"/>
  <c r="N50" i="190"/>
  <c r="I50" i="190"/>
  <c r="J50" i="190"/>
  <c r="F79" i="190"/>
  <c r="F83" i="190" s="1"/>
  <c r="D83" i="190"/>
  <c r="R11" i="190"/>
  <c r="F11" i="190"/>
  <c r="N9" i="190"/>
  <c r="H9" i="190"/>
  <c r="L9" i="190"/>
  <c r="F9" i="190"/>
  <c r="Q9" i="190" s="1"/>
  <c r="K9" i="190"/>
  <c r="I9" i="190"/>
  <c r="J9" i="190"/>
  <c r="G9" i="190"/>
  <c r="M9" i="190"/>
  <c r="P9" i="190"/>
  <c r="O9" i="190"/>
  <c r="O26" i="190"/>
  <c r="H26" i="190"/>
  <c r="M26" i="190"/>
  <c r="K26" i="190"/>
  <c r="D37" i="190"/>
  <c r="I26" i="190"/>
  <c r="J26" i="190"/>
  <c r="J37" i="190" s="1"/>
  <c r="F26" i="190"/>
  <c r="N26" i="190"/>
  <c r="N37" i="190" s="1"/>
  <c r="P26" i="190"/>
  <c r="K14" i="190"/>
  <c r="O14" i="190"/>
  <c r="I14" i="190"/>
  <c r="N14" i="190"/>
  <c r="H14" i="190"/>
  <c r="L14" i="190"/>
  <c r="J14" i="190"/>
  <c r="G14" i="190"/>
  <c r="R14" i="190" s="1"/>
  <c r="P14" i="190"/>
  <c r="M14" i="190"/>
  <c r="F14" i="190"/>
  <c r="Q14" i="190" s="1"/>
  <c r="L36" i="190"/>
  <c r="F36" i="190"/>
  <c r="R36" i="190"/>
  <c r="N54" i="190"/>
  <c r="H54" i="190"/>
  <c r="M54" i="190"/>
  <c r="G54" i="190"/>
  <c r="L54" i="190"/>
  <c r="F54" i="190"/>
  <c r="Q54" i="190" s="1"/>
  <c r="K54" i="190"/>
  <c r="P54" i="190"/>
  <c r="O54" i="190"/>
  <c r="J54" i="190"/>
  <c r="I54" i="190"/>
  <c r="R67" i="190"/>
  <c r="H67" i="190"/>
  <c r="L88" i="190"/>
  <c r="F88" i="190"/>
  <c r="D87" i="190"/>
  <c r="F80" i="190"/>
  <c r="R80" i="190" s="1"/>
  <c r="R68" i="190"/>
  <c r="F68" i="190"/>
  <c r="D93" i="190"/>
  <c r="P4" i="190"/>
  <c r="J4" i="190"/>
  <c r="O4" i="190"/>
  <c r="I4" i="190"/>
  <c r="K4" i="190"/>
  <c r="L4" i="190"/>
  <c r="H4" i="190"/>
  <c r="G4" i="190"/>
  <c r="N4" i="190"/>
  <c r="F4" i="190"/>
  <c r="M4" i="190"/>
  <c r="O29" i="190"/>
  <c r="I29" i="190"/>
  <c r="M29" i="190"/>
  <c r="G29" i="190"/>
  <c r="L29" i="190"/>
  <c r="F29" i="190"/>
  <c r="P29" i="190"/>
  <c r="N29" i="190"/>
  <c r="H29" i="190"/>
  <c r="Q29" i="190" s="1"/>
  <c r="K29" i="190"/>
  <c r="J29" i="190"/>
  <c r="R8" i="189"/>
  <c r="F11" i="189"/>
  <c r="R11" i="189"/>
  <c r="I42" i="189"/>
  <c r="I45" i="189" s="1"/>
  <c r="D45" i="189"/>
  <c r="M72" i="189"/>
  <c r="G72" i="189"/>
  <c r="L72" i="189"/>
  <c r="K72" i="189"/>
  <c r="F72" i="189"/>
  <c r="J72" i="189"/>
  <c r="H72" i="189"/>
  <c r="N72" i="189"/>
  <c r="I72" i="189"/>
  <c r="I76" i="189" s="1"/>
  <c r="R71" i="189"/>
  <c r="D76" i="189"/>
  <c r="F71" i="189"/>
  <c r="O27" i="189"/>
  <c r="O37" i="189" s="1"/>
  <c r="I27" i="189"/>
  <c r="I37" i="189" s="1"/>
  <c r="L27" i="189"/>
  <c r="F27" i="189"/>
  <c r="J27" i="189"/>
  <c r="H27" i="189"/>
  <c r="H37" i="189" s="1"/>
  <c r="K27" i="189"/>
  <c r="P27" i="189"/>
  <c r="G27" i="189"/>
  <c r="N27" i="189"/>
  <c r="M27" i="189"/>
  <c r="D37" i="189"/>
  <c r="L30" i="189"/>
  <c r="F30" i="189"/>
  <c r="P30" i="189"/>
  <c r="I30" i="189"/>
  <c r="Q30" i="189" s="1"/>
  <c r="M30" i="189"/>
  <c r="J30" i="189"/>
  <c r="H30" i="189"/>
  <c r="G30" i="189"/>
  <c r="K30" i="189"/>
  <c r="O30" i="189"/>
  <c r="N30" i="189"/>
  <c r="M61" i="189"/>
  <c r="G61" i="189"/>
  <c r="J61" i="189"/>
  <c r="P61" i="189"/>
  <c r="I61" i="189"/>
  <c r="N61" i="189"/>
  <c r="H61" i="189"/>
  <c r="F61" i="189"/>
  <c r="Q61" i="189" s="1"/>
  <c r="K61" i="189"/>
  <c r="O61" i="189"/>
  <c r="L61" i="189"/>
  <c r="P9" i="189"/>
  <c r="J9" i="189"/>
  <c r="M9" i="189"/>
  <c r="G9" i="189"/>
  <c r="H9" i="189"/>
  <c r="O9" i="189"/>
  <c r="F9" i="189"/>
  <c r="N9" i="189"/>
  <c r="L9" i="189"/>
  <c r="K9" i="189"/>
  <c r="Q9" i="189" s="1"/>
  <c r="I9" i="189"/>
  <c r="L44" i="189"/>
  <c r="L45" i="189" s="1"/>
  <c r="R44" i="189"/>
  <c r="P57" i="189"/>
  <c r="J57" i="189"/>
  <c r="L57" i="189"/>
  <c r="K57" i="189"/>
  <c r="O57" i="189"/>
  <c r="F57" i="189"/>
  <c r="Q57" i="189" s="1"/>
  <c r="I57" i="189"/>
  <c r="G57" i="189"/>
  <c r="N57" i="189"/>
  <c r="M57" i="189"/>
  <c r="H57" i="189"/>
  <c r="F80" i="189"/>
  <c r="R80" i="189" s="1"/>
  <c r="K46" i="189"/>
  <c r="K47" i="189" s="1"/>
  <c r="D47" i="189"/>
  <c r="N46" i="189"/>
  <c r="N47" i="189" s="1"/>
  <c r="F46" i="189"/>
  <c r="F47" i="189" s="1"/>
  <c r="N7" i="189"/>
  <c r="H7" i="189"/>
  <c r="K7" i="189"/>
  <c r="I7" i="189"/>
  <c r="P7" i="189"/>
  <c r="G7" i="189"/>
  <c r="J7" i="189"/>
  <c r="Q7" i="189" s="1"/>
  <c r="O7" i="189"/>
  <c r="F7" i="189"/>
  <c r="M7" i="189"/>
  <c r="L7" i="189"/>
  <c r="J64" i="189"/>
  <c r="K64" i="189"/>
  <c r="I64" i="189"/>
  <c r="N64" i="189"/>
  <c r="H64" i="189"/>
  <c r="F64" i="189"/>
  <c r="M64" i="189"/>
  <c r="L64" i="189"/>
  <c r="G64" i="189"/>
  <c r="F60" i="189"/>
  <c r="R60" i="189"/>
  <c r="N58" i="189"/>
  <c r="H58" i="189"/>
  <c r="L58" i="189"/>
  <c r="K58" i="189"/>
  <c r="M58" i="189"/>
  <c r="G58" i="189"/>
  <c r="F58" i="189"/>
  <c r="P58" i="189"/>
  <c r="I58" i="189"/>
  <c r="O58" i="189"/>
  <c r="J58" i="189"/>
  <c r="L36" i="189"/>
  <c r="F36" i="189"/>
  <c r="R36" i="189"/>
  <c r="O13" i="189"/>
  <c r="I13" i="189"/>
  <c r="L13" i="189"/>
  <c r="F13" i="189"/>
  <c r="J13" i="189"/>
  <c r="H13" i="189"/>
  <c r="Q13" i="189" s="1"/>
  <c r="P13" i="189"/>
  <c r="G13" i="189"/>
  <c r="R13" i="189" s="1"/>
  <c r="N13" i="189"/>
  <c r="M13" i="189"/>
  <c r="K13" i="189"/>
  <c r="H67" i="189"/>
  <c r="R67" i="189" s="1"/>
  <c r="L88" i="189"/>
  <c r="N29" i="189"/>
  <c r="H29" i="189"/>
  <c r="Q29" i="189" s="1"/>
  <c r="P29" i="189"/>
  <c r="P37" i="189" s="1"/>
  <c r="I29" i="189"/>
  <c r="L29" i="189"/>
  <c r="M29" i="189"/>
  <c r="K29" i="189"/>
  <c r="O29" i="189"/>
  <c r="J29" i="189"/>
  <c r="G29" i="189"/>
  <c r="F29" i="189"/>
  <c r="G92" i="189"/>
  <c r="K92" i="189"/>
  <c r="J92" i="189"/>
  <c r="I92" i="189"/>
  <c r="L92" i="189"/>
  <c r="H92" i="189"/>
  <c r="F92" i="189"/>
  <c r="R82" i="189"/>
  <c r="F82" i="189"/>
  <c r="M14" i="189"/>
  <c r="G14" i="189"/>
  <c r="P14" i="189"/>
  <c r="J14" i="189"/>
  <c r="N14" i="189"/>
  <c r="L14" i="189"/>
  <c r="K14" i="189"/>
  <c r="I14" i="189"/>
  <c r="H14" i="189"/>
  <c r="O14" i="189"/>
  <c r="F14" i="189"/>
  <c r="Q14" i="189" s="1"/>
  <c r="J53" i="189"/>
  <c r="H53" i="189"/>
  <c r="N53" i="189"/>
  <c r="G53" i="189"/>
  <c r="K53" i="189"/>
  <c r="I53" i="189"/>
  <c r="R53" i="189" s="1"/>
  <c r="F53" i="189"/>
  <c r="O53" i="189" s="1"/>
  <c r="L53" i="189"/>
  <c r="M53" i="189"/>
  <c r="M75" i="189"/>
  <c r="G75" i="189"/>
  <c r="R75" i="189" s="1"/>
  <c r="L75" i="189"/>
  <c r="K75" i="189"/>
  <c r="N75" i="189"/>
  <c r="H75" i="189"/>
  <c r="J75" i="189"/>
  <c r="O75" i="189" s="1"/>
  <c r="I75" i="189"/>
  <c r="F75" i="189"/>
  <c r="P6" i="189"/>
  <c r="M6" i="189"/>
  <c r="G6" i="189"/>
  <c r="Q6" i="189" s="1"/>
  <c r="R6" i="189" s="1"/>
  <c r="N6" i="189"/>
  <c r="F6" i="189"/>
  <c r="L6" i="189"/>
  <c r="O6" i="189"/>
  <c r="H6" i="189"/>
  <c r="K6" i="189"/>
  <c r="J6" i="189"/>
  <c r="I6" i="189"/>
  <c r="R51" i="189"/>
  <c r="R32" i="189"/>
  <c r="P54" i="189"/>
  <c r="P70" i="189" s="1"/>
  <c r="P78" i="189" s="1"/>
  <c r="J54" i="189"/>
  <c r="K54" i="189"/>
  <c r="I54" i="189"/>
  <c r="N54" i="189"/>
  <c r="H54" i="189"/>
  <c r="M54" i="189"/>
  <c r="L54" i="189"/>
  <c r="O54" i="189"/>
  <c r="G54" i="189"/>
  <c r="F54" i="189"/>
  <c r="J66" i="189"/>
  <c r="H66" i="189"/>
  <c r="N66" i="189"/>
  <c r="G66" i="189"/>
  <c r="L66" i="189"/>
  <c r="F66" i="189"/>
  <c r="K66" i="189"/>
  <c r="I66" i="189"/>
  <c r="M66" i="189"/>
  <c r="D25" i="189"/>
  <c r="M3" i="189"/>
  <c r="G3" i="189"/>
  <c r="L3" i="189"/>
  <c r="K3" i="189"/>
  <c r="N3" i="189"/>
  <c r="F3" i="189"/>
  <c r="J3" i="189"/>
  <c r="P3" i="189"/>
  <c r="I3" i="189"/>
  <c r="O3" i="189"/>
  <c r="H3" i="189"/>
  <c r="N10" i="189"/>
  <c r="H10" i="189"/>
  <c r="K10" i="189"/>
  <c r="L10" i="189"/>
  <c r="J10" i="189"/>
  <c r="I10" i="189"/>
  <c r="P10" i="189"/>
  <c r="G10" i="189"/>
  <c r="O10" i="189"/>
  <c r="F10" i="189"/>
  <c r="M10" i="189"/>
  <c r="F15" i="189"/>
  <c r="Q90" i="189"/>
  <c r="F63" i="189"/>
  <c r="R63" i="189" s="1"/>
  <c r="L59" i="189"/>
  <c r="F59" i="189"/>
  <c r="Q59" i="189" s="1"/>
  <c r="M59" i="189"/>
  <c r="K59" i="189"/>
  <c r="I59" i="189"/>
  <c r="O59" i="189"/>
  <c r="H59" i="189"/>
  <c r="R59" i="189" s="1"/>
  <c r="G59" i="189"/>
  <c r="J59" i="189"/>
  <c r="P59" i="189"/>
  <c r="N59" i="189"/>
  <c r="I62" i="189"/>
  <c r="H94" i="189"/>
  <c r="O94" i="189"/>
  <c r="R94" i="189" s="1"/>
  <c r="P31" i="189"/>
  <c r="J31" i="189"/>
  <c r="I31" i="189"/>
  <c r="M31" i="189"/>
  <c r="F31" i="189"/>
  <c r="F37" i="189" s="1"/>
  <c r="G31" i="189"/>
  <c r="O31" i="189"/>
  <c r="N31" i="189"/>
  <c r="L31" i="189"/>
  <c r="K31" i="189"/>
  <c r="H31" i="189"/>
  <c r="L33" i="189"/>
  <c r="N33" i="189"/>
  <c r="M33" i="189"/>
  <c r="F33" i="189"/>
  <c r="J33" i="189"/>
  <c r="P33" i="189"/>
  <c r="G33" i="189"/>
  <c r="K33" i="189"/>
  <c r="O33" i="189"/>
  <c r="I33" i="189"/>
  <c r="H33" i="189"/>
  <c r="R88" i="189"/>
  <c r="M16" i="189"/>
  <c r="G16" i="189"/>
  <c r="P16" i="189"/>
  <c r="J16" i="189"/>
  <c r="N16" i="189"/>
  <c r="L16" i="189"/>
  <c r="K16" i="189"/>
  <c r="I16" i="189"/>
  <c r="H16" i="189"/>
  <c r="O16" i="189"/>
  <c r="F16" i="189"/>
  <c r="F43" i="189"/>
  <c r="F45" i="189" s="1"/>
  <c r="R43" i="189"/>
  <c r="D83" i="189"/>
  <c r="F79" i="189"/>
  <c r="M74" i="189"/>
  <c r="G74" i="189"/>
  <c r="J74" i="189"/>
  <c r="I74" i="189"/>
  <c r="N74" i="189"/>
  <c r="H74" i="189"/>
  <c r="L74" i="189"/>
  <c r="K74" i="189"/>
  <c r="F74" i="189"/>
  <c r="O5" i="189"/>
  <c r="I5" i="189"/>
  <c r="M5" i="189"/>
  <c r="F5" i="189"/>
  <c r="L5" i="189"/>
  <c r="N5" i="189"/>
  <c r="G5" i="189"/>
  <c r="Q5" i="189" s="1"/>
  <c r="R5" i="189" s="1"/>
  <c r="K5" i="189"/>
  <c r="J5" i="189"/>
  <c r="P5" i="189"/>
  <c r="H5" i="189"/>
  <c r="J49" i="189"/>
  <c r="M49" i="189"/>
  <c r="F49" i="189"/>
  <c r="L49" i="189"/>
  <c r="I49" i="189"/>
  <c r="D70" i="189"/>
  <c r="H49" i="189"/>
  <c r="K49" i="189"/>
  <c r="G49" i="189"/>
  <c r="N49" i="189"/>
  <c r="F81" i="189"/>
  <c r="R81" i="189" s="1"/>
  <c r="R68" i="189"/>
  <c r="F68" i="189"/>
  <c r="K4" i="189"/>
  <c r="M4" i="189"/>
  <c r="F4" i="189"/>
  <c r="L4" i="189"/>
  <c r="N4" i="189"/>
  <c r="G4" i="189"/>
  <c r="Q4" i="189" s="1"/>
  <c r="J4" i="189"/>
  <c r="P4" i="189"/>
  <c r="I4" i="189"/>
  <c r="O4" i="189"/>
  <c r="H4" i="189"/>
  <c r="J52" i="189"/>
  <c r="M52" i="189"/>
  <c r="F52" i="189"/>
  <c r="O52" i="189" s="1"/>
  <c r="L52" i="189"/>
  <c r="G52" i="189"/>
  <c r="K52" i="189"/>
  <c r="H52" i="189"/>
  <c r="R52" i="189" s="1"/>
  <c r="N52" i="189"/>
  <c r="I52" i="189"/>
  <c r="F89" i="189"/>
  <c r="L89" i="189"/>
  <c r="R89" i="189"/>
  <c r="J50" i="189"/>
  <c r="H50" i="189"/>
  <c r="N50" i="189"/>
  <c r="G50" i="189"/>
  <c r="I50" i="189"/>
  <c r="M50" i="189"/>
  <c r="L50" i="189"/>
  <c r="K50" i="189"/>
  <c r="F50" i="189"/>
  <c r="P28" i="189"/>
  <c r="J28" i="189"/>
  <c r="J37" i="189" s="1"/>
  <c r="O28" i="189"/>
  <c r="H28" i="189"/>
  <c r="Q28" i="189" s="1"/>
  <c r="L28" i="189"/>
  <c r="F28" i="189"/>
  <c r="N28" i="189"/>
  <c r="N37" i="189" s="1"/>
  <c r="M28" i="189"/>
  <c r="M37" i="189" s="1"/>
  <c r="K28" i="189"/>
  <c r="I28" i="189"/>
  <c r="G28" i="189"/>
  <c r="K17" i="189"/>
  <c r="N17" i="189"/>
  <c r="H17" i="189"/>
  <c r="I17" i="189"/>
  <c r="P17" i="189"/>
  <c r="G17" i="189"/>
  <c r="O17" i="189"/>
  <c r="F17" i="189"/>
  <c r="M17" i="189"/>
  <c r="L17" i="189"/>
  <c r="J17" i="189"/>
  <c r="J65" i="189"/>
  <c r="M65" i="189"/>
  <c r="F65" i="189"/>
  <c r="L65" i="189"/>
  <c r="N65" i="189"/>
  <c r="H65" i="189"/>
  <c r="G65" i="189"/>
  <c r="O65" i="189" s="1"/>
  <c r="I65" i="189"/>
  <c r="K65" i="189"/>
  <c r="F69" i="189"/>
  <c r="L69" i="189"/>
  <c r="R69" i="189" s="1"/>
  <c r="N77" i="189"/>
  <c r="R77" i="189" s="1"/>
  <c r="H77" i="189"/>
  <c r="D93" i="189"/>
  <c r="M73" i="189"/>
  <c r="G73" i="189"/>
  <c r="H73" i="189"/>
  <c r="N73" i="189"/>
  <c r="F73" i="189"/>
  <c r="O73" i="189" s="1"/>
  <c r="J73" i="189"/>
  <c r="I73" i="189"/>
  <c r="K73" i="189"/>
  <c r="L73" i="189"/>
  <c r="Q26" i="189"/>
  <c r="R26" i="189" s="1"/>
  <c r="K37" i="189"/>
  <c r="D109" i="189"/>
  <c r="Q8" i="189"/>
  <c r="N55" i="189"/>
  <c r="H55" i="189"/>
  <c r="K55" i="189"/>
  <c r="J55" i="189"/>
  <c r="L55" i="189"/>
  <c r="P55" i="189"/>
  <c r="F55" i="189"/>
  <c r="Q55" i="189" s="1"/>
  <c r="O55" i="189"/>
  <c r="M55" i="189"/>
  <c r="I55" i="189"/>
  <c r="G55" i="189"/>
  <c r="D87" i="189"/>
  <c r="R10" i="188"/>
  <c r="R13" i="188"/>
  <c r="D78" i="188"/>
  <c r="R60" i="188"/>
  <c r="F60" i="188"/>
  <c r="L5" i="188"/>
  <c r="F5" i="188"/>
  <c r="Q5" i="188" s="1"/>
  <c r="N5" i="188"/>
  <c r="G5" i="188"/>
  <c r="J5" i="188"/>
  <c r="O5" i="188"/>
  <c r="H5" i="188"/>
  <c r="M5" i="188"/>
  <c r="K5" i="188"/>
  <c r="P5" i="188"/>
  <c r="I5" i="188"/>
  <c r="L32" i="188"/>
  <c r="F32" i="188"/>
  <c r="Q32" i="188" s="1"/>
  <c r="K32" i="188"/>
  <c r="J32" i="188"/>
  <c r="I32" i="188"/>
  <c r="R32" i="188" s="1"/>
  <c r="P32" i="188"/>
  <c r="H32" i="188"/>
  <c r="O32" i="188"/>
  <c r="G32" i="188"/>
  <c r="N32" i="188"/>
  <c r="M32" i="188"/>
  <c r="M37" i="188" s="1"/>
  <c r="J75" i="188"/>
  <c r="M75" i="188"/>
  <c r="G75" i="188"/>
  <c r="F75" i="188"/>
  <c r="O75" i="188" s="1"/>
  <c r="N75" i="188"/>
  <c r="L75" i="188"/>
  <c r="K75" i="188"/>
  <c r="I75" i="188"/>
  <c r="H75" i="188"/>
  <c r="N62" i="188"/>
  <c r="R62" i="188" s="1"/>
  <c r="I62" i="188"/>
  <c r="H94" i="188"/>
  <c r="O94" i="188" s="1"/>
  <c r="R94" i="188" s="1"/>
  <c r="R14" i="188"/>
  <c r="Q90" i="188"/>
  <c r="L90" i="188"/>
  <c r="R90" i="188" s="1"/>
  <c r="R61" i="188"/>
  <c r="O37" i="188"/>
  <c r="N31" i="188"/>
  <c r="H31" i="188"/>
  <c r="M31" i="188"/>
  <c r="G31" i="188"/>
  <c r="P31" i="188"/>
  <c r="F31" i="188"/>
  <c r="L31" i="188"/>
  <c r="O31" i="188"/>
  <c r="K31" i="188"/>
  <c r="J31" i="188"/>
  <c r="I31" i="188"/>
  <c r="K58" i="188"/>
  <c r="N58" i="188"/>
  <c r="H58" i="188"/>
  <c r="M58" i="188"/>
  <c r="L58" i="188"/>
  <c r="G58" i="188"/>
  <c r="P58" i="188"/>
  <c r="F58" i="188"/>
  <c r="O58" i="188"/>
  <c r="J58" i="188"/>
  <c r="I58" i="188"/>
  <c r="R8" i="188"/>
  <c r="O49" i="188"/>
  <c r="R49" i="188" s="1"/>
  <c r="N37" i="188"/>
  <c r="R66" i="188"/>
  <c r="F15" i="188"/>
  <c r="R15" i="188" s="1"/>
  <c r="L15" i="188"/>
  <c r="F43" i="188"/>
  <c r="F45" i="188" s="1"/>
  <c r="O59" i="188"/>
  <c r="I59" i="188"/>
  <c r="L59" i="188"/>
  <c r="R59" i="188" s="1"/>
  <c r="F59" i="188"/>
  <c r="Q59" i="188" s="1"/>
  <c r="H59" i="188"/>
  <c r="P59" i="188"/>
  <c r="G59" i="188"/>
  <c r="N59" i="188"/>
  <c r="M59" i="188"/>
  <c r="K59" i="188"/>
  <c r="J59" i="188"/>
  <c r="R27" i="188"/>
  <c r="R28" i="188"/>
  <c r="H37" i="188"/>
  <c r="M57" i="188"/>
  <c r="G57" i="188"/>
  <c r="P57" i="188"/>
  <c r="J57" i="188"/>
  <c r="I57" i="188"/>
  <c r="H57" i="188"/>
  <c r="F57" i="188"/>
  <c r="Q57" i="188" s="1"/>
  <c r="O57" i="188"/>
  <c r="N57" i="188"/>
  <c r="L57" i="188"/>
  <c r="K57" i="188"/>
  <c r="L33" i="188"/>
  <c r="J33" i="188"/>
  <c r="P33" i="188"/>
  <c r="I33" i="188"/>
  <c r="O33" i="188"/>
  <c r="F33" i="188"/>
  <c r="Q33" i="188" s="1"/>
  <c r="M33" i="188"/>
  <c r="N33" i="188"/>
  <c r="K33" i="188"/>
  <c r="H33" i="188"/>
  <c r="G33" i="188"/>
  <c r="N4" i="188"/>
  <c r="H4" i="188"/>
  <c r="M4" i="188"/>
  <c r="F4" i="188"/>
  <c r="Q4" i="188" s="1"/>
  <c r="J4" i="188"/>
  <c r="O4" i="188"/>
  <c r="G4" i="188"/>
  <c r="R4" i="188" s="1"/>
  <c r="L4" i="188"/>
  <c r="K4" i="188"/>
  <c r="P4" i="188"/>
  <c r="I4" i="188"/>
  <c r="M51" i="188"/>
  <c r="G51" i="188"/>
  <c r="O51" i="188" s="1"/>
  <c r="J51" i="188"/>
  <c r="J70" i="188" s="1"/>
  <c r="F51" i="188"/>
  <c r="N51" i="188"/>
  <c r="N70" i="188" s="1"/>
  <c r="L51" i="188"/>
  <c r="L70" i="188" s="1"/>
  <c r="K51" i="188"/>
  <c r="I51" i="188"/>
  <c r="H51" i="188"/>
  <c r="D109" i="188"/>
  <c r="H77" i="188"/>
  <c r="N77" i="188" s="1"/>
  <c r="R77" i="188" s="1"/>
  <c r="K55" i="188"/>
  <c r="N55" i="188"/>
  <c r="H55" i="188"/>
  <c r="H70" i="188" s="1"/>
  <c r="J55" i="188"/>
  <c r="I55" i="188"/>
  <c r="G55" i="188"/>
  <c r="P55" i="188"/>
  <c r="F55" i="188"/>
  <c r="Q55" i="188" s="1"/>
  <c r="O55" i="188"/>
  <c r="M55" i="188"/>
  <c r="L55" i="188"/>
  <c r="D93" i="188"/>
  <c r="D70" i="188"/>
  <c r="D83" i="188"/>
  <c r="F79" i="188"/>
  <c r="R79" i="188"/>
  <c r="L69" i="188"/>
  <c r="R69" i="188" s="1"/>
  <c r="F69" i="188"/>
  <c r="F81" i="188"/>
  <c r="R81" i="188" s="1"/>
  <c r="Q7" i="188"/>
  <c r="R7" i="188" s="1"/>
  <c r="M53" i="188"/>
  <c r="G53" i="188"/>
  <c r="J53" i="188"/>
  <c r="I53" i="188"/>
  <c r="O53" i="188" s="1"/>
  <c r="H53" i="188"/>
  <c r="F53" i="188"/>
  <c r="R53" i="188" s="1"/>
  <c r="N53" i="188"/>
  <c r="L53" i="188"/>
  <c r="K53" i="188"/>
  <c r="M54" i="188"/>
  <c r="G54" i="188"/>
  <c r="P54" i="188"/>
  <c r="J54" i="188"/>
  <c r="O54" i="188"/>
  <c r="F54" i="188"/>
  <c r="N54" i="188"/>
  <c r="I54" i="188"/>
  <c r="H54" i="188"/>
  <c r="L54" i="188"/>
  <c r="K54" i="188"/>
  <c r="D47" i="188"/>
  <c r="K46" i="188"/>
  <c r="K47" i="188" s="1"/>
  <c r="N46" i="188"/>
  <c r="N47" i="188" s="1"/>
  <c r="F46" i="188"/>
  <c r="F47" i="188" s="1"/>
  <c r="D92" i="188"/>
  <c r="F80" i="188"/>
  <c r="R80" i="188" s="1"/>
  <c r="I42" i="188"/>
  <c r="I45" i="188" s="1"/>
  <c r="R42" i="188"/>
  <c r="D45" i="188"/>
  <c r="F88" i="188"/>
  <c r="D87" i="188"/>
  <c r="L88" i="188"/>
  <c r="I12" i="188"/>
  <c r="M12" i="188"/>
  <c r="F12" i="188"/>
  <c r="J12" i="188"/>
  <c r="N12" i="188"/>
  <c r="G12" i="188"/>
  <c r="L12" i="188"/>
  <c r="K12" i="188"/>
  <c r="H12" i="188"/>
  <c r="L17" i="188"/>
  <c r="F17" i="188"/>
  <c r="Q17" i="188" s="1"/>
  <c r="K17" i="188"/>
  <c r="P17" i="188"/>
  <c r="H17" i="188"/>
  <c r="N17" i="188"/>
  <c r="M17" i="188"/>
  <c r="I17" i="188"/>
  <c r="O17" i="188"/>
  <c r="G17" i="188"/>
  <c r="J17" i="188"/>
  <c r="R67" i="188"/>
  <c r="H67" i="188"/>
  <c r="O56" i="188"/>
  <c r="I56" i="188"/>
  <c r="L56" i="188"/>
  <c r="F56" i="188"/>
  <c r="Q56" i="188" s="1"/>
  <c r="N56" i="188"/>
  <c r="M56" i="188"/>
  <c r="H56" i="188"/>
  <c r="G56" i="188"/>
  <c r="P56" i="188"/>
  <c r="K56" i="188"/>
  <c r="J56" i="188"/>
  <c r="F89" i="188"/>
  <c r="L89" i="188"/>
  <c r="R89" i="188" s="1"/>
  <c r="F82" i="188"/>
  <c r="R82" i="188" s="1"/>
  <c r="R24" i="188"/>
  <c r="Q9" i="188"/>
  <c r="R9" i="188" s="1"/>
  <c r="R65" i="188"/>
  <c r="R26" i="188"/>
  <c r="Q10" i="188"/>
  <c r="D25" i="188"/>
  <c r="P3" i="188"/>
  <c r="J3" i="188"/>
  <c r="J25" i="188" s="1"/>
  <c r="M3" i="188"/>
  <c r="M25" i="188" s="1"/>
  <c r="F3" i="188"/>
  <c r="Q3" i="188" s="1"/>
  <c r="I3" i="188"/>
  <c r="I25" i="188" s="1"/>
  <c r="N3" i="188"/>
  <c r="G3" i="188"/>
  <c r="R3" i="188" s="1"/>
  <c r="L3" i="188"/>
  <c r="L25" i="188" s="1"/>
  <c r="K3" i="188"/>
  <c r="O3" i="188"/>
  <c r="H3" i="188"/>
  <c r="O73" i="188"/>
  <c r="R73" i="188" s="1"/>
  <c r="M52" i="188"/>
  <c r="M70" i="188" s="1"/>
  <c r="G52" i="188"/>
  <c r="J52" i="188"/>
  <c r="L52" i="188"/>
  <c r="K52" i="188"/>
  <c r="K70" i="188" s="1"/>
  <c r="F52" i="188"/>
  <c r="O52" i="188" s="1"/>
  <c r="N52" i="188"/>
  <c r="I52" i="188"/>
  <c r="I70" i="188" s="1"/>
  <c r="H52" i="188"/>
  <c r="M64" i="188"/>
  <c r="G64" i="188"/>
  <c r="O64" i="188" s="1"/>
  <c r="J64" i="188"/>
  <c r="F64" i="188"/>
  <c r="N64" i="188"/>
  <c r="I64" i="188"/>
  <c r="H64" i="188"/>
  <c r="L64" i="188"/>
  <c r="K64" i="188"/>
  <c r="L44" i="188"/>
  <c r="L45" i="188" s="1"/>
  <c r="R44" i="188"/>
  <c r="K37" i="188"/>
  <c r="R6" i="188"/>
  <c r="L29" i="188"/>
  <c r="F29" i="188"/>
  <c r="K29" i="188"/>
  <c r="P29" i="188"/>
  <c r="P37" i="188" s="1"/>
  <c r="H29" i="188"/>
  <c r="O29" i="188"/>
  <c r="G29" i="188"/>
  <c r="G37" i="188" s="1"/>
  <c r="N29" i="188"/>
  <c r="M29" i="188"/>
  <c r="J29" i="188"/>
  <c r="J37" i="188" s="1"/>
  <c r="I29" i="188"/>
  <c r="I37" i="188" s="1"/>
  <c r="J72" i="188"/>
  <c r="J76" i="188" s="1"/>
  <c r="M72" i="188"/>
  <c r="M76" i="188" s="1"/>
  <c r="G72" i="188"/>
  <c r="F72" i="188"/>
  <c r="F76" i="188" s="1"/>
  <c r="N72" i="188"/>
  <c r="L72" i="188"/>
  <c r="L76" i="188" s="1"/>
  <c r="K72" i="188"/>
  <c r="K76" i="188" s="1"/>
  <c r="I72" i="188"/>
  <c r="H72" i="188"/>
  <c r="H76" i="188" s="1"/>
  <c r="F11" i="187"/>
  <c r="R11" i="187" s="1"/>
  <c r="F15" i="187"/>
  <c r="L15" i="187"/>
  <c r="R15" i="187"/>
  <c r="N9" i="187"/>
  <c r="H9" i="187"/>
  <c r="K9" i="187"/>
  <c r="O9" i="187"/>
  <c r="F9" i="187"/>
  <c r="M9" i="187"/>
  <c r="L9" i="187"/>
  <c r="J9" i="187"/>
  <c r="I9" i="187"/>
  <c r="G9" i="187"/>
  <c r="P9" i="187"/>
  <c r="D83" i="187"/>
  <c r="F79" i="187"/>
  <c r="R79" i="187" s="1"/>
  <c r="M5" i="187"/>
  <c r="G5" i="187"/>
  <c r="K5" i="187"/>
  <c r="J5" i="187"/>
  <c r="P5" i="187"/>
  <c r="I5" i="187"/>
  <c r="O5" i="187"/>
  <c r="H5" i="187"/>
  <c r="N5" i="187"/>
  <c r="F5" i="187"/>
  <c r="L5" i="187"/>
  <c r="P8" i="187"/>
  <c r="J8" i="187"/>
  <c r="M8" i="187"/>
  <c r="G8" i="187"/>
  <c r="K8" i="187"/>
  <c r="I8" i="187"/>
  <c r="R8" i="187" s="1"/>
  <c r="H8" i="187"/>
  <c r="O8" i="187"/>
  <c r="F8" i="187"/>
  <c r="Q8" i="187" s="1"/>
  <c r="N8" i="187"/>
  <c r="L8" i="187"/>
  <c r="F36" i="187"/>
  <c r="L36" i="187" s="1"/>
  <c r="M27" i="187"/>
  <c r="G27" i="187"/>
  <c r="P27" i="187"/>
  <c r="J27" i="187"/>
  <c r="H27" i="187"/>
  <c r="O27" i="187"/>
  <c r="F27" i="187"/>
  <c r="Q27" i="187" s="1"/>
  <c r="N27" i="187"/>
  <c r="L27" i="187"/>
  <c r="K27" i="187"/>
  <c r="I27" i="187"/>
  <c r="O17" i="187"/>
  <c r="I17" i="187"/>
  <c r="L17" i="187"/>
  <c r="F17" i="187"/>
  <c r="R17" i="187" s="1"/>
  <c r="P17" i="187"/>
  <c r="G17" i="187"/>
  <c r="Q17" i="187" s="1"/>
  <c r="N17" i="187"/>
  <c r="M17" i="187"/>
  <c r="K17" i="187"/>
  <c r="J17" i="187"/>
  <c r="H17" i="187"/>
  <c r="R68" i="187"/>
  <c r="F68" i="187"/>
  <c r="O29" i="187"/>
  <c r="I29" i="187"/>
  <c r="N29" i="187"/>
  <c r="H29" i="187"/>
  <c r="J29" i="187"/>
  <c r="M29" i="187"/>
  <c r="P29" i="187"/>
  <c r="L29" i="187"/>
  <c r="K29" i="187"/>
  <c r="G29" i="187"/>
  <c r="Q29" i="187" s="1"/>
  <c r="F29" i="187"/>
  <c r="D87" i="187"/>
  <c r="F88" i="187"/>
  <c r="J51" i="187"/>
  <c r="K51" i="187"/>
  <c r="I51" i="187"/>
  <c r="N51" i="187"/>
  <c r="H51" i="187"/>
  <c r="O51" i="187" s="1"/>
  <c r="L51" i="187"/>
  <c r="G51" i="187"/>
  <c r="F51" i="187"/>
  <c r="M51" i="187"/>
  <c r="J49" i="187"/>
  <c r="M49" i="187"/>
  <c r="F49" i="187"/>
  <c r="L49" i="187"/>
  <c r="G49" i="187"/>
  <c r="K49" i="187"/>
  <c r="N49" i="187"/>
  <c r="D70" i="187"/>
  <c r="I49" i="187"/>
  <c r="H49" i="187"/>
  <c r="K28" i="187"/>
  <c r="P28" i="187"/>
  <c r="J28" i="187"/>
  <c r="N28" i="187"/>
  <c r="F28" i="187"/>
  <c r="I28" i="187"/>
  <c r="Q28" i="187" s="1"/>
  <c r="R28" i="187" s="1"/>
  <c r="O28" i="187"/>
  <c r="M28" i="187"/>
  <c r="L28" i="187"/>
  <c r="H28" i="187"/>
  <c r="G28" i="187"/>
  <c r="M72" i="187"/>
  <c r="G72" i="187"/>
  <c r="L72" i="187"/>
  <c r="K72" i="187"/>
  <c r="N72" i="187"/>
  <c r="H72" i="187"/>
  <c r="H76" i="187" s="1"/>
  <c r="J72" i="187"/>
  <c r="I72" i="187"/>
  <c r="F72" i="187"/>
  <c r="O72" i="187" s="1"/>
  <c r="F81" i="187"/>
  <c r="R81" i="187" s="1"/>
  <c r="M30" i="187"/>
  <c r="G30" i="187"/>
  <c r="L30" i="187"/>
  <c r="F30" i="187"/>
  <c r="Q30" i="187" s="1"/>
  <c r="N30" i="187"/>
  <c r="I30" i="187"/>
  <c r="O30" i="187"/>
  <c r="K30" i="187"/>
  <c r="J30" i="187"/>
  <c r="H30" i="187"/>
  <c r="P30" i="187"/>
  <c r="N6" i="187"/>
  <c r="K6" i="187"/>
  <c r="L6" i="187"/>
  <c r="J6" i="187"/>
  <c r="I6" i="187"/>
  <c r="P6" i="187"/>
  <c r="H6" i="187"/>
  <c r="O6" i="187"/>
  <c r="G6" i="187"/>
  <c r="M6" i="187"/>
  <c r="F6" i="187"/>
  <c r="J65" i="187"/>
  <c r="M65" i="187"/>
  <c r="F65" i="187"/>
  <c r="L65" i="187"/>
  <c r="I65" i="187"/>
  <c r="N65" i="187"/>
  <c r="K65" i="187"/>
  <c r="H65" i="187"/>
  <c r="G65" i="187"/>
  <c r="J66" i="187"/>
  <c r="H66" i="187"/>
  <c r="O66" i="187" s="1"/>
  <c r="N66" i="187"/>
  <c r="G66" i="187"/>
  <c r="I66" i="187"/>
  <c r="M66" i="187"/>
  <c r="L66" i="187"/>
  <c r="K66" i="187"/>
  <c r="F66" i="187"/>
  <c r="D93" i="187"/>
  <c r="O4" i="187"/>
  <c r="I4" i="187"/>
  <c r="K4" i="187"/>
  <c r="J4" i="187"/>
  <c r="P4" i="187"/>
  <c r="H4" i="187"/>
  <c r="N4" i="187"/>
  <c r="G4" i="187"/>
  <c r="M4" i="187"/>
  <c r="F4" i="187"/>
  <c r="Q4" i="187" s="1"/>
  <c r="L4" i="187"/>
  <c r="M12" i="187"/>
  <c r="G12" i="187"/>
  <c r="J12" i="187"/>
  <c r="K12" i="187"/>
  <c r="I12" i="187"/>
  <c r="H12" i="187"/>
  <c r="F12" i="187"/>
  <c r="O12" i="187" s="1"/>
  <c r="N12" i="187"/>
  <c r="L12" i="187"/>
  <c r="N55" i="187"/>
  <c r="H55" i="187"/>
  <c r="K55" i="187"/>
  <c r="J55" i="187"/>
  <c r="G55" i="187"/>
  <c r="Q55" i="187" s="1"/>
  <c r="M55" i="187"/>
  <c r="I55" i="187"/>
  <c r="R55" i="187" s="1"/>
  <c r="F55" i="187"/>
  <c r="P55" i="187"/>
  <c r="O55" i="187"/>
  <c r="L55" i="187"/>
  <c r="F43" i="187"/>
  <c r="F45" i="187" s="1"/>
  <c r="R43" i="187"/>
  <c r="Q90" i="187"/>
  <c r="L90" i="187" s="1"/>
  <c r="R90" i="187" s="1"/>
  <c r="K46" i="187"/>
  <c r="K47" i="187" s="1"/>
  <c r="D47" i="187"/>
  <c r="R46" i="187"/>
  <c r="N46" i="187"/>
  <c r="N47" i="187" s="1"/>
  <c r="F46" i="187"/>
  <c r="F47" i="187" s="1"/>
  <c r="D109" i="187"/>
  <c r="L56" i="187"/>
  <c r="F56" i="187"/>
  <c r="Q56" i="187" s="1"/>
  <c r="K56" i="187"/>
  <c r="J56" i="187"/>
  <c r="O56" i="187"/>
  <c r="I56" i="187"/>
  <c r="R56" i="187" s="1"/>
  <c r="M56" i="187"/>
  <c r="H56" i="187"/>
  <c r="G56" i="187"/>
  <c r="P56" i="187"/>
  <c r="N56" i="187"/>
  <c r="J52" i="187"/>
  <c r="M52" i="187"/>
  <c r="F52" i="187"/>
  <c r="L52" i="187"/>
  <c r="N52" i="187"/>
  <c r="H52" i="187"/>
  <c r="K52" i="187"/>
  <c r="I52" i="187"/>
  <c r="G52" i="187"/>
  <c r="O52" i="187" s="1"/>
  <c r="K31" i="187"/>
  <c r="Q31" i="187" s="1"/>
  <c r="P31" i="187"/>
  <c r="J31" i="187"/>
  <c r="H31" i="187"/>
  <c r="M31" i="187"/>
  <c r="N31" i="187"/>
  <c r="L31" i="187"/>
  <c r="I31" i="187"/>
  <c r="G31" i="187"/>
  <c r="F31" i="187"/>
  <c r="R31" i="187" s="1"/>
  <c r="O31" i="187"/>
  <c r="M75" i="187"/>
  <c r="G75" i="187"/>
  <c r="L75" i="187"/>
  <c r="K75" i="187"/>
  <c r="I75" i="187"/>
  <c r="J75" i="187"/>
  <c r="O75" i="187" s="1"/>
  <c r="H75" i="187"/>
  <c r="F75" i="187"/>
  <c r="N75" i="187"/>
  <c r="L89" i="187"/>
  <c r="R89" i="187"/>
  <c r="F89" i="187"/>
  <c r="L7" i="187"/>
  <c r="F7" i="187"/>
  <c r="Q7" i="187" s="1"/>
  <c r="O7" i="187"/>
  <c r="I7" i="187"/>
  <c r="P7" i="187"/>
  <c r="G7" i="187"/>
  <c r="N7" i="187"/>
  <c r="M7" i="187"/>
  <c r="K7" i="187"/>
  <c r="J7" i="187"/>
  <c r="H7" i="187"/>
  <c r="M74" i="187"/>
  <c r="G74" i="187"/>
  <c r="J74" i="187"/>
  <c r="I74" i="187"/>
  <c r="K74" i="187"/>
  <c r="F74" i="187"/>
  <c r="O74" i="187" s="1"/>
  <c r="N74" i="187"/>
  <c r="L74" i="187"/>
  <c r="H74" i="187"/>
  <c r="L59" i="187"/>
  <c r="F59" i="187"/>
  <c r="M59" i="187"/>
  <c r="K59" i="187"/>
  <c r="Q59" i="187" s="1"/>
  <c r="P59" i="187"/>
  <c r="G59" i="187"/>
  <c r="J59" i="187"/>
  <c r="O59" i="187"/>
  <c r="N59" i="187"/>
  <c r="I59" i="187"/>
  <c r="H59" i="187"/>
  <c r="O32" i="187"/>
  <c r="I32" i="187"/>
  <c r="N32" i="187"/>
  <c r="H32" i="187"/>
  <c r="Q32" i="187" s="1"/>
  <c r="L32" i="187"/>
  <c r="G32" i="187"/>
  <c r="M32" i="187"/>
  <c r="K32" i="187"/>
  <c r="J32" i="187"/>
  <c r="F32" i="187"/>
  <c r="P32" i="187"/>
  <c r="F82" i="187"/>
  <c r="R82" i="187"/>
  <c r="J50" i="187"/>
  <c r="H50" i="187"/>
  <c r="N50" i="187"/>
  <c r="G50" i="187"/>
  <c r="O50" i="187" s="1"/>
  <c r="K50" i="187"/>
  <c r="R50" i="187" s="1"/>
  <c r="F50" i="187"/>
  <c r="M50" i="187"/>
  <c r="L50" i="187"/>
  <c r="I50" i="187"/>
  <c r="L69" i="187"/>
  <c r="R69" i="187"/>
  <c r="F69" i="187"/>
  <c r="L44" i="187"/>
  <c r="L45" i="187" s="1"/>
  <c r="F24" i="187"/>
  <c r="L24" i="187" s="1"/>
  <c r="L10" i="187"/>
  <c r="F10" i="187"/>
  <c r="O10" i="187"/>
  <c r="I10" i="187"/>
  <c r="J10" i="187"/>
  <c r="H10" i="187"/>
  <c r="P10" i="187"/>
  <c r="G10" i="187"/>
  <c r="N10" i="187"/>
  <c r="M10" i="187"/>
  <c r="K10" i="187"/>
  <c r="R67" i="187"/>
  <c r="H67" i="187"/>
  <c r="P54" i="187"/>
  <c r="J54" i="187"/>
  <c r="K54" i="187"/>
  <c r="I54" i="187"/>
  <c r="L54" i="187"/>
  <c r="O54" i="187"/>
  <c r="F54" i="187"/>
  <c r="Q54" i="187" s="1"/>
  <c r="G54" i="187"/>
  <c r="N54" i="187"/>
  <c r="M54" i="187"/>
  <c r="H54" i="187"/>
  <c r="M61" i="187"/>
  <c r="G61" i="187"/>
  <c r="J61" i="187"/>
  <c r="P61" i="187"/>
  <c r="I61" i="187"/>
  <c r="K61" i="187"/>
  <c r="O61" i="187"/>
  <c r="N61" i="187"/>
  <c r="L61" i="187"/>
  <c r="H61" i="187"/>
  <c r="F61" i="187"/>
  <c r="Q61" i="187" s="1"/>
  <c r="R71" i="187"/>
  <c r="D76" i="187"/>
  <c r="F71" i="187"/>
  <c r="F60" i="187"/>
  <c r="R60" i="187"/>
  <c r="P57" i="187"/>
  <c r="J57" i="187"/>
  <c r="L57" i="187"/>
  <c r="K57" i="187"/>
  <c r="M57" i="187"/>
  <c r="G57" i="187"/>
  <c r="Q57" i="187" s="1"/>
  <c r="N57" i="187"/>
  <c r="I57" i="187"/>
  <c r="H57" i="187"/>
  <c r="F57" i="187"/>
  <c r="R57" i="187" s="1"/>
  <c r="O57" i="187"/>
  <c r="J64" i="187"/>
  <c r="K64" i="187"/>
  <c r="I64" i="187"/>
  <c r="L64" i="187"/>
  <c r="F64" i="187"/>
  <c r="O64" i="187" s="1"/>
  <c r="M64" i="187"/>
  <c r="H64" i="187"/>
  <c r="G64" i="187"/>
  <c r="N64" i="187"/>
  <c r="K16" i="187"/>
  <c r="N16" i="187"/>
  <c r="H16" i="187"/>
  <c r="L16" i="187"/>
  <c r="J16" i="187"/>
  <c r="I16" i="187"/>
  <c r="Q16" i="187" s="1"/>
  <c r="P16" i="187"/>
  <c r="G16" i="187"/>
  <c r="O16" i="187"/>
  <c r="F16" i="187"/>
  <c r="M16" i="187"/>
  <c r="H77" i="187"/>
  <c r="N77" i="187" s="1"/>
  <c r="R77" i="187" s="1"/>
  <c r="M13" i="187"/>
  <c r="G13" i="187"/>
  <c r="P13" i="187"/>
  <c r="J13" i="187"/>
  <c r="H13" i="187"/>
  <c r="O13" i="187"/>
  <c r="F13" i="187"/>
  <c r="Q13" i="187" s="1"/>
  <c r="N13" i="187"/>
  <c r="L13" i="187"/>
  <c r="K13" i="187"/>
  <c r="I13" i="187"/>
  <c r="I42" i="187"/>
  <c r="I45" i="187" s="1"/>
  <c r="D45" i="187"/>
  <c r="R42" i="187"/>
  <c r="J53" i="187"/>
  <c r="H53" i="187"/>
  <c r="N53" i="187"/>
  <c r="G53" i="187"/>
  <c r="L53" i="187"/>
  <c r="F53" i="187"/>
  <c r="M53" i="187"/>
  <c r="K53" i="187"/>
  <c r="I53" i="187"/>
  <c r="O26" i="187"/>
  <c r="O37" i="187" s="1"/>
  <c r="H26" i="187"/>
  <c r="D37" i="187"/>
  <c r="K26" i="187"/>
  <c r="M26" i="187"/>
  <c r="M37" i="187" s="1"/>
  <c r="J26" i="187"/>
  <c r="J37" i="187" s="1"/>
  <c r="I26" i="187"/>
  <c r="F26" i="187"/>
  <c r="P26" i="187"/>
  <c r="N26" i="187"/>
  <c r="L33" i="187"/>
  <c r="N33" i="187"/>
  <c r="G33" i="187"/>
  <c r="M33" i="187"/>
  <c r="F33" i="187"/>
  <c r="H33" i="187"/>
  <c r="K33" i="187"/>
  <c r="O33" i="187"/>
  <c r="J33" i="187"/>
  <c r="I33" i="187"/>
  <c r="P33" i="187"/>
  <c r="D92" i="187"/>
  <c r="K3" i="187"/>
  <c r="J3" i="187"/>
  <c r="D25" i="187"/>
  <c r="P3" i="187"/>
  <c r="I3" i="187"/>
  <c r="O3" i="187"/>
  <c r="H3" i="187"/>
  <c r="N3" i="187"/>
  <c r="G3" i="187"/>
  <c r="M3" i="187"/>
  <c r="F3" i="187"/>
  <c r="L3" i="187"/>
  <c r="M73" i="187"/>
  <c r="G73" i="187"/>
  <c r="O73" i="187"/>
  <c r="H73" i="187"/>
  <c r="N73" i="187"/>
  <c r="F73" i="187"/>
  <c r="K73" i="187"/>
  <c r="L73" i="187"/>
  <c r="R73" i="187" s="1"/>
  <c r="J73" i="187"/>
  <c r="I73" i="187"/>
  <c r="K14" i="187"/>
  <c r="N14" i="187"/>
  <c r="H14" i="187"/>
  <c r="L14" i="187"/>
  <c r="J14" i="187"/>
  <c r="I14" i="187"/>
  <c r="P14" i="187"/>
  <c r="G14" i="187"/>
  <c r="O14" i="187"/>
  <c r="F14" i="187"/>
  <c r="Q14" i="187" s="1"/>
  <c r="M14" i="187"/>
  <c r="F80" i="187"/>
  <c r="R80" i="187" s="1"/>
  <c r="R63" i="187"/>
  <c r="F63" i="187"/>
  <c r="N58" i="187"/>
  <c r="H58" i="187"/>
  <c r="L58" i="187"/>
  <c r="K58" i="187"/>
  <c r="I58" i="187"/>
  <c r="O58" i="187"/>
  <c r="P58" i="187"/>
  <c r="M58" i="187"/>
  <c r="J58" i="187"/>
  <c r="G58" i="187"/>
  <c r="Q58" i="187" s="1"/>
  <c r="F58" i="187"/>
  <c r="I62" i="187"/>
  <c r="H94" i="187"/>
  <c r="R12" i="186"/>
  <c r="F36" i="186"/>
  <c r="R36" i="186" s="1"/>
  <c r="L36" i="186"/>
  <c r="F82" i="186"/>
  <c r="R82" i="186" s="1"/>
  <c r="M4" i="186"/>
  <c r="M25" i="186" s="1"/>
  <c r="M48" i="186" s="1"/>
  <c r="G4" i="186"/>
  <c r="L4" i="186"/>
  <c r="F4" i="186"/>
  <c r="P4" i="186"/>
  <c r="K4" i="186"/>
  <c r="J4" i="186"/>
  <c r="O4" i="186"/>
  <c r="N4" i="186"/>
  <c r="H4" i="186"/>
  <c r="I4" i="186"/>
  <c r="I25" i="186" s="1"/>
  <c r="I48" i="186" s="1"/>
  <c r="L10" i="186"/>
  <c r="F10" i="186"/>
  <c r="R10" i="186" s="1"/>
  <c r="N10" i="186"/>
  <c r="G10" i="186"/>
  <c r="M10" i="186"/>
  <c r="J10" i="186"/>
  <c r="K10" i="186"/>
  <c r="Q10" i="186"/>
  <c r="H10" i="186"/>
  <c r="P10" i="186"/>
  <c r="I10" i="186"/>
  <c r="O10" i="186"/>
  <c r="F88" i="186"/>
  <c r="L88" i="186" s="1"/>
  <c r="D87" i="186"/>
  <c r="N54" i="186"/>
  <c r="H54" i="186"/>
  <c r="L54" i="186"/>
  <c r="F54" i="186"/>
  <c r="R54" i="186" s="1"/>
  <c r="K54" i="186"/>
  <c r="J54" i="186"/>
  <c r="I54" i="186"/>
  <c r="O54" i="186"/>
  <c r="G54" i="186"/>
  <c r="Q54" i="186" s="1"/>
  <c r="P54" i="186"/>
  <c r="M54" i="186"/>
  <c r="N9" i="186"/>
  <c r="H9" i="186"/>
  <c r="H25" i="186" s="1"/>
  <c r="H48" i="186" s="1"/>
  <c r="M9" i="186"/>
  <c r="F9" i="186"/>
  <c r="Q9" i="186" s="1"/>
  <c r="L9" i="186"/>
  <c r="J9" i="186"/>
  <c r="K9" i="186"/>
  <c r="P9" i="186"/>
  <c r="O9" i="186"/>
  <c r="I9" i="186"/>
  <c r="G9" i="186"/>
  <c r="D45" i="186"/>
  <c r="I42" i="186"/>
  <c r="I45" i="186" s="1"/>
  <c r="P8" i="186"/>
  <c r="J8" i="186"/>
  <c r="M8" i="186"/>
  <c r="F8" i="186"/>
  <c r="L8" i="186"/>
  <c r="I8" i="186"/>
  <c r="K8" i="186"/>
  <c r="N8" i="186"/>
  <c r="H8" i="186"/>
  <c r="G8" i="186"/>
  <c r="O8" i="186"/>
  <c r="L31" i="186"/>
  <c r="F31" i="186"/>
  <c r="Q31" i="186" s="1"/>
  <c r="K31" i="186"/>
  <c r="O31" i="186"/>
  <c r="O37" i="186" s="1"/>
  <c r="G31" i="186"/>
  <c r="N31" i="186"/>
  <c r="J31" i="186"/>
  <c r="M31" i="186"/>
  <c r="P31" i="186"/>
  <c r="I31" i="186"/>
  <c r="H31" i="186"/>
  <c r="N50" i="186"/>
  <c r="H50" i="186"/>
  <c r="O50" i="186" s="1"/>
  <c r="L50" i="186"/>
  <c r="F50" i="186"/>
  <c r="M50" i="186"/>
  <c r="M70" i="186" s="1"/>
  <c r="J50" i="186"/>
  <c r="J70" i="186" s="1"/>
  <c r="K50" i="186"/>
  <c r="K70" i="186" s="1"/>
  <c r="G50" i="186"/>
  <c r="I50" i="186"/>
  <c r="I70" i="186" s="1"/>
  <c r="D76" i="186"/>
  <c r="F71" i="186"/>
  <c r="R71" i="186"/>
  <c r="D47" i="186"/>
  <c r="N46" i="186"/>
  <c r="N47" i="186" s="1"/>
  <c r="K46" i="186"/>
  <c r="K47" i="186" s="1"/>
  <c r="F46" i="186"/>
  <c r="F47" i="186" s="1"/>
  <c r="K74" i="186"/>
  <c r="I74" i="186"/>
  <c r="N74" i="186"/>
  <c r="F74" i="186"/>
  <c r="O74" i="186" s="1"/>
  <c r="R74" i="186" s="1"/>
  <c r="M74" i="186"/>
  <c r="J74" i="186"/>
  <c r="H74" i="186"/>
  <c r="L74" i="186"/>
  <c r="G74" i="186"/>
  <c r="P29" i="186"/>
  <c r="J29" i="186"/>
  <c r="O29" i="186"/>
  <c r="I29" i="186"/>
  <c r="G29" i="186"/>
  <c r="N29" i="186"/>
  <c r="F29" i="186"/>
  <c r="Q29" i="186" s="1"/>
  <c r="M29" i="186"/>
  <c r="L29" i="186"/>
  <c r="K29" i="186"/>
  <c r="H29" i="186"/>
  <c r="M7" i="186"/>
  <c r="G7" i="186"/>
  <c r="L7" i="186"/>
  <c r="L25" i="186" s="1"/>
  <c r="L48" i="186" s="1"/>
  <c r="F7" i="186"/>
  <c r="J7" i="186"/>
  <c r="K7" i="186"/>
  <c r="P7" i="186"/>
  <c r="H7" i="186"/>
  <c r="O7" i="186"/>
  <c r="I7" i="186"/>
  <c r="N7" i="186"/>
  <c r="N25" i="186" s="1"/>
  <c r="L24" i="186"/>
  <c r="R24" i="186" s="1"/>
  <c r="D70" i="186"/>
  <c r="Q30" i="186"/>
  <c r="R30" i="186" s="1"/>
  <c r="R6" i="186"/>
  <c r="R62" i="186"/>
  <c r="D25" i="186"/>
  <c r="F43" i="186"/>
  <c r="F45" i="186" s="1"/>
  <c r="F68" i="186"/>
  <c r="R68" i="186" s="1"/>
  <c r="P56" i="186"/>
  <c r="J56" i="186"/>
  <c r="N56" i="186"/>
  <c r="H56" i="186"/>
  <c r="K56" i="186"/>
  <c r="I56" i="186"/>
  <c r="G56" i="186"/>
  <c r="M56" i="186"/>
  <c r="F56" i="186"/>
  <c r="Q56" i="186" s="1"/>
  <c r="O56" i="186"/>
  <c r="R56" i="186" s="1"/>
  <c r="L56" i="186"/>
  <c r="I37" i="186"/>
  <c r="L16" i="186"/>
  <c r="F16" i="186"/>
  <c r="K16" i="186"/>
  <c r="M16" i="186"/>
  <c r="J16" i="186"/>
  <c r="P16" i="186"/>
  <c r="I16" i="186"/>
  <c r="H16" i="186"/>
  <c r="Q16" i="186" s="1"/>
  <c r="O16" i="186"/>
  <c r="N16" i="186"/>
  <c r="G16" i="186"/>
  <c r="N66" i="186"/>
  <c r="H66" i="186"/>
  <c r="L66" i="186"/>
  <c r="F66" i="186"/>
  <c r="M66" i="186"/>
  <c r="K66" i="186"/>
  <c r="O66" i="186" s="1"/>
  <c r="J66" i="186"/>
  <c r="I66" i="186"/>
  <c r="G66" i="186"/>
  <c r="K72" i="186"/>
  <c r="I72" i="186"/>
  <c r="L72" i="186"/>
  <c r="J72" i="186"/>
  <c r="J76" i="186" s="1"/>
  <c r="N72" i="186"/>
  <c r="M72" i="186"/>
  <c r="G72" i="186"/>
  <c r="G76" i="186" s="1"/>
  <c r="F72" i="186"/>
  <c r="H72" i="186"/>
  <c r="N51" i="186"/>
  <c r="N70" i="186" s="1"/>
  <c r="H51" i="186"/>
  <c r="L51" i="186"/>
  <c r="F51" i="186"/>
  <c r="R51" i="186" s="1"/>
  <c r="K51" i="186"/>
  <c r="J51" i="186"/>
  <c r="M51" i="186"/>
  <c r="O51" i="186"/>
  <c r="I51" i="186"/>
  <c r="G51" i="186"/>
  <c r="L28" i="186"/>
  <c r="F28" i="186"/>
  <c r="K28" i="186"/>
  <c r="M28" i="186"/>
  <c r="J28" i="186"/>
  <c r="P28" i="186"/>
  <c r="I28" i="186"/>
  <c r="H28" i="186"/>
  <c r="O28" i="186"/>
  <c r="G28" i="186"/>
  <c r="N28" i="186"/>
  <c r="F69" i="186"/>
  <c r="L69" i="186"/>
  <c r="R69" i="186" s="1"/>
  <c r="K73" i="186"/>
  <c r="I73" i="186"/>
  <c r="H73" i="186"/>
  <c r="G73" i="186"/>
  <c r="N73" i="186"/>
  <c r="M73" i="186"/>
  <c r="F73" i="186"/>
  <c r="L73" i="186"/>
  <c r="J73" i="186"/>
  <c r="F11" i="186"/>
  <c r="R11" i="186" s="1"/>
  <c r="R77" i="186"/>
  <c r="D37" i="186"/>
  <c r="D92" i="186"/>
  <c r="L55" i="186"/>
  <c r="F55" i="186"/>
  <c r="Q55" i="186" s="1"/>
  <c r="P55" i="186"/>
  <c r="J55" i="186"/>
  <c r="O55" i="186"/>
  <c r="G55" i="186"/>
  <c r="R55" i="186" s="1"/>
  <c r="N55" i="186"/>
  <c r="I55" i="186"/>
  <c r="M55" i="186"/>
  <c r="H55" i="186"/>
  <c r="K55" i="186"/>
  <c r="N53" i="186"/>
  <c r="H53" i="186"/>
  <c r="L53" i="186"/>
  <c r="F53" i="186"/>
  <c r="O53" i="186" s="1"/>
  <c r="M53" i="186"/>
  <c r="I53" i="186"/>
  <c r="K53" i="186"/>
  <c r="G53" i="186"/>
  <c r="J53" i="186"/>
  <c r="F89" i="186"/>
  <c r="L89" i="186" s="1"/>
  <c r="R89" i="186" s="1"/>
  <c r="K61" i="186"/>
  <c r="O61" i="186"/>
  <c r="I61" i="186"/>
  <c r="R61" i="186" s="1"/>
  <c r="N61" i="186"/>
  <c r="F61" i="186"/>
  <c r="M61" i="186"/>
  <c r="H61" i="186"/>
  <c r="P61" i="186"/>
  <c r="J61" i="186"/>
  <c r="L61" i="186"/>
  <c r="G61" i="186"/>
  <c r="Q61" i="186" s="1"/>
  <c r="K75" i="186"/>
  <c r="I75" i="186"/>
  <c r="L75" i="186"/>
  <c r="J75" i="186"/>
  <c r="F75" i="186"/>
  <c r="O75" i="186" s="1"/>
  <c r="M75" i="186"/>
  <c r="H75" i="186"/>
  <c r="R75" i="186" s="1"/>
  <c r="N75" i="186"/>
  <c r="G75" i="186"/>
  <c r="N65" i="186"/>
  <c r="H65" i="186"/>
  <c r="L65" i="186"/>
  <c r="F65" i="186"/>
  <c r="I65" i="186"/>
  <c r="G65" i="186"/>
  <c r="K65" i="186"/>
  <c r="J65" i="186"/>
  <c r="M65" i="186"/>
  <c r="N27" i="186"/>
  <c r="H27" i="186"/>
  <c r="M27" i="186"/>
  <c r="M37" i="186" s="1"/>
  <c r="G27" i="186"/>
  <c r="Q27" i="186"/>
  <c r="I27" i="186"/>
  <c r="P27" i="186"/>
  <c r="F27" i="186"/>
  <c r="F37" i="186" s="1"/>
  <c r="L27" i="186"/>
  <c r="L37" i="186" s="1"/>
  <c r="O27" i="186"/>
  <c r="R27" i="186"/>
  <c r="K27" i="186"/>
  <c r="K37" i="186" s="1"/>
  <c r="J27" i="186"/>
  <c r="J37" i="186" s="1"/>
  <c r="O12" i="186"/>
  <c r="H37" i="186"/>
  <c r="F60" i="186"/>
  <c r="R60" i="186"/>
  <c r="L14" i="186"/>
  <c r="F14" i="186"/>
  <c r="K14" i="186"/>
  <c r="M14" i="186"/>
  <c r="J14" i="186"/>
  <c r="P14" i="186"/>
  <c r="I14" i="186"/>
  <c r="H14" i="186"/>
  <c r="N14" i="186"/>
  <c r="G14" i="186"/>
  <c r="O14" i="186"/>
  <c r="P59" i="186"/>
  <c r="J59" i="186"/>
  <c r="N59" i="186"/>
  <c r="H59" i="186"/>
  <c r="M59" i="186"/>
  <c r="L59" i="186"/>
  <c r="G59" i="186"/>
  <c r="Q59" i="186" s="1"/>
  <c r="R59" i="186" s="1"/>
  <c r="K59" i="186"/>
  <c r="F59" i="186"/>
  <c r="O59" i="186"/>
  <c r="I59" i="186"/>
  <c r="L93" i="186"/>
  <c r="F93" i="186"/>
  <c r="K93" i="186"/>
  <c r="P93" i="186"/>
  <c r="J93" i="186"/>
  <c r="H93" i="186"/>
  <c r="Q93" i="186" s="1"/>
  <c r="G93" i="186"/>
  <c r="O93" i="186"/>
  <c r="I93" i="186"/>
  <c r="N93" i="186"/>
  <c r="M93" i="186"/>
  <c r="L15" i="186"/>
  <c r="R15" i="186" s="1"/>
  <c r="F15" i="186"/>
  <c r="N52" i="186"/>
  <c r="H52" i="186"/>
  <c r="L52" i="186"/>
  <c r="F52" i="186"/>
  <c r="I52" i="186"/>
  <c r="G52" i="186"/>
  <c r="G70" i="186" s="1"/>
  <c r="M52" i="186"/>
  <c r="J52" i="186"/>
  <c r="K52" i="186"/>
  <c r="P33" i="186"/>
  <c r="J33" i="186"/>
  <c r="N33" i="186"/>
  <c r="H33" i="186"/>
  <c r="M33" i="186"/>
  <c r="L33" i="186"/>
  <c r="I33" i="186"/>
  <c r="G33" i="186"/>
  <c r="F33" i="186"/>
  <c r="Q33" i="186" s="1"/>
  <c r="O33" i="186"/>
  <c r="K33" i="186"/>
  <c r="N13" i="186"/>
  <c r="H13" i="186"/>
  <c r="M13" i="186"/>
  <c r="G13" i="186"/>
  <c r="G25" i="186" s="1"/>
  <c r="I13" i="186"/>
  <c r="P13" i="186"/>
  <c r="F13" i="186"/>
  <c r="Q13" i="186" s="1"/>
  <c r="L13" i="186"/>
  <c r="O13" i="186"/>
  <c r="O25" i="186" s="1"/>
  <c r="O48" i="186" s="1"/>
  <c r="K13" i="186"/>
  <c r="J13" i="186"/>
  <c r="Q26" i="186"/>
  <c r="F70" i="186"/>
  <c r="Q32" i="186"/>
  <c r="R32" i="186" s="1"/>
  <c r="P37" i="186"/>
  <c r="L44" i="186"/>
  <c r="L45" i="186" s="1"/>
  <c r="L58" i="186"/>
  <c r="F58" i="186"/>
  <c r="P58" i="186"/>
  <c r="J58" i="186"/>
  <c r="I58" i="186"/>
  <c r="H58" i="186"/>
  <c r="G58" i="186"/>
  <c r="M58" i="186"/>
  <c r="O58" i="186"/>
  <c r="N58" i="186"/>
  <c r="K58" i="186"/>
  <c r="F79" i="186"/>
  <c r="D83" i="186"/>
  <c r="N57" i="186"/>
  <c r="H57" i="186"/>
  <c r="L57" i="186"/>
  <c r="F57" i="186"/>
  <c r="O57" i="186"/>
  <c r="M57" i="186"/>
  <c r="I57" i="186"/>
  <c r="K57" i="186"/>
  <c r="G57" i="186"/>
  <c r="P57" i="186"/>
  <c r="J57" i="186"/>
  <c r="R94" i="186"/>
  <c r="H94" i="186"/>
  <c r="O94" i="186"/>
  <c r="F80" i="186"/>
  <c r="R80" i="186" s="1"/>
  <c r="F63" i="186"/>
  <c r="R63" i="186"/>
  <c r="Q90" i="186"/>
  <c r="L90" i="186"/>
  <c r="R90" i="186" s="1"/>
  <c r="N64" i="186"/>
  <c r="H64" i="186"/>
  <c r="L64" i="186"/>
  <c r="L70" i="186" s="1"/>
  <c r="F64" i="186"/>
  <c r="O64" i="186" s="1"/>
  <c r="K64" i="186"/>
  <c r="J64" i="186"/>
  <c r="I64" i="186"/>
  <c r="G64" i="186"/>
  <c r="M64" i="186"/>
  <c r="P17" i="186"/>
  <c r="J17" i="186"/>
  <c r="O17" i="186"/>
  <c r="I17" i="186"/>
  <c r="R17" i="186" s="1"/>
  <c r="G17" i="186"/>
  <c r="N17" i="186"/>
  <c r="F17" i="186"/>
  <c r="Q17" i="186" s="1"/>
  <c r="M17" i="186"/>
  <c r="L17" i="186"/>
  <c r="H17" i="186"/>
  <c r="K17" i="186"/>
  <c r="R49" i="186"/>
  <c r="R26" i="186"/>
  <c r="Q3" i="186"/>
  <c r="R3" i="186" s="1"/>
  <c r="J73" i="185"/>
  <c r="N73" i="185"/>
  <c r="H73" i="185"/>
  <c r="M73" i="185"/>
  <c r="G73" i="185"/>
  <c r="L73" i="185"/>
  <c r="K73" i="185"/>
  <c r="I73" i="185"/>
  <c r="F73" i="185"/>
  <c r="K55" i="185"/>
  <c r="O55" i="185"/>
  <c r="I55" i="185"/>
  <c r="N55" i="185"/>
  <c r="H55" i="185"/>
  <c r="M55" i="185"/>
  <c r="L55" i="185"/>
  <c r="J55" i="185"/>
  <c r="F55" i="185"/>
  <c r="G55" i="185"/>
  <c r="P55" i="185"/>
  <c r="F11" i="185"/>
  <c r="R11" i="185" s="1"/>
  <c r="O5" i="185"/>
  <c r="I5" i="185"/>
  <c r="H5" i="185"/>
  <c r="P5" i="185"/>
  <c r="N5" i="185"/>
  <c r="M5" i="185"/>
  <c r="G5" i="185"/>
  <c r="Q5" i="185"/>
  <c r="R5" i="185" s="1"/>
  <c r="J5" i="185"/>
  <c r="L5" i="185"/>
  <c r="F5" i="185"/>
  <c r="K5" i="185"/>
  <c r="L7" i="185"/>
  <c r="F7" i="185"/>
  <c r="Q7" i="185" s="1"/>
  <c r="K7" i="185"/>
  <c r="P7" i="185"/>
  <c r="J7" i="185"/>
  <c r="G7" i="185"/>
  <c r="H7" i="185"/>
  <c r="O7" i="185"/>
  <c r="N7" i="185"/>
  <c r="M7" i="185"/>
  <c r="I7" i="185"/>
  <c r="J75" i="185"/>
  <c r="N75" i="185"/>
  <c r="H75" i="185"/>
  <c r="M75" i="185"/>
  <c r="G75" i="185"/>
  <c r="O75" i="185" s="1"/>
  <c r="L75" i="185"/>
  <c r="K75" i="185"/>
  <c r="I75" i="185"/>
  <c r="F75" i="185"/>
  <c r="M30" i="185"/>
  <c r="G30" i="185"/>
  <c r="Q30" i="185" s="1"/>
  <c r="L30" i="185"/>
  <c r="F30" i="185"/>
  <c r="K30" i="185"/>
  <c r="H30" i="185"/>
  <c r="P30" i="185"/>
  <c r="O30" i="185"/>
  <c r="I30" i="185"/>
  <c r="N30" i="185"/>
  <c r="J30" i="185"/>
  <c r="R30" i="185" s="1"/>
  <c r="L10" i="185"/>
  <c r="F10" i="185"/>
  <c r="K10" i="185"/>
  <c r="P10" i="185"/>
  <c r="J10" i="185"/>
  <c r="M10" i="185"/>
  <c r="I10" i="185"/>
  <c r="H10" i="185"/>
  <c r="N10" i="185"/>
  <c r="G10" i="185"/>
  <c r="Q10" i="185" s="1"/>
  <c r="O10" i="185"/>
  <c r="K28" i="185"/>
  <c r="P28" i="185"/>
  <c r="J28" i="185"/>
  <c r="O28" i="185"/>
  <c r="I28" i="185"/>
  <c r="L28" i="185"/>
  <c r="M28" i="185"/>
  <c r="H28" i="185"/>
  <c r="G28" i="185"/>
  <c r="F28" i="185"/>
  <c r="N28" i="185"/>
  <c r="I62" i="185"/>
  <c r="R62" i="185" s="1"/>
  <c r="N62" i="185"/>
  <c r="O94" i="185"/>
  <c r="H94" i="185"/>
  <c r="R94" i="185"/>
  <c r="M54" i="185"/>
  <c r="G54" i="185"/>
  <c r="K54" i="185"/>
  <c r="P54" i="185"/>
  <c r="J54" i="185"/>
  <c r="O54" i="185"/>
  <c r="N54" i="185"/>
  <c r="L54" i="185"/>
  <c r="I54" i="185"/>
  <c r="F54" i="185"/>
  <c r="H54" i="185"/>
  <c r="H67" i="185"/>
  <c r="R67" i="185" s="1"/>
  <c r="K58" i="185"/>
  <c r="O58" i="185"/>
  <c r="I58" i="185"/>
  <c r="N58" i="185"/>
  <c r="H58" i="185"/>
  <c r="G58" i="185"/>
  <c r="F58" i="185"/>
  <c r="Q58" i="185" s="1"/>
  <c r="P58" i="185"/>
  <c r="L58" i="185"/>
  <c r="J58" i="185"/>
  <c r="M58" i="185"/>
  <c r="M27" i="185"/>
  <c r="G27" i="185"/>
  <c r="L27" i="185"/>
  <c r="F27" i="185"/>
  <c r="K27" i="185"/>
  <c r="N27" i="185"/>
  <c r="J27" i="185"/>
  <c r="I27" i="185"/>
  <c r="P27" i="185"/>
  <c r="O27" i="185"/>
  <c r="H27" i="185"/>
  <c r="M66" i="185"/>
  <c r="G66" i="185"/>
  <c r="K66" i="185"/>
  <c r="J66" i="185"/>
  <c r="N66" i="185"/>
  <c r="L66" i="185"/>
  <c r="H66" i="185"/>
  <c r="F66" i="185"/>
  <c r="R66" i="185" s="1"/>
  <c r="I66" i="185"/>
  <c r="O66" i="185" s="1"/>
  <c r="L15" i="185"/>
  <c r="R15" i="185" s="1"/>
  <c r="F15" i="185"/>
  <c r="F68" i="185"/>
  <c r="R68" i="185" s="1"/>
  <c r="M3" i="185"/>
  <c r="G3" i="185"/>
  <c r="F3" i="185"/>
  <c r="D25" i="185"/>
  <c r="H3" i="185"/>
  <c r="L3" i="185"/>
  <c r="K3" i="185"/>
  <c r="I3" i="185"/>
  <c r="P3" i="185"/>
  <c r="J3" i="185"/>
  <c r="O3" i="185"/>
  <c r="N3" i="185"/>
  <c r="K4" i="185"/>
  <c r="P4" i="185"/>
  <c r="L4" i="185"/>
  <c r="J4" i="185"/>
  <c r="O4" i="185"/>
  <c r="I4" i="185"/>
  <c r="Q4" i="185" s="1"/>
  <c r="R4" i="185" s="1"/>
  <c r="G4" i="185"/>
  <c r="F4" i="185"/>
  <c r="N4" i="185"/>
  <c r="H4" i="185"/>
  <c r="M4" i="185"/>
  <c r="M12" i="185"/>
  <c r="G12" i="185"/>
  <c r="L12" i="185"/>
  <c r="F12" i="185"/>
  <c r="K12" i="185"/>
  <c r="H12" i="185"/>
  <c r="J12" i="185"/>
  <c r="N12" i="185"/>
  <c r="I12" i="185"/>
  <c r="M33" i="185"/>
  <c r="G33" i="185"/>
  <c r="L33" i="185"/>
  <c r="F33" i="185"/>
  <c r="K33" i="185"/>
  <c r="N33" i="185"/>
  <c r="J33" i="185"/>
  <c r="I33" i="185"/>
  <c r="P33" i="185"/>
  <c r="H33" i="185"/>
  <c r="O33" i="185"/>
  <c r="D47" i="185"/>
  <c r="N46" i="185"/>
  <c r="N47" i="185" s="1"/>
  <c r="K46" i="185"/>
  <c r="K47" i="185" s="1"/>
  <c r="F46" i="185"/>
  <c r="F47" i="185" s="1"/>
  <c r="K31" i="185"/>
  <c r="P31" i="185"/>
  <c r="J31" i="185"/>
  <c r="O31" i="185"/>
  <c r="I31" i="185"/>
  <c r="F31" i="185"/>
  <c r="N31" i="185"/>
  <c r="M31" i="185"/>
  <c r="H31" i="185"/>
  <c r="L31" i="185"/>
  <c r="G31" i="185"/>
  <c r="Q31" i="185" s="1"/>
  <c r="H77" i="185"/>
  <c r="R77" i="185" s="1"/>
  <c r="N77" i="185"/>
  <c r="M49" i="185"/>
  <c r="G49" i="185"/>
  <c r="K49" i="185"/>
  <c r="J49" i="185"/>
  <c r="D70" i="185"/>
  <c r="N49" i="185"/>
  <c r="L49" i="185"/>
  <c r="H49" i="185"/>
  <c r="F49" i="185"/>
  <c r="I49" i="185"/>
  <c r="M57" i="185"/>
  <c r="G57" i="185"/>
  <c r="Q57" i="185"/>
  <c r="K57" i="185"/>
  <c r="P57" i="185"/>
  <c r="J57" i="185"/>
  <c r="I57" i="185"/>
  <c r="H57" i="185"/>
  <c r="R57" i="185"/>
  <c r="F57" i="185"/>
  <c r="O57" i="185"/>
  <c r="L57" i="185"/>
  <c r="N57" i="185"/>
  <c r="L69" i="185"/>
  <c r="R69" i="185"/>
  <c r="F69" i="185"/>
  <c r="F80" i="185"/>
  <c r="R80" i="185" s="1"/>
  <c r="O56" i="185"/>
  <c r="I56" i="185"/>
  <c r="M56" i="185"/>
  <c r="G56" i="185"/>
  <c r="L56" i="185"/>
  <c r="F56" i="185"/>
  <c r="K56" i="185"/>
  <c r="J56" i="185"/>
  <c r="H56" i="185"/>
  <c r="P56" i="185"/>
  <c r="N56" i="185"/>
  <c r="K16" i="185"/>
  <c r="P16" i="185"/>
  <c r="J16" i="185"/>
  <c r="O16" i="185"/>
  <c r="I16" i="185"/>
  <c r="L16" i="185"/>
  <c r="H16" i="185"/>
  <c r="G16" i="185"/>
  <c r="M16" i="185"/>
  <c r="F16" i="185"/>
  <c r="N16" i="185"/>
  <c r="M53" i="185"/>
  <c r="G53" i="185"/>
  <c r="K53" i="185"/>
  <c r="J53" i="185"/>
  <c r="N53" i="185"/>
  <c r="L53" i="185"/>
  <c r="H53" i="185"/>
  <c r="F53" i="185"/>
  <c r="I53" i="185"/>
  <c r="O53" i="185" s="1"/>
  <c r="D92" i="185"/>
  <c r="J72" i="185"/>
  <c r="N72" i="185"/>
  <c r="H72" i="185"/>
  <c r="M72" i="185"/>
  <c r="G72" i="185"/>
  <c r="L72" i="185"/>
  <c r="K72" i="185"/>
  <c r="I72" i="185"/>
  <c r="F72" i="185"/>
  <c r="O72" i="185" s="1"/>
  <c r="M6" i="185"/>
  <c r="G6" i="185"/>
  <c r="F6" i="185"/>
  <c r="L6" i="185"/>
  <c r="K6" i="185"/>
  <c r="O6" i="185"/>
  <c r="N6" i="185"/>
  <c r="P6" i="185"/>
  <c r="J6" i="185"/>
  <c r="I6" i="185"/>
  <c r="Q6" i="185" s="1"/>
  <c r="H6" i="185"/>
  <c r="R6" i="185" s="1"/>
  <c r="P8" i="185"/>
  <c r="J8" i="185"/>
  <c r="O8" i="185"/>
  <c r="I8" i="185"/>
  <c r="N8" i="185"/>
  <c r="H8" i="185"/>
  <c r="M8" i="185"/>
  <c r="L8" i="185"/>
  <c r="G8" i="185"/>
  <c r="K8" i="185"/>
  <c r="F8" i="185"/>
  <c r="M13" i="185"/>
  <c r="G13" i="185"/>
  <c r="L13" i="185"/>
  <c r="F13" i="185"/>
  <c r="K13" i="185"/>
  <c r="H13" i="185"/>
  <c r="P13" i="185"/>
  <c r="O13" i="185"/>
  <c r="I13" i="185"/>
  <c r="N13" i="185"/>
  <c r="Q13" i="185" s="1"/>
  <c r="J13" i="185"/>
  <c r="F43" i="185"/>
  <c r="F45" i="185" s="1"/>
  <c r="R43" i="185"/>
  <c r="R63" i="185"/>
  <c r="F63" i="185"/>
  <c r="L36" i="185"/>
  <c r="F36" i="185"/>
  <c r="R36" i="185" s="1"/>
  <c r="F79" i="185"/>
  <c r="D83" i="185"/>
  <c r="R79" i="185"/>
  <c r="M50" i="185"/>
  <c r="G50" i="185"/>
  <c r="K50" i="185"/>
  <c r="J50" i="185"/>
  <c r="N50" i="185"/>
  <c r="L50" i="185"/>
  <c r="I50" i="185"/>
  <c r="F50" i="185"/>
  <c r="H50" i="185"/>
  <c r="O50" i="185" s="1"/>
  <c r="F60" i="185"/>
  <c r="R60" i="185" s="1"/>
  <c r="F71" i="185"/>
  <c r="D76" i="185"/>
  <c r="F82" i="185"/>
  <c r="R82" i="185" s="1"/>
  <c r="J74" i="185"/>
  <c r="N74" i="185"/>
  <c r="H74" i="185"/>
  <c r="M74" i="185"/>
  <c r="G74" i="185"/>
  <c r="L74" i="185"/>
  <c r="K74" i="185"/>
  <c r="I74" i="185"/>
  <c r="F74" i="185"/>
  <c r="O74" i="185" s="1"/>
  <c r="O17" i="185"/>
  <c r="I17" i="185"/>
  <c r="N17" i="185"/>
  <c r="H17" i="185"/>
  <c r="M17" i="185"/>
  <c r="G17" i="185"/>
  <c r="J17" i="185"/>
  <c r="F17" i="185"/>
  <c r="L17" i="185"/>
  <c r="P17" i="185"/>
  <c r="K17" i="185"/>
  <c r="R42" i="185"/>
  <c r="I42" i="185"/>
  <c r="I45" i="185" s="1"/>
  <c r="D45" i="185"/>
  <c r="F24" i="185"/>
  <c r="L24" i="185" s="1"/>
  <c r="F88" i="185"/>
  <c r="D87" i="185"/>
  <c r="D93" i="185"/>
  <c r="L44" i="185"/>
  <c r="L45" i="185" s="1"/>
  <c r="F81" i="185"/>
  <c r="R81" i="185"/>
  <c r="M51" i="185"/>
  <c r="G51" i="185"/>
  <c r="O51" i="185" s="1"/>
  <c r="K51" i="185"/>
  <c r="J51" i="185"/>
  <c r="N51" i="185"/>
  <c r="L51" i="185"/>
  <c r="H51" i="185"/>
  <c r="I51" i="185"/>
  <c r="F51" i="185"/>
  <c r="M64" i="185"/>
  <c r="G64" i="185"/>
  <c r="K64" i="185"/>
  <c r="J64" i="185"/>
  <c r="N64" i="185"/>
  <c r="L64" i="185"/>
  <c r="H64" i="185"/>
  <c r="F64" i="185"/>
  <c r="O64" i="185" s="1"/>
  <c r="I64" i="185"/>
  <c r="O32" i="185"/>
  <c r="I32" i="185"/>
  <c r="N32" i="185"/>
  <c r="H32" i="185"/>
  <c r="M32" i="185"/>
  <c r="G32" i="185"/>
  <c r="Q32" i="185" s="1"/>
  <c r="R32" i="185" s="1"/>
  <c r="P32" i="185"/>
  <c r="L32" i="185"/>
  <c r="K32" i="185"/>
  <c r="J32" i="185"/>
  <c r="F32" i="185"/>
  <c r="N9" i="185"/>
  <c r="H9" i="185"/>
  <c r="M9" i="185"/>
  <c r="G9" i="185"/>
  <c r="L9" i="185"/>
  <c r="F9" i="185"/>
  <c r="O9" i="185"/>
  <c r="K9" i="185"/>
  <c r="P9" i="185"/>
  <c r="J9" i="185"/>
  <c r="I9" i="185"/>
  <c r="Q90" i="185"/>
  <c r="L90" i="185"/>
  <c r="R90" i="185" s="1"/>
  <c r="O29" i="185"/>
  <c r="I29" i="185"/>
  <c r="N29" i="185"/>
  <c r="H29" i="185"/>
  <c r="M29" i="185"/>
  <c r="G29" i="185"/>
  <c r="Q29" i="185" s="1"/>
  <c r="J29" i="185"/>
  <c r="F29" i="185"/>
  <c r="R29" i="185" s="1"/>
  <c r="L29" i="185"/>
  <c r="P29" i="185"/>
  <c r="K29" i="185"/>
  <c r="P61" i="185"/>
  <c r="J61" i="185"/>
  <c r="N61" i="185"/>
  <c r="H61" i="185"/>
  <c r="M61" i="185"/>
  <c r="G61" i="185"/>
  <c r="L61" i="185"/>
  <c r="K61" i="185"/>
  <c r="I61" i="185"/>
  <c r="F61" i="185"/>
  <c r="Q61" i="185" s="1"/>
  <c r="R61" i="185" s="1"/>
  <c r="O61" i="185"/>
  <c r="O26" i="185"/>
  <c r="H26" i="185"/>
  <c r="H37" i="185" s="1"/>
  <c r="N26" i="185"/>
  <c r="F26" i="185"/>
  <c r="F37" i="185" s="1"/>
  <c r="M26" i="185"/>
  <c r="P26" i="185"/>
  <c r="D37" i="185"/>
  <c r="K26" i="185"/>
  <c r="K37" i="185" s="1"/>
  <c r="J26" i="185"/>
  <c r="I26" i="185"/>
  <c r="I37" i="185" s="1"/>
  <c r="D109" i="185"/>
  <c r="K14" i="185"/>
  <c r="P14" i="185"/>
  <c r="J14" i="185"/>
  <c r="O14" i="185"/>
  <c r="I14" i="185"/>
  <c r="F14" i="185"/>
  <c r="Q14" i="185" s="1"/>
  <c r="N14" i="185"/>
  <c r="G14" i="185"/>
  <c r="M14" i="185"/>
  <c r="L14" i="185"/>
  <c r="H14" i="185"/>
  <c r="O59" i="185"/>
  <c r="I59" i="185"/>
  <c r="M59" i="185"/>
  <c r="G59" i="185"/>
  <c r="L59" i="185"/>
  <c r="F59" i="185"/>
  <c r="Q59" i="185" s="1"/>
  <c r="P59" i="185"/>
  <c r="N59" i="185"/>
  <c r="K59" i="185"/>
  <c r="J59" i="185"/>
  <c r="H59" i="185"/>
  <c r="F89" i="185"/>
  <c r="R89" i="185" s="1"/>
  <c r="L89" i="185"/>
  <c r="M52" i="185"/>
  <c r="G52" i="185"/>
  <c r="O52" i="185" s="1"/>
  <c r="K52" i="185"/>
  <c r="J52" i="185"/>
  <c r="N52" i="185"/>
  <c r="L52" i="185"/>
  <c r="I52" i="185"/>
  <c r="H52" i="185"/>
  <c r="F52" i="185"/>
  <c r="M65" i="185"/>
  <c r="G65" i="185"/>
  <c r="K65" i="185"/>
  <c r="J65" i="185"/>
  <c r="N65" i="185"/>
  <c r="L65" i="185"/>
  <c r="I65" i="185"/>
  <c r="F65" i="185"/>
  <c r="O65" i="185" s="1"/>
  <c r="H65" i="185"/>
  <c r="R33" i="184"/>
  <c r="R8" i="184"/>
  <c r="R7" i="184"/>
  <c r="K12" i="184"/>
  <c r="J12" i="184"/>
  <c r="I12" i="184"/>
  <c r="M12" i="184"/>
  <c r="G12" i="184"/>
  <c r="O12" i="184" s="1"/>
  <c r="F12" i="184"/>
  <c r="L12" i="184"/>
  <c r="N12" i="184"/>
  <c r="H12" i="184"/>
  <c r="D109" i="184"/>
  <c r="K50" i="184"/>
  <c r="I50" i="184"/>
  <c r="H50" i="184"/>
  <c r="N50" i="184"/>
  <c r="G50" i="184"/>
  <c r="M50" i="184"/>
  <c r="F50" i="184"/>
  <c r="L50" i="184"/>
  <c r="J50" i="184"/>
  <c r="O14" i="184"/>
  <c r="I14" i="184"/>
  <c r="N14" i="184"/>
  <c r="H14" i="184"/>
  <c r="Q14" i="184" s="1"/>
  <c r="M14" i="184"/>
  <c r="G14" i="184"/>
  <c r="K14" i="184"/>
  <c r="P14" i="184"/>
  <c r="L14" i="184"/>
  <c r="J14" i="184"/>
  <c r="F14" i="184"/>
  <c r="M31" i="184"/>
  <c r="G31" i="184"/>
  <c r="L31" i="184"/>
  <c r="F31" i="184"/>
  <c r="K31" i="184"/>
  <c r="P31" i="184"/>
  <c r="J31" i="184"/>
  <c r="N31" i="184"/>
  <c r="O31" i="184"/>
  <c r="I31" i="184"/>
  <c r="Q31" i="184" s="1"/>
  <c r="H31" i="184"/>
  <c r="K64" i="184"/>
  <c r="L64" i="184"/>
  <c r="J64" i="184"/>
  <c r="I64" i="184"/>
  <c r="H64" i="184"/>
  <c r="M64" i="184"/>
  <c r="G64" i="184"/>
  <c r="F64" i="184"/>
  <c r="O64" i="184" s="1"/>
  <c r="N64" i="184"/>
  <c r="O27" i="184"/>
  <c r="N27" i="184"/>
  <c r="K27" i="184"/>
  <c r="P27" i="184"/>
  <c r="H27" i="184"/>
  <c r="J27" i="184"/>
  <c r="I27" i="184"/>
  <c r="M27" i="184"/>
  <c r="G27" i="184"/>
  <c r="L27" i="184"/>
  <c r="F27" i="184"/>
  <c r="L88" i="184"/>
  <c r="R88" i="184" s="1"/>
  <c r="F88" i="184"/>
  <c r="D87" i="184"/>
  <c r="L3" i="184"/>
  <c r="F3" i="184"/>
  <c r="K3" i="184"/>
  <c r="D25" i="184"/>
  <c r="P3" i="184"/>
  <c r="J3" i="184"/>
  <c r="N3" i="184"/>
  <c r="H3" i="184"/>
  <c r="Q3" i="184" s="1"/>
  <c r="M3" i="184"/>
  <c r="G3" i="184"/>
  <c r="O3" i="184"/>
  <c r="I3" i="184"/>
  <c r="N74" i="184"/>
  <c r="H74" i="184"/>
  <c r="K74" i="184"/>
  <c r="J74" i="184"/>
  <c r="I74" i="184"/>
  <c r="G74" i="184"/>
  <c r="R74" i="184" s="1"/>
  <c r="L74" i="184"/>
  <c r="F74" i="184"/>
  <c r="O74" i="184" s="1"/>
  <c r="M74" i="184"/>
  <c r="Q90" i="184"/>
  <c r="L90" i="184"/>
  <c r="R90" i="184" s="1"/>
  <c r="F68" i="184"/>
  <c r="R68" i="184" s="1"/>
  <c r="R43" i="184"/>
  <c r="F43" i="184"/>
  <c r="F45" i="184" s="1"/>
  <c r="N72" i="184"/>
  <c r="H72" i="184"/>
  <c r="M72" i="184"/>
  <c r="F72" i="184"/>
  <c r="L72" i="184"/>
  <c r="L76" i="184" s="1"/>
  <c r="K72" i="184"/>
  <c r="J72" i="184"/>
  <c r="I72" i="184"/>
  <c r="G72" i="184"/>
  <c r="H94" i="184"/>
  <c r="O94" i="184" s="1"/>
  <c r="K52" i="184"/>
  <c r="N52" i="184"/>
  <c r="G52" i="184"/>
  <c r="M52" i="184"/>
  <c r="F52" i="184"/>
  <c r="L52" i="184"/>
  <c r="J52" i="184"/>
  <c r="I52" i="184"/>
  <c r="H52" i="184"/>
  <c r="K65" i="184"/>
  <c r="N65" i="184"/>
  <c r="G65" i="184"/>
  <c r="M65" i="184"/>
  <c r="O65" i="184" s="1"/>
  <c r="F65" i="184"/>
  <c r="L65" i="184"/>
  <c r="J65" i="184"/>
  <c r="I65" i="184"/>
  <c r="H65" i="184"/>
  <c r="L9" i="184"/>
  <c r="F9" i="184"/>
  <c r="K9" i="184"/>
  <c r="P9" i="184"/>
  <c r="J9" i="184"/>
  <c r="N9" i="184"/>
  <c r="H9" i="184"/>
  <c r="M9" i="184"/>
  <c r="G9" i="184"/>
  <c r="O9" i="184"/>
  <c r="I9" i="184"/>
  <c r="M28" i="184"/>
  <c r="G28" i="184"/>
  <c r="L28" i="184"/>
  <c r="F28" i="184"/>
  <c r="K28" i="184"/>
  <c r="P28" i="184"/>
  <c r="J28" i="184"/>
  <c r="I28" i="184"/>
  <c r="Q28" i="184" s="1"/>
  <c r="H28" i="184"/>
  <c r="O28" i="184"/>
  <c r="N28" i="184"/>
  <c r="D76" i="184"/>
  <c r="F71" i="184"/>
  <c r="L6" i="184"/>
  <c r="F6" i="184"/>
  <c r="K6" i="184"/>
  <c r="P6" i="184"/>
  <c r="J6" i="184"/>
  <c r="N6" i="184"/>
  <c r="H6" i="184"/>
  <c r="G6" i="184"/>
  <c r="M6" i="184"/>
  <c r="I6" i="184"/>
  <c r="O6" i="184"/>
  <c r="D92" i="184"/>
  <c r="K51" i="184"/>
  <c r="L51" i="184"/>
  <c r="J51" i="184"/>
  <c r="I51" i="184"/>
  <c r="H51" i="184"/>
  <c r="O51" i="184" s="1"/>
  <c r="F51" i="184"/>
  <c r="N51" i="184"/>
  <c r="M51" i="184"/>
  <c r="G51" i="184"/>
  <c r="D37" i="184"/>
  <c r="M26" i="184"/>
  <c r="M37" i="184" s="1"/>
  <c r="P26" i="184"/>
  <c r="I26" i="184"/>
  <c r="K26" i="184"/>
  <c r="J26" i="184"/>
  <c r="J37" i="184" s="1"/>
  <c r="O26" i="184"/>
  <c r="H26" i="184"/>
  <c r="N26" i="184"/>
  <c r="F26" i="184"/>
  <c r="F82" i="184"/>
  <c r="R82" i="184" s="1"/>
  <c r="N61" i="184"/>
  <c r="H61" i="184"/>
  <c r="K61" i="184"/>
  <c r="J61" i="184"/>
  <c r="P61" i="184"/>
  <c r="I61" i="184"/>
  <c r="O61" i="184"/>
  <c r="G61" i="184"/>
  <c r="L61" i="184"/>
  <c r="F61" i="184"/>
  <c r="Q61" i="184" s="1"/>
  <c r="M61" i="184"/>
  <c r="N73" i="184"/>
  <c r="H73" i="184"/>
  <c r="I73" i="184"/>
  <c r="G73" i="184"/>
  <c r="M73" i="184"/>
  <c r="F73" i="184"/>
  <c r="L73" i="184"/>
  <c r="K73" i="184"/>
  <c r="J73" i="184"/>
  <c r="F63" i="184"/>
  <c r="R63" i="184" s="1"/>
  <c r="N75" i="184"/>
  <c r="H75" i="184"/>
  <c r="M75" i="184"/>
  <c r="F75" i="184"/>
  <c r="L75" i="184"/>
  <c r="K75" i="184"/>
  <c r="J75" i="184"/>
  <c r="I75" i="184"/>
  <c r="G75" i="184"/>
  <c r="K29" i="184"/>
  <c r="P29" i="184"/>
  <c r="J29" i="184"/>
  <c r="O29" i="184"/>
  <c r="I29" i="184"/>
  <c r="N29" i="184"/>
  <c r="H29" i="184"/>
  <c r="Q29" i="184" s="1"/>
  <c r="M29" i="184"/>
  <c r="F29" i="184"/>
  <c r="L29" i="184"/>
  <c r="G29" i="184"/>
  <c r="K53" i="184"/>
  <c r="I53" i="184"/>
  <c r="H53" i="184"/>
  <c r="N53" i="184"/>
  <c r="G53" i="184"/>
  <c r="O53" i="184" s="1"/>
  <c r="M53" i="184"/>
  <c r="F53" i="184"/>
  <c r="L53" i="184"/>
  <c r="J53" i="184"/>
  <c r="K66" i="184"/>
  <c r="I66" i="184"/>
  <c r="H66" i="184"/>
  <c r="N66" i="184"/>
  <c r="G66" i="184"/>
  <c r="O66" i="184" s="1"/>
  <c r="M66" i="184"/>
  <c r="R66" i="184" s="1"/>
  <c r="F66" i="184"/>
  <c r="J66" i="184"/>
  <c r="L66" i="184"/>
  <c r="O16" i="184"/>
  <c r="I16" i="184"/>
  <c r="N16" i="184"/>
  <c r="H16" i="184"/>
  <c r="M16" i="184"/>
  <c r="G16" i="184"/>
  <c r="K16" i="184"/>
  <c r="P16" i="184"/>
  <c r="L16" i="184"/>
  <c r="J16" i="184"/>
  <c r="F16" i="184"/>
  <c r="Q16" i="184" s="1"/>
  <c r="M56" i="184"/>
  <c r="G56" i="184"/>
  <c r="L56" i="184"/>
  <c r="K56" i="184"/>
  <c r="J56" i="184"/>
  <c r="P56" i="184"/>
  <c r="I56" i="184"/>
  <c r="F56" i="184"/>
  <c r="O56" i="184"/>
  <c r="N56" i="184"/>
  <c r="H56" i="184"/>
  <c r="R80" i="184"/>
  <c r="F80" i="184"/>
  <c r="F79" i="184"/>
  <c r="R79" i="184" s="1"/>
  <c r="D83" i="184"/>
  <c r="L24" i="184"/>
  <c r="R24" i="184" s="1"/>
  <c r="F24" i="184"/>
  <c r="L44" i="184"/>
  <c r="L45" i="184" s="1"/>
  <c r="D45" i="184"/>
  <c r="I42" i="184"/>
  <c r="I45" i="184" s="1"/>
  <c r="I62" i="184"/>
  <c r="N62" i="184"/>
  <c r="R62" i="184" s="1"/>
  <c r="H77" i="184"/>
  <c r="N77" i="184"/>
  <c r="R77" i="184" s="1"/>
  <c r="F81" i="184"/>
  <c r="R81" i="184"/>
  <c r="O32" i="184"/>
  <c r="K32" i="184"/>
  <c r="J32" i="184"/>
  <c r="P32" i="184"/>
  <c r="I32" i="184"/>
  <c r="N32" i="184"/>
  <c r="H32" i="184"/>
  <c r="G32" i="184"/>
  <c r="Q32" i="184" s="1"/>
  <c r="F32" i="184"/>
  <c r="R32" i="184" s="1"/>
  <c r="M32" i="184"/>
  <c r="L32" i="184"/>
  <c r="F36" i="184"/>
  <c r="K54" i="184"/>
  <c r="L54" i="184"/>
  <c r="J54" i="184"/>
  <c r="P54" i="184"/>
  <c r="I54" i="184"/>
  <c r="O54" i="184"/>
  <c r="H54" i="184"/>
  <c r="M54" i="184"/>
  <c r="G54" i="184"/>
  <c r="F54" i="184"/>
  <c r="Q54" i="184" s="1"/>
  <c r="N54" i="184"/>
  <c r="H67" i="184"/>
  <c r="R67" i="184" s="1"/>
  <c r="Q7" i="184"/>
  <c r="Q4" i="184"/>
  <c r="R4" i="184" s="1"/>
  <c r="Q5" i="184"/>
  <c r="R5" i="184" s="1"/>
  <c r="F15" i="184"/>
  <c r="L15" i="184" s="1"/>
  <c r="R15" i="184" s="1"/>
  <c r="O58" i="184"/>
  <c r="I58" i="184"/>
  <c r="M58" i="184"/>
  <c r="F58" i="184"/>
  <c r="L58" i="184"/>
  <c r="K58" i="184"/>
  <c r="J58" i="184"/>
  <c r="P58" i="184"/>
  <c r="H58" i="184"/>
  <c r="N58" i="184"/>
  <c r="G58" i="184"/>
  <c r="F60" i="184"/>
  <c r="R60" i="184" s="1"/>
  <c r="M59" i="184"/>
  <c r="G59" i="184"/>
  <c r="N59" i="184"/>
  <c r="F59" i="184"/>
  <c r="L59" i="184"/>
  <c r="K59" i="184"/>
  <c r="J59" i="184"/>
  <c r="Q59" i="184" s="1"/>
  <c r="H59" i="184"/>
  <c r="P59" i="184"/>
  <c r="O59" i="184"/>
  <c r="I59" i="184"/>
  <c r="K13" i="184"/>
  <c r="P13" i="184"/>
  <c r="J13" i="184"/>
  <c r="O13" i="184"/>
  <c r="I13" i="184"/>
  <c r="M13" i="184"/>
  <c r="G13" i="184"/>
  <c r="L13" i="184"/>
  <c r="H13" i="184"/>
  <c r="F13" i="184"/>
  <c r="N13" i="184"/>
  <c r="M17" i="184"/>
  <c r="G17" i="184"/>
  <c r="L17" i="184"/>
  <c r="F17" i="184"/>
  <c r="K17" i="184"/>
  <c r="O17" i="184"/>
  <c r="I17" i="184"/>
  <c r="R17" i="184" s="1"/>
  <c r="P17" i="184"/>
  <c r="N17" i="184"/>
  <c r="H17" i="184"/>
  <c r="Q17" i="184" s="1"/>
  <c r="J17" i="184"/>
  <c r="O30" i="184"/>
  <c r="I30" i="184"/>
  <c r="N30" i="184"/>
  <c r="H30" i="184"/>
  <c r="M30" i="184"/>
  <c r="G30" i="184"/>
  <c r="L30" i="184"/>
  <c r="F30" i="184"/>
  <c r="Q30" i="184" s="1"/>
  <c r="J30" i="184"/>
  <c r="P30" i="184"/>
  <c r="K30" i="184"/>
  <c r="O93" i="184"/>
  <c r="I93" i="184"/>
  <c r="J93" i="184"/>
  <c r="P93" i="184"/>
  <c r="H93" i="184"/>
  <c r="N93" i="184"/>
  <c r="G93" i="184"/>
  <c r="M93" i="184"/>
  <c r="F93" i="184"/>
  <c r="Q93" i="184" s="1"/>
  <c r="L93" i="184"/>
  <c r="K93" i="184"/>
  <c r="N46" i="184"/>
  <c r="N47" i="184" s="1"/>
  <c r="F46" i="184"/>
  <c r="F47" i="184" s="1"/>
  <c r="D47" i="184"/>
  <c r="K46" i="184"/>
  <c r="K47" i="184" s="1"/>
  <c r="F89" i="184"/>
  <c r="R89" i="184" s="1"/>
  <c r="L89" i="184"/>
  <c r="O55" i="184"/>
  <c r="I55" i="184"/>
  <c r="L55" i="184"/>
  <c r="K55" i="184"/>
  <c r="J55" i="184"/>
  <c r="P55" i="184"/>
  <c r="H55" i="184"/>
  <c r="N55" i="184"/>
  <c r="G55" i="184"/>
  <c r="M55" i="184"/>
  <c r="F55" i="184"/>
  <c r="Q55" i="184" s="1"/>
  <c r="K49" i="184"/>
  <c r="N49" i="184"/>
  <c r="G49" i="184"/>
  <c r="M49" i="184"/>
  <c r="M70" i="184" s="1"/>
  <c r="F49" i="184"/>
  <c r="L49" i="184"/>
  <c r="D70" i="184"/>
  <c r="J49" i="184"/>
  <c r="H49" i="184"/>
  <c r="I49" i="184"/>
  <c r="K57" i="184"/>
  <c r="M57" i="184"/>
  <c r="F57" i="184"/>
  <c r="L57" i="184"/>
  <c r="J57" i="184"/>
  <c r="P57" i="184"/>
  <c r="I57" i="184"/>
  <c r="N57" i="184"/>
  <c r="H57" i="184"/>
  <c r="G57" i="184"/>
  <c r="O57" i="184"/>
  <c r="F69" i="184"/>
  <c r="L69" i="184"/>
  <c r="R69" i="184" s="1"/>
  <c r="Q8" i="184"/>
  <c r="R30" i="183"/>
  <c r="D48" i="183"/>
  <c r="J49" i="183"/>
  <c r="L49" i="183"/>
  <c r="K49" i="183"/>
  <c r="G49" i="183"/>
  <c r="F49" i="183"/>
  <c r="N49" i="183"/>
  <c r="D70" i="183"/>
  <c r="M49" i="183"/>
  <c r="I49" i="183"/>
  <c r="H49" i="183"/>
  <c r="L14" i="183"/>
  <c r="F14" i="183"/>
  <c r="O14" i="183"/>
  <c r="I14" i="183"/>
  <c r="P14" i="183"/>
  <c r="G14" i="183"/>
  <c r="N14" i="183"/>
  <c r="M14" i="183"/>
  <c r="J14" i="183"/>
  <c r="K14" i="183"/>
  <c r="H14" i="183"/>
  <c r="J52" i="183"/>
  <c r="L52" i="183"/>
  <c r="I52" i="183"/>
  <c r="N52" i="183"/>
  <c r="F52" i="183"/>
  <c r="H52" i="183"/>
  <c r="G52" i="183"/>
  <c r="O52" i="183" s="1"/>
  <c r="M52" i="183"/>
  <c r="K52" i="183"/>
  <c r="R32" i="183"/>
  <c r="R6" i="183"/>
  <c r="Q17" i="183"/>
  <c r="R17" i="183" s="1"/>
  <c r="L16" i="183"/>
  <c r="F16" i="183"/>
  <c r="R16" i="183" s="1"/>
  <c r="O16" i="183"/>
  <c r="I16" i="183"/>
  <c r="P16" i="183"/>
  <c r="G16" i="183"/>
  <c r="N16" i="183"/>
  <c r="J16" i="183"/>
  <c r="H16" i="183"/>
  <c r="Q16" i="183"/>
  <c r="M16" i="183"/>
  <c r="K16" i="183"/>
  <c r="N8" i="183"/>
  <c r="H8" i="183"/>
  <c r="L8" i="183"/>
  <c r="K8" i="183"/>
  <c r="J8" i="183"/>
  <c r="I8" i="183"/>
  <c r="G8" i="183"/>
  <c r="G25" i="183" s="1"/>
  <c r="P8" i="183"/>
  <c r="F8" i="183"/>
  <c r="Q8" i="183" s="1"/>
  <c r="O8" i="183"/>
  <c r="M8" i="183"/>
  <c r="F36" i="183"/>
  <c r="L36" i="183"/>
  <c r="R36" i="183"/>
  <c r="P31" i="183"/>
  <c r="J31" i="183"/>
  <c r="K31" i="183"/>
  <c r="N31" i="183"/>
  <c r="G31" i="183"/>
  <c r="O31" i="183"/>
  <c r="L31" i="183"/>
  <c r="I31" i="183"/>
  <c r="M31" i="183"/>
  <c r="H31" i="183"/>
  <c r="F31" i="183"/>
  <c r="L44" i="183"/>
  <c r="L45" i="183" s="1"/>
  <c r="R44" i="183"/>
  <c r="N13" i="183"/>
  <c r="H13" i="183"/>
  <c r="K13" i="183"/>
  <c r="L13" i="183"/>
  <c r="J13" i="183"/>
  <c r="O13" i="183"/>
  <c r="M13" i="183"/>
  <c r="I13" i="183"/>
  <c r="Q13" i="183" s="1"/>
  <c r="G13" i="183"/>
  <c r="F13" i="183"/>
  <c r="R13" i="183" s="1"/>
  <c r="P13" i="183"/>
  <c r="L69" i="183"/>
  <c r="R69" i="183" s="1"/>
  <c r="F69" i="183"/>
  <c r="P57" i="183"/>
  <c r="J57" i="183"/>
  <c r="K57" i="183"/>
  <c r="Q57" i="183" s="1"/>
  <c r="M57" i="183"/>
  <c r="H57" i="183"/>
  <c r="G57" i="183"/>
  <c r="F57" i="183"/>
  <c r="O57" i="183"/>
  <c r="N57" i="183"/>
  <c r="L57" i="183"/>
  <c r="I57" i="183"/>
  <c r="F60" i="183"/>
  <c r="R60" i="183" s="1"/>
  <c r="N77" i="183"/>
  <c r="R77" i="183"/>
  <c r="H77" i="183"/>
  <c r="Q90" i="183"/>
  <c r="R90" i="183"/>
  <c r="L90" i="183"/>
  <c r="F82" i="183"/>
  <c r="R82" i="183" s="1"/>
  <c r="M75" i="183"/>
  <c r="G75" i="183"/>
  <c r="K75" i="183"/>
  <c r="L75" i="183"/>
  <c r="H75" i="183"/>
  <c r="J75" i="183"/>
  <c r="I75" i="183"/>
  <c r="F75" i="183"/>
  <c r="N75" i="183"/>
  <c r="J66" i="183"/>
  <c r="N66" i="183"/>
  <c r="G66" i="183"/>
  <c r="I66" i="183"/>
  <c r="M66" i="183"/>
  <c r="H66" i="183"/>
  <c r="F66" i="183"/>
  <c r="L66" i="183"/>
  <c r="K66" i="183"/>
  <c r="H94" i="183"/>
  <c r="N29" i="183"/>
  <c r="H29" i="183"/>
  <c r="J29" i="183"/>
  <c r="M29" i="183"/>
  <c r="F29" i="183"/>
  <c r="K29" i="183"/>
  <c r="G29" i="183"/>
  <c r="P29" i="183"/>
  <c r="O29" i="183"/>
  <c r="L29" i="183"/>
  <c r="I29" i="183"/>
  <c r="L9" i="183"/>
  <c r="F9" i="183"/>
  <c r="M9" i="183"/>
  <c r="K9" i="183"/>
  <c r="K25" i="183" s="1"/>
  <c r="K48" i="183" s="1"/>
  <c r="Q9" i="183"/>
  <c r="H9" i="183"/>
  <c r="R9" i="183" s="1"/>
  <c r="P9" i="183"/>
  <c r="G9" i="183"/>
  <c r="O9" i="183"/>
  <c r="N9" i="183"/>
  <c r="J9" i="183"/>
  <c r="I9" i="183"/>
  <c r="F43" i="183"/>
  <c r="F45" i="183" s="1"/>
  <c r="J50" i="183"/>
  <c r="N50" i="183"/>
  <c r="G50" i="183"/>
  <c r="H50" i="183"/>
  <c r="L50" i="183"/>
  <c r="F50" i="183"/>
  <c r="M50" i="183"/>
  <c r="O50" i="183" s="1"/>
  <c r="K50" i="183"/>
  <c r="I50" i="183"/>
  <c r="K46" i="183"/>
  <c r="K47" i="183" s="1"/>
  <c r="D47" i="183"/>
  <c r="F46" i="183"/>
  <c r="F47" i="183" s="1"/>
  <c r="R46" i="183"/>
  <c r="N46" i="183"/>
  <c r="N47" i="183" s="1"/>
  <c r="F24" i="183"/>
  <c r="M73" i="183"/>
  <c r="G73" i="183"/>
  <c r="N73" i="183"/>
  <c r="F73" i="183"/>
  <c r="J73" i="183"/>
  <c r="I73" i="183"/>
  <c r="H73" i="183"/>
  <c r="L73" i="183"/>
  <c r="K73" i="183"/>
  <c r="M72" i="183"/>
  <c r="G72" i="183"/>
  <c r="K72" i="183"/>
  <c r="K76" i="183" s="1"/>
  <c r="N72" i="183"/>
  <c r="I72" i="183"/>
  <c r="H72" i="183"/>
  <c r="F72" i="183"/>
  <c r="L72" i="183"/>
  <c r="J72" i="183"/>
  <c r="R63" i="183"/>
  <c r="F63" i="183"/>
  <c r="D83" i="183"/>
  <c r="R79" i="183"/>
  <c r="F79" i="183"/>
  <c r="D93" i="183"/>
  <c r="R15" i="183"/>
  <c r="F71" i="183"/>
  <c r="D76" i="183"/>
  <c r="D109" i="183" s="1"/>
  <c r="L56" i="183"/>
  <c r="F56" i="183"/>
  <c r="Q56" i="183" s="1"/>
  <c r="J56" i="183"/>
  <c r="I56" i="183"/>
  <c r="R56" i="183" s="1"/>
  <c r="N56" i="183"/>
  <c r="H56" i="183"/>
  <c r="G56" i="183"/>
  <c r="P56" i="183"/>
  <c r="O56" i="183"/>
  <c r="M56" i="183"/>
  <c r="K56" i="183"/>
  <c r="Q3" i="183"/>
  <c r="R3" i="183" s="1"/>
  <c r="P7" i="183"/>
  <c r="J7" i="183"/>
  <c r="L7" i="183"/>
  <c r="K7" i="183"/>
  <c r="N7" i="183"/>
  <c r="M7" i="183"/>
  <c r="I7" i="183"/>
  <c r="H7" i="183"/>
  <c r="G7" i="183"/>
  <c r="O7" i="183"/>
  <c r="O25" i="183" s="1"/>
  <c r="F7" i="183"/>
  <c r="N12" i="183"/>
  <c r="H12" i="183"/>
  <c r="R12" i="183" s="1"/>
  <c r="K12" i="183"/>
  <c r="F12" i="183"/>
  <c r="O12" i="183" s="1"/>
  <c r="M12" i="183"/>
  <c r="L12" i="183"/>
  <c r="J12" i="183"/>
  <c r="I12" i="183"/>
  <c r="G12" i="183"/>
  <c r="I62" i="183"/>
  <c r="N62" i="183"/>
  <c r="R62" i="183" s="1"/>
  <c r="M61" i="183"/>
  <c r="G61" i="183"/>
  <c r="Q61" i="183" s="1"/>
  <c r="P61" i="183"/>
  <c r="I61" i="183"/>
  <c r="K61" i="183"/>
  <c r="O61" i="183"/>
  <c r="F61" i="183"/>
  <c r="N61" i="183"/>
  <c r="L61" i="183"/>
  <c r="J61" i="183"/>
  <c r="H61" i="183"/>
  <c r="L33" i="183"/>
  <c r="M33" i="183"/>
  <c r="F33" i="183"/>
  <c r="K33" i="183"/>
  <c r="P33" i="183"/>
  <c r="H33" i="183"/>
  <c r="Q33" i="183" s="1"/>
  <c r="R33" i="183" s="1"/>
  <c r="I33" i="183"/>
  <c r="G33" i="183"/>
  <c r="O33" i="183"/>
  <c r="N33" i="183"/>
  <c r="J33" i="183"/>
  <c r="J53" i="183"/>
  <c r="N53" i="183"/>
  <c r="G53" i="183"/>
  <c r="F53" i="183"/>
  <c r="K53" i="183"/>
  <c r="I53" i="183"/>
  <c r="H53" i="183"/>
  <c r="M53" i="183"/>
  <c r="L53" i="183"/>
  <c r="N58" i="183"/>
  <c r="H58" i="183"/>
  <c r="K58" i="183"/>
  <c r="P58" i="183"/>
  <c r="G58" i="183"/>
  <c r="L58" i="183"/>
  <c r="F58" i="183"/>
  <c r="O58" i="183"/>
  <c r="M58" i="183"/>
  <c r="J58" i="183"/>
  <c r="I58" i="183"/>
  <c r="L59" i="183"/>
  <c r="F59" i="183"/>
  <c r="Q59" i="183" s="1"/>
  <c r="K59" i="183"/>
  <c r="J59" i="183"/>
  <c r="O59" i="183"/>
  <c r="G59" i="183"/>
  <c r="R59" i="183" s="1"/>
  <c r="P59" i="183"/>
  <c r="N59" i="183"/>
  <c r="M59" i="183"/>
  <c r="I59" i="183"/>
  <c r="H59" i="183"/>
  <c r="P26" i="183"/>
  <c r="I26" i="183"/>
  <c r="M26" i="183"/>
  <c r="J26" i="183"/>
  <c r="F26" i="183"/>
  <c r="O26" i="183"/>
  <c r="D37" i="183"/>
  <c r="N26" i="183"/>
  <c r="K26" i="183"/>
  <c r="K37" i="183" s="1"/>
  <c r="H26" i="183"/>
  <c r="D87" i="183"/>
  <c r="F88" i="183"/>
  <c r="J65" i="183"/>
  <c r="L65" i="183"/>
  <c r="M65" i="183"/>
  <c r="H65" i="183"/>
  <c r="G65" i="183"/>
  <c r="F65" i="183"/>
  <c r="O65" i="183" s="1"/>
  <c r="N65" i="183"/>
  <c r="K65" i="183"/>
  <c r="I65" i="183"/>
  <c r="F81" i="183"/>
  <c r="R81" i="183"/>
  <c r="M10" i="183"/>
  <c r="P10" i="183"/>
  <c r="J10" i="183"/>
  <c r="N10" i="183"/>
  <c r="F10" i="183"/>
  <c r="Q10" i="183" s="1"/>
  <c r="R10" i="183" s="1"/>
  <c r="L10" i="183"/>
  <c r="O10" i="183"/>
  <c r="K10" i="183"/>
  <c r="I10" i="183"/>
  <c r="H10" i="183"/>
  <c r="G10" i="183"/>
  <c r="H67" i="183"/>
  <c r="R67" i="183"/>
  <c r="F11" i="183"/>
  <c r="R11" i="183" s="1"/>
  <c r="N5" i="183"/>
  <c r="N25" i="183" s="1"/>
  <c r="H5" i="183"/>
  <c r="H25" i="183" s="1"/>
  <c r="K5" i="183"/>
  <c r="J5" i="183"/>
  <c r="J25" i="183" s="1"/>
  <c r="I5" i="183"/>
  <c r="I25" i="183" s="1"/>
  <c r="G5" i="183"/>
  <c r="Q5" i="183" s="1"/>
  <c r="F5" i="183"/>
  <c r="P5" i="183"/>
  <c r="O5" i="183"/>
  <c r="M5" i="183"/>
  <c r="M25" i="183" s="1"/>
  <c r="L5" i="183"/>
  <c r="M74" i="183"/>
  <c r="G74" i="183"/>
  <c r="I74" i="183"/>
  <c r="F74" i="183"/>
  <c r="K74" i="183"/>
  <c r="J74" i="183"/>
  <c r="H74" i="183"/>
  <c r="N74" i="183"/>
  <c r="L74" i="183"/>
  <c r="J51" i="183"/>
  <c r="I51" i="183"/>
  <c r="M51" i="183"/>
  <c r="H51" i="183"/>
  <c r="G51" i="183"/>
  <c r="F51" i="183"/>
  <c r="O51" i="183" s="1"/>
  <c r="N51" i="183"/>
  <c r="L51" i="183"/>
  <c r="K51" i="183"/>
  <c r="R28" i="183"/>
  <c r="P25" i="183"/>
  <c r="R80" i="183"/>
  <c r="F80" i="183"/>
  <c r="P54" i="183"/>
  <c r="P70" i="183" s="1"/>
  <c r="P78" i="183" s="1"/>
  <c r="J54" i="183"/>
  <c r="I54" i="183"/>
  <c r="L54" i="183"/>
  <c r="O54" i="183"/>
  <c r="G54" i="183"/>
  <c r="K54" i="183"/>
  <c r="H54" i="183"/>
  <c r="F54" i="183"/>
  <c r="N54" i="183"/>
  <c r="M54" i="183"/>
  <c r="N55" i="183"/>
  <c r="H55" i="183"/>
  <c r="J55" i="183"/>
  <c r="O55" i="183"/>
  <c r="F55" i="183"/>
  <c r="K55" i="183"/>
  <c r="I55" i="183"/>
  <c r="G55" i="183"/>
  <c r="Q55" i="183" s="1"/>
  <c r="P55" i="183"/>
  <c r="M55" i="183"/>
  <c r="L55" i="183"/>
  <c r="J64" i="183"/>
  <c r="I64" i="183"/>
  <c r="G64" i="183"/>
  <c r="L64" i="183"/>
  <c r="F64" i="183"/>
  <c r="O64" i="183" s="1"/>
  <c r="N64" i="183"/>
  <c r="M64" i="183"/>
  <c r="K64" i="183"/>
  <c r="H64" i="183"/>
  <c r="F68" i="183"/>
  <c r="R68" i="183" s="1"/>
  <c r="L27" i="183"/>
  <c r="F27" i="183"/>
  <c r="P27" i="183"/>
  <c r="I27" i="183"/>
  <c r="M27" i="183"/>
  <c r="G27" i="183"/>
  <c r="N27" i="183"/>
  <c r="K27" i="183"/>
  <c r="J27" i="183"/>
  <c r="H27" i="183"/>
  <c r="O27" i="183"/>
  <c r="Q27" i="183" s="1"/>
  <c r="I42" i="183"/>
  <c r="I45" i="183" s="1"/>
  <c r="D45" i="183"/>
  <c r="D92" i="183"/>
  <c r="F89" i="183"/>
  <c r="R30" i="182"/>
  <c r="R75" i="182"/>
  <c r="F43" i="182"/>
  <c r="F45" i="182" s="1"/>
  <c r="M17" i="182"/>
  <c r="G17" i="182"/>
  <c r="K17" i="182"/>
  <c r="J17" i="182"/>
  <c r="I17" i="182"/>
  <c r="O17" i="182"/>
  <c r="P17" i="182"/>
  <c r="H17" i="182"/>
  <c r="F17" i="182"/>
  <c r="Q17" i="182" s="1"/>
  <c r="L17" i="182"/>
  <c r="N17" i="182"/>
  <c r="J53" i="182"/>
  <c r="I53" i="182"/>
  <c r="N53" i="182"/>
  <c r="G53" i="182"/>
  <c r="M53" i="182"/>
  <c r="K53" i="182"/>
  <c r="L53" i="182"/>
  <c r="H53" i="182"/>
  <c r="F53" i="182"/>
  <c r="M73" i="182"/>
  <c r="G73" i="182"/>
  <c r="I73" i="182"/>
  <c r="N73" i="182"/>
  <c r="F73" i="182"/>
  <c r="L73" i="182"/>
  <c r="J73" i="182"/>
  <c r="K73" i="182"/>
  <c r="H73" i="182"/>
  <c r="K12" i="182"/>
  <c r="I12" i="182"/>
  <c r="N12" i="182"/>
  <c r="F12" i="182"/>
  <c r="O12" i="182" s="1"/>
  <c r="M12" i="182"/>
  <c r="L12" i="182"/>
  <c r="G12" i="182"/>
  <c r="J12" i="182"/>
  <c r="H12" i="182"/>
  <c r="N32" i="182"/>
  <c r="H32" i="182"/>
  <c r="L32" i="182"/>
  <c r="J32" i="182"/>
  <c r="P32" i="182"/>
  <c r="F32" i="182"/>
  <c r="Q32" i="182" s="1"/>
  <c r="O32" i="182"/>
  <c r="M32" i="182"/>
  <c r="K32" i="182"/>
  <c r="G32" i="182"/>
  <c r="I32" i="182"/>
  <c r="I42" i="182"/>
  <c r="I45" i="182" s="1"/>
  <c r="D45" i="182"/>
  <c r="J64" i="182"/>
  <c r="L64" i="182"/>
  <c r="I64" i="182"/>
  <c r="M64" i="182"/>
  <c r="H64" i="182"/>
  <c r="F64" i="182"/>
  <c r="N64" i="182"/>
  <c r="K64" i="182"/>
  <c r="G64" i="182"/>
  <c r="D83" i="182"/>
  <c r="F79" i="182"/>
  <c r="R79" i="182"/>
  <c r="O50" i="182"/>
  <c r="R50" i="182" s="1"/>
  <c r="K46" i="182"/>
  <c r="K47" i="182" s="1"/>
  <c r="D47" i="182"/>
  <c r="N46" i="182"/>
  <c r="N47" i="182" s="1"/>
  <c r="F46" i="182"/>
  <c r="F47" i="182" s="1"/>
  <c r="F24" i="182"/>
  <c r="R24" i="182" s="1"/>
  <c r="L24" i="182"/>
  <c r="J52" i="182"/>
  <c r="N52" i="182"/>
  <c r="G52" i="182"/>
  <c r="L52" i="182"/>
  <c r="K52" i="182"/>
  <c r="H52" i="182"/>
  <c r="F52" i="182"/>
  <c r="M52" i="182"/>
  <c r="I52" i="182"/>
  <c r="F89" i="182"/>
  <c r="L89" i="182"/>
  <c r="M26" i="182"/>
  <c r="J26" i="182"/>
  <c r="P26" i="182"/>
  <c r="F26" i="182"/>
  <c r="O26" i="182"/>
  <c r="O37" i="182" s="1"/>
  <c r="K26" i="182"/>
  <c r="D37" i="182"/>
  <c r="N26" i="182"/>
  <c r="H26" i="182"/>
  <c r="I26" i="182"/>
  <c r="R60" i="182"/>
  <c r="F60" i="182"/>
  <c r="Q3" i="182"/>
  <c r="R3" i="182" s="1"/>
  <c r="Q5" i="182"/>
  <c r="R5" i="182" s="1"/>
  <c r="M61" i="182"/>
  <c r="G61" i="182"/>
  <c r="K61" i="182"/>
  <c r="P61" i="182"/>
  <c r="I61" i="182"/>
  <c r="L61" i="182"/>
  <c r="H61" i="182"/>
  <c r="J61" i="182"/>
  <c r="F61" i="182"/>
  <c r="N61" i="182"/>
  <c r="O61" i="182"/>
  <c r="M72" i="182"/>
  <c r="G72" i="182"/>
  <c r="G76" i="182" s="1"/>
  <c r="N72" i="182"/>
  <c r="N76" i="182" s="1"/>
  <c r="F72" i="182"/>
  <c r="O72" i="182" s="1"/>
  <c r="K72" i="182"/>
  <c r="K76" i="182" s="1"/>
  <c r="J72" i="182"/>
  <c r="J76" i="182" s="1"/>
  <c r="H72" i="182"/>
  <c r="L72" i="182"/>
  <c r="L76" i="182" s="1"/>
  <c r="I72" i="182"/>
  <c r="I76" i="182" s="1"/>
  <c r="K27" i="182"/>
  <c r="O27" i="182"/>
  <c r="I27" i="182"/>
  <c r="L27" i="182"/>
  <c r="L37" i="182" s="1"/>
  <c r="G27" i="182"/>
  <c r="J27" i="182"/>
  <c r="H27" i="182"/>
  <c r="P27" i="182"/>
  <c r="M27" i="182"/>
  <c r="F27" i="182"/>
  <c r="N27" i="182"/>
  <c r="F11" i="182"/>
  <c r="R11" i="182"/>
  <c r="O14" i="182"/>
  <c r="I14" i="182"/>
  <c r="M14" i="182"/>
  <c r="R14" i="182" s="1"/>
  <c r="G14" i="182"/>
  <c r="P14" i="182"/>
  <c r="F14" i="182"/>
  <c r="N14" i="182"/>
  <c r="L14" i="182"/>
  <c r="Q14" i="182"/>
  <c r="K14" i="182"/>
  <c r="J14" i="182"/>
  <c r="H14" i="182"/>
  <c r="P10" i="182"/>
  <c r="J10" i="182"/>
  <c r="J25" i="182" s="1"/>
  <c r="N10" i="182"/>
  <c r="H10" i="182"/>
  <c r="M10" i="182"/>
  <c r="L10" i="182"/>
  <c r="K10" i="182"/>
  <c r="F10" i="182"/>
  <c r="I10" i="182"/>
  <c r="O10" i="182"/>
  <c r="G10" i="182"/>
  <c r="Q4" i="182"/>
  <c r="R4" i="182" s="1"/>
  <c r="P7" i="182"/>
  <c r="J7" i="182"/>
  <c r="N7" i="182"/>
  <c r="H7" i="182"/>
  <c r="K7" i="182"/>
  <c r="I7" i="182"/>
  <c r="G7" i="182"/>
  <c r="Q7" i="182" s="1"/>
  <c r="L7" i="182"/>
  <c r="O7" i="182"/>
  <c r="F7" i="182"/>
  <c r="M7" i="182"/>
  <c r="P28" i="182"/>
  <c r="J28" i="182"/>
  <c r="K28" i="182"/>
  <c r="Q28" i="182" s="1"/>
  <c r="O28" i="182"/>
  <c r="H28" i="182"/>
  <c r="G28" i="182"/>
  <c r="F28" i="182"/>
  <c r="R28" i="182" s="1"/>
  <c r="M28" i="182"/>
  <c r="N28" i="182"/>
  <c r="I28" i="182"/>
  <c r="L28" i="182"/>
  <c r="F82" i="182"/>
  <c r="R82" i="182" s="1"/>
  <c r="O16" i="182"/>
  <c r="I16" i="182"/>
  <c r="M16" i="182"/>
  <c r="G16" i="182"/>
  <c r="P16" i="182"/>
  <c r="F16" i="182"/>
  <c r="Q16" i="182" s="1"/>
  <c r="R16" i="182" s="1"/>
  <c r="N16" i="182"/>
  <c r="L16" i="182"/>
  <c r="K16" i="182"/>
  <c r="J16" i="182"/>
  <c r="H16" i="182"/>
  <c r="N29" i="182"/>
  <c r="H29" i="182"/>
  <c r="K29" i="182"/>
  <c r="P29" i="182"/>
  <c r="I29" i="182"/>
  <c r="O29" i="182"/>
  <c r="M29" i="182"/>
  <c r="L29" i="182"/>
  <c r="J29" i="182"/>
  <c r="G29" i="182"/>
  <c r="F29" i="182"/>
  <c r="K13" i="182"/>
  <c r="O13" i="182"/>
  <c r="I13" i="182"/>
  <c r="L13" i="182"/>
  <c r="J13" i="182"/>
  <c r="H13" i="182"/>
  <c r="M13" i="182"/>
  <c r="P13" i="182"/>
  <c r="G13" i="182"/>
  <c r="F13" i="182"/>
  <c r="Q13" i="182" s="1"/>
  <c r="N13" i="182"/>
  <c r="L33" i="182"/>
  <c r="M33" i="182"/>
  <c r="F33" i="182"/>
  <c r="Q33" i="182" s="1"/>
  <c r="N33" i="182"/>
  <c r="J33" i="182"/>
  <c r="O33" i="182"/>
  <c r="K33" i="182"/>
  <c r="H33" i="182"/>
  <c r="I33" i="182"/>
  <c r="P33" i="182"/>
  <c r="G33" i="182"/>
  <c r="J49" i="182"/>
  <c r="N49" i="182"/>
  <c r="G49" i="182"/>
  <c r="L49" i="182"/>
  <c r="H49" i="182"/>
  <c r="O49" i="182" s="1"/>
  <c r="D70" i="182"/>
  <c r="K49" i="182"/>
  <c r="I49" i="182"/>
  <c r="F49" i="182"/>
  <c r="M49" i="182"/>
  <c r="H67" i="182"/>
  <c r="R67" i="182"/>
  <c r="R81" i="182"/>
  <c r="F81" i="182"/>
  <c r="L88" i="182"/>
  <c r="O74" i="182"/>
  <c r="R74" i="182" s="1"/>
  <c r="P6" i="182"/>
  <c r="P25" i="182" s="1"/>
  <c r="J6" i="182"/>
  <c r="I6" i="182"/>
  <c r="I25" i="182" s="1"/>
  <c r="O6" i="182"/>
  <c r="H6" i="182"/>
  <c r="H25" i="182" s="1"/>
  <c r="N6" i="182"/>
  <c r="N25" i="182" s="1"/>
  <c r="G6" i="182"/>
  <c r="K6" i="182"/>
  <c r="M6" i="182"/>
  <c r="M25" i="182" s="1"/>
  <c r="F6" i="182"/>
  <c r="Q6" i="182" s="1"/>
  <c r="R6" i="182" s="1"/>
  <c r="L6" i="182"/>
  <c r="L25" i="182" s="1"/>
  <c r="L48" i="182" s="1"/>
  <c r="Q90" i="182"/>
  <c r="L90" i="182" s="1"/>
  <c r="R90" i="182" s="1"/>
  <c r="P57" i="182"/>
  <c r="J57" i="182"/>
  <c r="M57" i="182"/>
  <c r="F57" i="182"/>
  <c r="K57" i="182"/>
  <c r="N57" i="182"/>
  <c r="I57" i="182"/>
  <c r="G57" i="182"/>
  <c r="O57" i="182"/>
  <c r="H57" i="182"/>
  <c r="L57" i="182"/>
  <c r="L15" i="182"/>
  <c r="R15" i="182"/>
  <c r="F15" i="182"/>
  <c r="L44" i="182"/>
  <c r="L45" i="182" s="1"/>
  <c r="R44" i="182"/>
  <c r="J51" i="182"/>
  <c r="L51" i="182"/>
  <c r="I51" i="182"/>
  <c r="F51" i="182"/>
  <c r="O51" i="182" s="1"/>
  <c r="M51" i="182"/>
  <c r="N51" i="182"/>
  <c r="K51" i="182"/>
  <c r="H51" i="182"/>
  <c r="G51" i="182"/>
  <c r="D87" i="182"/>
  <c r="F25" i="182"/>
  <c r="Q9" i="182"/>
  <c r="R9" i="182" s="1"/>
  <c r="L59" i="182"/>
  <c r="F59" i="182"/>
  <c r="N59" i="182"/>
  <c r="G59" i="182"/>
  <c r="K59" i="182"/>
  <c r="H59" i="182"/>
  <c r="O59" i="182"/>
  <c r="J59" i="182"/>
  <c r="I59" i="182"/>
  <c r="P59" i="182"/>
  <c r="M59" i="182"/>
  <c r="N58" i="182"/>
  <c r="H58" i="182"/>
  <c r="M58" i="182"/>
  <c r="F58" i="182"/>
  <c r="K58" i="182"/>
  <c r="J58" i="182"/>
  <c r="G58" i="182"/>
  <c r="I58" i="182"/>
  <c r="P58" i="182"/>
  <c r="O58" i="182"/>
  <c r="L58" i="182"/>
  <c r="R68" i="182"/>
  <c r="F68" i="182"/>
  <c r="P54" i="182"/>
  <c r="J54" i="182"/>
  <c r="L54" i="182"/>
  <c r="I54" i="182"/>
  <c r="M54" i="182"/>
  <c r="H54" i="182"/>
  <c r="O54" i="182"/>
  <c r="G54" i="182"/>
  <c r="N54" i="182"/>
  <c r="K54" i="182"/>
  <c r="F54" i="182"/>
  <c r="Q54" i="182" s="1"/>
  <c r="F69" i="182"/>
  <c r="R69" i="182" s="1"/>
  <c r="L69" i="182"/>
  <c r="F36" i="182"/>
  <c r="R36" i="182" s="1"/>
  <c r="L36" i="182"/>
  <c r="R80" i="182"/>
  <c r="F80" i="182"/>
  <c r="F63" i="182"/>
  <c r="R63" i="182" s="1"/>
  <c r="N55" i="182"/>
  <c r="H55" i="182"/>
  <c r="L55" i="182"/>
  <c r="J55" i="182"/>
  <c r="I55" i="182"/>
  <c r="P55" i="182"/>
  <c r="F55" i="182"/>
  <c r="O55" i="182"/>
  <c r="M55" i="182"/>
  <c r="K55" i="182"/>
  <c r="G55" i="182"/>
  <c r="I62" i="182"/>
  <c r="N62" i="182" s="1"/>
  <c r="R62" i="182" s="1"/>
  <c r="H94" i="182"/>
  <c r="R94" i="182" s="1"/>
  <c r="O94" i="182"/>
  <c r="G25" i="182"/>
  <c r="D25" i="182"/>
  <c r="F71" i="182"/>
  <c r="D76" i="182"/>
  <c r="D109" i="182" s="1"/>
  <c r="J66" i="182"/>
  <c r="O66" i="182" s="1"/>
  <c r="I66" i="182"/>
  <c r="N66" i="182"/>
  <c r="G66" i="182"/>
  <c r="K66" i="182"/>
  <c r="F66" i="182"/>
  <c r="M66" i="182"/>
  <c r="L66" i="182"/>
  <c r="H66" i="182"/>
  <c r="N8" i="182"/>
  <c r="H8" i="182"/>
  <c r="L8" i="182"/>
  <c r="F8" i="182"/>
  <c r="O8" i="182"/>
  <c r="M8" i="182"/>
  <c r="K8" i="182"/>
  <c r="P8" i="182"/>
  <c r="Q8" i="182" s="1"/>
  <c r="J8" i="182"/>
  <c r="I8" i="182"/>
  <c r="G8" i="182"/>
  <c r="D92" i="182"/>
  <c r="P31" i="182"/>
  <c r="J31" i="182"/>
  <c r="L31" i="182"/>
  <c r="I31" i="182"/>
  <c r="H31" i="182"/>
  <c r="G31" i="182"/>
  <c r="O31" i="182"/>
  <c r="F31" i="182"/>
  <c r="Q31" i="182" s="1"/>
  <c r="N31" i="182"/>
  <c r="M31" i="182"/>
  <c r="K31" i="182"/>
  <c r="J65" i="182"/>
  <c r="N65" i="182"/>
  <c r="G65" i="182"/>
  <c r="O65" i="182" s="1"/>
  <c r="L65" i="182"/>
  <c r="K65" i="182"/>
  <c r="H65" i="182"/>
  <c r="I65" i="182"/>
  <c r="F65" i="182"/>
  <c r="R65" i="182" s="1"/>
  <c r="M65" i="182"/>
  <c r="L56" i="182"/>
  <c r="F56" i="182"/>
  <c r="M56" i="182"/>
  <c r="J56" i="182"/>
  <c r="P56" i="182"/>
  <c r="G56" i="182"/>
  <c r="N56" i="182"/>
  <c r="K56" i="182"/>
  <c r="O56" i="182"/>
  <c r="I56" i="182"/>
  <c r="H56" i="182"/>
  <c r="Q56" i="182" s="1"/>
  <c r="N77" i="182"/>
  <c r="H77" i="182"/>
  <c r="R77" i="182"/>
  <c r="D93" i="182"/>
  <c r="R24" i="181"/>
  <c r="L59" i="181"/>
  <c r="F59" i="181"/>
  <c r="J59" i="181"/>
  <c r="O59" i="181"/>
  <c r="G59" i="181"/>
  <c r="Q59" i="181" s="1"/>
  <c r="K59" i="181"/>
  <c r="H59" i="181"/>
  <c r="P59" i="181"/>
  <c r="N59" i="181"/>
  <c r="M59" i="181"/>
  <c r="I59" i="181"/>
  <c r="G92" i="181"/>
  <c r="I92" i="181"/>
  <c r="J92" i="181"/>
  <c r="L92" i="181"/>
  <c r="M92" i="181" s="1"/>
  <c r="K92" i="181"/>
  <c r="H92" i="181"/>
  <c r="F92" i="181"/>
  <c r="O75" i="181"/>
  <c r="R31" i="181"/>
  <c r="F76" i="181"/>
  <c r="J51" i="181"/>
  <c r="H51" i="181"/>
  <c r="R51" i="181" s="1"/>
  <c r="I51" i="181"/>
  <c r="M51" i="181"/>
  <c r="K51" i="181"/>
  <c r="G51" i="181"/>
  <c r="F51" i="181"/>
  <c r="O51" i="181" s="1"/>
  <c r="N51" i="181"/>
  <c r="L51" i="181"/>
  <c r="D83" i="181"/>
  <c r="R79" i="181"/>
  <c r="F79" i="181"/>
  <c r="O52" i="181"/>
  <c r="Q55" i="181"/>
  <c r="R55" i="181" s="1"/>
  <c r="J50" i="181"/>
  <c r="M50" i="181"/>
  <c r="F50" i="181"/>
  <c r="L50" i="181"/>
  <c r="H50" i="181"/>
  <c r="I50" i="181"/>
  <c r="G50" i="181"/>
  <c r="O50" i="181" s="1"/>
  <c r="K50" i="181"/>
  <c r="N50" i="181"/>
  <c r="O4" i="181"/>
  <c r="I4" i="181"/>
  <c r="M4" i="181"/>
  <c r="F4" i="181"/>
  <c r="L4" i="181"/>
  <c r="G4" i="181"/>
  <c r="P4" i="181"/>
  <c r="N4" i="181"/>
  <c r="H4" i="181"/>
  <c r="Q4" i="181" s="1"/>
  <c r="K4" i="181"/>
  <c r="J4" i="181"/>
  <c r="P57" i="181"/>
  <c r="P70" i="181" s="1"/>
  <c r="P78" i="181" s="1"/>
  <c r="J57" i="181"/>
  <c r="I57" i="181"/>
  <c r="H57" i="181"/>
  <c r="M57" i="181"/>
  <c r="K57" i="181"/>
  <c r="G57" i="181"/>
  <c r="F57" i="181"/>
  <c r="Q57" i="181" s="1"/>
  <c r="O57" i="181"/>
  <c r="N57" i="181"/>
  <c r="L57" i="181"/>
  <c r="K14" i="181"/>
  <c r="N14" i="181"/>
  <c r="H14" i="181"/>
  <c r="M14" i="181"/>
  <c r="L14" i="181"/>
  <c r="O14" i="181"/>
  <c r="Q14" i="181" s="1"/>
  <c r="I14" i="181"/>
  <c r="J14" i="181"/>
  <c r="G14" i="181"/>
  <c r="F14" i="181"/>
  <c r="R14" i="181" s="1"/>
  <c r="P14" i="181"/>
  <c r="K27" i="181"/>
  <c r="P27" i="181"/>
  <c r="I27" i="181"/>
  <c r="M27" i="181"/>
  <c r="M37" i="181" s="1"/>
  <c r="F27" i="181"/>
  <c r="N27" i="181"/>
  <c r="L27" i="181"/>
  <c r="J27" i="181"/>
  <c r="H27" i="181"/>
  <c r="G27" i="181"/>
  <c r="D37" i="181"/>
  <c r="O27" i="181"/>
  <c r="M73" i="181"/>
  <c r="G73" i="181"/>
  <c r="L73" i="181"/>
  <c r="O73" i="181"/>
  <c r="F73" i="181"/>
  <c r="J73" i="181"/>
  <c r="K73" i="181"/>
  <c r="I73" i="181"/>
  <c r="H73" i="181"/>
  <c r="R73" i="181"/>
  <c r="N73" i="181"/>
  <c r="F81" i="181"/>
  <c r="R81" i="181" s="1"/>
  <c r="R74" i="181"/>
  <c r="R17" i="181"/>
  <c r="R54" i="181"/>
  <c r="L15" i="181"/>
  <c r="R15" i="181" s="1"/>
  <c r="R8" i="181"/>
  <c r="J64" i="181"/>
  <c r="H64" i="181"/>
  <c r="O64" i="181" s="1"/>
  <c r="L64" i="181"/>
  <c r="G64" i="181"/>
  <c r="R64" i="181" s="1"/>
  <c r="I64" i="181"/>
  <c r="F64" i="181"/>
  <c r="K64" i="181"/>
  <c r="N64" i="181"/>
  <c r="M64" i="181"/>
  <c r="F69" i="181"/>
  <c r="L69" i="181" s="1"/>
  <c r="R69" i="181" s="1"/>
  <c r="M29" i="181"/>
  <c r="G29" i="181"/>
  <c r="R29" i="181" s="1"/>
  <c r="J29" i="181"/>
  <c r="N29" i="181"/>
  <c r="F29" i="181"/>
  <c r="Q29" i="181" s="1"/>
  <c r="H29" i="181"/>
  <c r="H37" i="181" s="1"/>
  <c r="P29" i="181"/>
  <c r="O29" i="181"/>
  <c r="L29" i="181"/>
  <c r="K29" i="181"/>
  <c r="I29" i="181"/>
  <c r="Q26" i="181"/>
  <c r="R26" i="181" s="1"/>
  <c r="F82" i="181"/>
  <c r="R82" i="181" s="1"/>
  <c r="J49" i="181"/>
  <c r="D70" i="181"/>
  <c r="K49" i="181"/>
  <c r="G49" i="181"/>
  <c r="L49" i="181"/>
  <c r="H49" i="181"/>
  <c r="F49" i="181"/>
  <c r="N49" i="181"/>
  <c r="M49" i="181"/>
  <c r="I49" i="181"/>
  <c r="K3" i="181"/>
  <c r="M3" i="181"/>
  <c r="F3" i="181"/>
  <c r="L3" i="181"/>
  <c r="I3" i="181"/>
  <c r="H3" i="181"/>
  <c r="P3" i="181"/>
  <c r="G3" i="181"/>
  <c r="J3" i="181"/>
  <c r="O3" i="181"/>
  <c r="N3" i="181"/>
  <c r="D25" i="181"/>
  <c r="J65" i="181"/>
  <c r="K65" i="181"/>
  <c r="H65" i="181"/>
  <c r="M65" i="181"/>
  <c r="I65" i="181"/>
  <c r="G65" i="181"/>
  <c r="F65" i="181"/>
  <c r="O65" i="181" s="1"/>
  <c r="N65" i="181"/>
  <c r="L65" i="181"/>
  <c r="K16" i="181"/>
  <c r="N16" i="181"/>
  <c r="H16" i="181"/>
  <c r="M16" i="181"/>
  <c r="L16" i="181"/>
  <c r="I16" i="181"/>
  <c r="G16" i="181"/>
  <c r="Q16" i="181" s="1"/>
  <c r="F16" i="181"/>
  <c r="P16" i="181"/>
  <c r="O16" i="181"/>
  <c r="J16" i="181"/>
  <c r="K30" i="181"/>
  <c r="Q30" i="181" s="1"/>
  <c r="J30" i="181"/>
  <c r="N30" i="181"/>
  <c r="G30" i="181"/>
  <c r="O30" i="181"/>
  <c r="M30" i="181"/>
  <c r="L30" i="181"/>
  <c r="I30" i="181"/>
  <c r="H30" i="181"/>
  <c r="F30" i="181"/>
  <c r="P30" i="181"/>
  <c r="P37" i="181" s="1"/>
  <c r="Q90" i="181"/>
  <c r="F89" i="181"/>
  <c r="R89" i="181" s="1"/>
  <c r="L89" i="181"/>
  <c r="J12" i="181"/>
  <c r="M12" i="181"/>
  <c r="F12" i="181"/>
  <c r="O12" i="181" s="1"/>
  <c r="R12" i="181" s="1"/>
  <c r="L12" i="181"/>
  <c r="N12" i="181"/>
  <c r="I12" i="181"/>
  <c r="K12" i="181"/>
  <c r="H12" i="181"/>
  <c r="G12" i="181"/>
  <c r="L44" i="181"/>
  <c r="L45" i="181" s="1"/>
  <c r="R44" i="181"/>
  <c r="L24" i="181"/>
  <c r="N58" i="181"/>
  <c r="H58" i="181"/>
  <c r="J58" i="181"/>
  <c r="L58" i="181"/>
  <c r="P58" i="181"/>
  <c r="G58" i="181"/>
  <c r="I58" i="181"/>
  <c r="F58" i="181"/>
  <c r="Q58" i="181" s="1"/>
  <c r="K58" i="181"/>
  <c r="R58" i="181" s="1"/>
  <c r="O58" i="181"/>
  <c r="M58" i="181"/>
  <c r="D93" i="181"/>
  <c r="R75" i="181"/>
  <c r="M32" i="181"/>
  <c r="G32" i="181"/>
  <c r="K32" i="181"/>
  <c r="O32" i="181"/>
  <c r="H32" i="181"/>
  <c r="I32" i="181"/>
  <c r="F32" i="181"/>
  <c r="Q32" i="181" s="1"/>
  <c r="P32" i="181"/>
  <c r="N32" i="181"/>
  <c r="L32" i="181"/>
  <c r="J32" i="181"/>
  <c r="K6" i="181"/>
  <c r="N6" i="181"/>
  <c r="G6" i="181"/>
  <c r="M6" i="181"/>
  <c r="F6" i="181"/>
  <c r="Q6" i="181" s="1"/>
  <c r="J6" i="181"/>
  <c r="I6" i="181"/>
  <c r="H6" i="181"/>
  <c r="L6" i="181"/>
  <c r="P6" i="181"/>
  <c r="O6" i="181"/>
  <c r="M72" i="181"/>
  <c r="M76" i="181" s="1"/>
  <c r="G72" i="181"/>
  <c r="G76" i="181" s="1"/>
  <c r="J72" i="181"/>
  <c r="I72" i="181"/>
  <c r="I76" i="181" s="1"/>
  <c r="N72" i="181"/>
  <c r="N76" i="181" s="1"/>
  <c r="K72" i="181"/>
  <c r="H72" i="181"/>
  <c r="F72" i="181"/>
  <c r="L72" i="181"/>
  <c r="L76" i="181" s="1"/>
  <c r="L56" i="181"/>
  <c r="F56" i="181"/>
  <c r="R56" i="181" s="1"/>
  <c r="P56" i="181"/>
  <c r="I56" i="181"/>
  <c r="N56" i="181"/>
  <c r="J56" i="181"/>
  <c r="K56" i="181"/>
  <c r="H56" i="181"/>
  <c r="G56" i="181"/>
  <c r="M56" i="181"/>
  <c r="Q56" i="181"/>
  <c r="O56" i="181"/>
  <c r="L33" i="181"/>
  <c r="K33" i="181"/>
  <c r="M33" i="181"/>
  <c r="P33" i="181"/>
  <c r="H33" i="181"/>
  <c r="F33" i="181"/>
  <c r="O33" i="181"/>
  <c r="N33" i="181"/>
  <c r="J33" i="181"/>
  <c r="I33" i="181"/>
  <c r="G33" i="181"/>
  <c r="Q7" i="181"/>
  <c r="R7" i="181" s="1"/>
  <c r="Q47" i="181"/>
  <c r="R47" i="181"/>
  <c r="R28" i="181"/>
  <c r="R10" i="181"/>
  <c r="I42" i="181"/>
  <c r="I45" i="181" s="1"/>
  <c r="D45" i="181"/>
  <c r="R42" i="181"/>
  <c r="H77" i="181"/>
  <c r="R77" i="181"/>
  <c r="N77" i="181"/>
  <c r="M5" i="181"/>
  <c r="G5" i="181"/>
  <c r="N5" i="181"/>
  <c r="F5" i="181"/>
  <c r="L5" i="181"/>
  <c r="O5" i="181"/>
  <c r="K5" i="181"/>
  <c r="J5" i="181"/>
  <c r="P5" i="181"/>
  <c r="I5" i="181"/>
  <c r="H5" i="181"/>
  <c r="F68" i="181"/>
  <c r="R68" i="181" s="1"/>
  <c r="D109" i="181"/>
  <c r="F60" i="181"/>
  <c r="R60" i="181" s="1"/>
  <c r="N37" i="181"/>
  <c r="K9" i="181"/>
  <c r="O9" i="181"/>
  <c r="H9" i="181"/>
  <c r="N9" i="181"/>
  <c r="G9" i="181"/>
  <c r="L9" i="181"/>
  <c r="Q9" i="181" s="1"/>
  <c r="J9" i="181"/>
  <c r="I9" i="181"/>
  <c r="F9" i="181"/>
  <c r="P9" i="181"/>
  <c r="M9" i="181"/>
  <c r="D87" i="181"/>
  <c r="F88" i="181"/>
  <c r="J66" i="181"/>
  <c r="M66" i="181"/>
  <c r="F66" i="181"/>
  <c r="O66" i="181" s="1"/>
  <c r="N66" i="181"/>
  <c r="I66" i="181"/>
  <c r="K66" i="181"/>
  <c r="H66" i="181"/>
  <c r="R66" i="181" s="1"/>
  <c r="G66" i="181"/>
  <c r="L66" i="181"/>
  <c r="F36" i="181"/>
  <c r="L36" i="181" s="1"/>
  <c r="I62" i="181"/>
  <c r="H94" i="181"/>
  <c r="O94" i="181"/>
  <c r="R94" i="181"/>
  <c r="Q61" i="181"/>
  <c r="R61" i="181" s="1"/>
  <c r="R52" i="181"/>
  <c r="R71" i="181"/>
  <c r="R7" i="180"/>
  <c r="R8" i="180"/>
  <c r="I25" i="180"/>
  <c r="R59" i="180"/>
  <c r="R29" i="180"/>
  <c r="R17" i="180"/>
  <c r="R52" i="180"/>
  <c r="H94" i="180"/>
  <c r="O94" i="180" s="1"/>
  <c r="R94" i="180" s="1"/>
  <c r="J64" i="180"/>
  <c r="L64" i="180"/>
  <c r="M64" i="180"/>
  <c r="K64" i="180"/>
  <c r="I64" i="180"/>
  <c r="H64" i="180"/>
  <c r="G64" i="180"/>
  <c r="O64" i="180" s="1"/>
  <c r="R64" i="180" s="1"/>
  <c r="F64" i="180"/>
  <c r="N64" i="180"/>
  <c r="H77" i="180"/>
  <c r="N77" i="180" s="1"/>
  <c r="K75" i="180"/>
  <c r="M75" i="180"/>
  <c r="G75" i="180"/>
  <c r="I75" i="180"/>
  <c r="L75" i="180"/>
  <c r="O75" i="180" s="1"/>
  <c r="J75" i="180"/>
  <c r="H75" i="180"/>
  <c r="F75" i="180"/>
  <c r="N75" i="180"/>
  <c r="H37" i="180"/>
  <c r="O52" i="180"/>
  <c r="Q13" i="180"/>
  <c r="R13" i="180"/>
  <c r="Q8" i="180"/>
  <c r="Q59" i="180"/>
  <c r="K46" i="180"/>
  <c r="K47" i="180" s="1"/>
  <c r="D47" i="180"/>
  <c r="F46" i="180"/>
  <c r="F47" i="180" s="1"/>
  <c r="R46" i="180"/>
  <c r="N46" i="180"/>
  <c r="N47" i="180" s="1"/>
  <c r="R67" i="180"/>
  <c r="H67" i="180"/>
  <c r="D83" i="180"/>
  <c r="F79" i="180"/>
  <c r="F83" i="180" s="1"/>
  <c r="Q90" i="180"/>
  <c r="L90" i="180" s="1"/>
  <c r="R90" i="180" s="1"/>
  <c r="Q33" i="180"/>
  <c r="R33" i="180" s="1"/>
  <c r="M37" i="180"/>
  <c r="Q7" i="180"/>
  <c r="R10" i="180"/>
  <c r="R12" i="180"/>
  <c r="R5" i="180"/>
  <c r="R73" i="180"/>
  <c r="I62" i="180"/>
  <c r="N62" i="180" s="1"/>
  <c r="R62" i="180" s="1"/>
  <c r="D78" i="180"/>
  <c r="O66" i="180"/>
  <c r="R66" i="180" s="1"/>
  <c r="P57" i="180"/>
  <c r="J57" i="180"/>
  <c r="M57" i="180"/>
  <c r="F57" i="180"/>
  <c r="Q57" i="180" s="1"/>
  <c r="I57" i="180"/>
  <c r="N57" i="180"/>
  <c r="L57" i="180"/>
  <c r="O57" i="180"/>
  <c r="K57" i="180"/>
  <c r="R57" i="180" s="1"/>
  <c r="H57" i="180"/>
  <c r="G57" i="180"/>
  <c r="J51" i="180"/>
  <c r="L51" i="180"/>
  <c r="L70" i="180" s="1"/>
  <c r="I51" i="180"/>
  <c r="I70" i="180" s="1"/>
  <c r="N51" i="180"/>
  <c r="F51" i="180"/>
  <c r="O51" i="180" s="1"/>
  <c r="M51" i="180"/>
  <c r="H51" i="180"/>
  <c r="G51" i="180"/>
  <c r="G70" i="180" s="1"/>
  <c r="K51" i="180"/>
  <c r="K70" i="180" s="1"/>
  <c r="F80" i="180"/>
  <c r="R80" i="180" s="1"/>
  <c r="F81" i="180"/>
  <c r="R81" i="180" s="1"/>
  <c r="L93" i="180"/>
  <c r="F93" i="180"/>
  <c r="N93" i="180"/>
  <c r="H93" i="180"/>
  <c r="J93" i="180"/>
  <c r="P93" i="180"/>
  <c r="O93" i="180"/>
  <c r="M93" i="180"/>
  <c r="K93" i="180"/>
  <c r="I93" i="180"/>
  <c r="G93" i="180"/>
  <c r="Q93" i="180" s="1"/>
  <c r="I37" i="180"/>
  <c r="Q4" i="180"/>
  <c r="R4" i="180" s="1"/>
  <c r="K14" i="180"/>
  <c r="K25" i="180" s="1"/>
  <c r="K48" i="180" s="1"/>
  <c r="K2" i="180" s="1"/>
  <c r="K95" i="180" s="1"/>
  <c r="P14" i="180"/>
  <c r="I14" i="180"/>
  <c r="O14" i="180"/>
  <c r="O25" i="180" s="1"/>
  <c r="O48" i="180" s="1"/>
  <c r="H14" i="180"/>
  <c r="N14" i="180"/>
  <c r="N25" i="180" s="1"/>
  <c r="N48" i="180" s="1"/>
  <c r="G14" i="180"/>
  <c r="G25" i="180" s="1"/>
  <c r="G48" i="180" s="1"/>
  <c r="M14" i="180"/>
  <c r="M25" i="180" s="1"/>
  <c r="M48" i="180" s="1"/>
  <c r="M2" i="180" s="1"/>
  <c r="F14" i="180"/>
  <c r="L14" i="180"/>
  <c r="D25" i="180"/>
  <c r="J14" i="180"/>
  <c r="J25" i="180" s="1"/>
  <c r="J48" i="180" s="1"/>
  <c r="F43" i="180"/>
  <c r="F45" i="180" s="1"/>
  <c r="F82" i="180"/>
  <c r="R82" i="180" s="1"/>
  <c r="I42" i="180"/>
  <c r="I45" i="180" s="1"/>
  <c r="D45" i="180"/>
  <c r="R27" i="180"/>
  <c r="Q27" i="180"/>
  <c r="P54" i="180"/>
  <c r="J54" i="180"/>
  <c r="J70" i="180" s="1"/>
  <c r="L54" i="180"/>
  <c r="H54" i="180"/>
  <c r="H70" i="180" s="1"/>
  <c r="M54" i="180"/>
  <c r="K54" i="180"/>
  <c r="G54" i="180"/>
  <c r="F54" i="180"/>
  <c r="Q54" i="180" s="1"/>
  <c r="I54" i="180"/>
  <c r="O54" i="180"/>
  <c r="N54" i="180"/>
  <c r="K92" i="180"/>
  <c r="G92" i="180"/>
  <c r="L92" i="180"/>
  <c r="F92" i="180"/>
  <c r="J92" i="180"/>
  <c r="I92" i="180"/>
  <c r="H92" i="180"/>
  <c r="L89" i="180"/>
  <c r="F89" i="180"/>
  <c r="R89" i="180"/>
  <c r="R3" i="180"/>
  <c r="F25" i="180"/>
  <c r="O49" i="180"/>
  <c r="R49" i="180" s="1"/>
  <c r="Q29" i="180"/>
  <c r="L36" i="180"/>
  <c r="R36" i="180" s="1"/>
  <c r="P37" i="180"/>
  <c r="R9" i="180"/>
  <c r="Q9" i="180"/>
  <c r="Q3" i="180"/>
  <c r="Q32" i="180"/>
  <c r="R32" i="180" s="1"/>
  <c r="J65" i="180"/>
  <c r="N65" i="180"/>
  <c r="G65" i="180"/>
  <c r="I65" i="180"/>
  <c r="H65" i="180"/>
  <c r="O65" i="180"/>
  <c r="R65" i="180" s="1"/>
  <c r="F65" i="180"/>
  <c r="M65" i="180"/>
  <c r="L65" i="180"/>
  <c r="K65" i="180"/>
  <c r="L56" i="180"/>
  <c r="F56" i="180"/>
  <c r="M56" i="180"/>
  <c r="O56" i="180"/>
  <c r="G56" i="180"/>
  <c r="J56" i="180"/>
  <c r="Q56" i="180"/>
  <c r="I56" i="180"/>
  <c r="N56" i="180"/>
  <c r="K56" i="180"/>
  <c r="P56" i="180"/>
  <c r="H56" i="180"/>
  <c r="R56" i="180" s="1"/>
  <c r="Q26" i="180"/>
  <c r="R26" i="180" s="1"/>
  <c r="D87" i="180"/>
  <c r="F88" i="180"/>
  <c r="Q61" i="180"/>
  <c r="R61" i="180" s="1"/>
  <c r="M72" i="180"/>
  <c r="M76" i="180" s="1"/>
  <c r="G72" i="180"/>
  <c r="G76" i="180" s="1"/>
  <c r="N72" i="180"/>
  <c r="F72" i="180"/>
  <c r="F76" i="180" s="1"/>
  <c r="J72" i="180"/>
  <c r="J76" i="180" s="1"/>
  <c r="I72" i="180"/>
  <c r="H72" i="180"/>
  <c r="L72" i="180"/>
  <c r="K72" i="180"/>
  <c r="K76" i="180" s="1"/>
  <c r="K16" i="180"/>
  <c r="M16" i="180"/>
  <c r="F16" i="180"/>
  <c r="L16" i="180"/>
  <c r="L25" i="180" s="1"/>
  <c r="N16" i="180"/>
  <c r="J16" i="180"/>
  <c r="P16" i="180"/>
  <c r="I16" i="180"/>
  <c r="O16" i="180"/>
  <c r="H16" i="180"/>
  <c r="H25" i="180" s="1"/>
  <c r="H48" i="180" s="1"/>
  <c r="G16" i="180"/>
  <c r="Q16" i="180" s="1"/>
  <c r="N55" i="180"/>
  <c r="N70" i="180" s="1"/>
  <c r="H55" i="180"/>
  <c r="L55" i="180"/>
  <c r="K55" i="180"/>
  <c r="P55" i="180"/>
  <c r="G55" i="180"/>
  <c r="O55" i="180"/>
  <c r="F55" i="180"/>
  <c r="J55" i="180"/>
  <c r="I55" i="180"/>
  <c r="M55" i="180"/>
  <c r="M70" i="180" s="1"/>
  <c r="Q28" i="180"/>
  <c r="R28" i="180" s="1"/>
  <c r="O74" i="180"/>
  <c r="R74" i="180" s="1"/>
  <c r="Q6" i="180"/>
  <c r="R6" i="180" s="1"/>
  <c r="R44" i="180"/>
  <c r="R31" i="179"/>
  <c r="R8" i="179"/>
  <c r="J64" i="179"/>
  <c r="I64" i="179"/>
  <c r="L64" i="179"/>
  <c r="K64" i="179"/>
  <c r="N64" i="179"/>
  <c r="F64" i="179"/>
  <c r="O64" i="179" s="1"/>
  <c r="M64" i="179"/>
  <c r="H64" i="179"/>
  <c r="G64" i="179"/>
  <c r="L16" i="179"/>
  <c r="F16" i="179"/>
  <c r="N16" i="179"/>
  <c r="H16" i="179"/>
  <c r="O16" i="179"/>
  <c r="M16" i="179"/>
  <c r="K16" i="179"/>
  <c r="P16" i="179"/>
  <c r="J16" i="179"/>
  <c r="I16" i="179"/>
  <c r="G16" i="179"/>
  <c r="M74" i="179"/>
  <c r="G74" i="179"/>
  <c r="I74" i="179"/>
  <c r="K74" i="179"/>
  <c r="J74" i="179"/>
  <c r="R74" i="179" s="1"/>
  <c r="N74" i="179"/>
  <c r="L74" i="179"/>
  <c r="F74" i="179"/>
  <c r="O74" i="179" s="1"/>
  <c r="H74" i="179"/>
  <c r="O50" i="179"/>
  <c r="R50" i="179" s="1"/>
  <c r="R17" i="179"/>
  <c r="R71" i="179"/>
  <c r="F71" i="179"/>
  <c r="D76" i="179"/>
  <c r="K9" i="179"/>
  <c r="L9" i="179"/>
  <c r="J9" i="179"/>
  <c r="I9" i="179"/>
  <c r="P9" i="179"/>
  <c r="G9" i="179"/>
  <c r="Q9" i="179" s="1"/>
  <c r="O9" i="179"/>
  <c r="F9" i="179"/>
  <c r="R9" i="179" s="1"/>
  <c r="N9" i="179"/>
  <c r="M9" i="179"/>
  <c r="H9" i="179"/>
  <c r="P54" i="179"/>
  <c r="J54" i="179"/>
  <c r="I54" i="179"/>
  <c r="O54" i="179"/>
  <c r="G54" i="179"/>
  <c r="N54" i="179"/>
  <c r="F54" i="179"/>
  <c r="K54" i="179"/>
  <c r="M54" i="179"/>
  <c r="L54" i="179"/>
  <c r="H54" i="179"/>
  <c r="K46" i="179"/>
  <c r="K47" i="179" s="1"/>
  <c r="D47" i="179"/>
  <c r="F46" i="179"/>
  <c r="F47" i="179" s="1"/>
  <c r="N46" i="179"/>
  <c r="N47" i="179" s="1"/>
  <c r="I62" i="179"/>
  <c r="N62" i="179" s="1"/>
  <c r="R62" i="179" s="1"/>
  <c r="H94" i="179"/>
  <c r="O94" i="179" s="1"/>
  <c r="R94" i="179" s="1"/>
  <c r="F24" i="179"/>
  <c r="L24" i="179" s="1"/>
  <c r="R24" i="179" s="1"/>
  <c r="R11" i="179"/>
  <c r="F11" i="179"/>
  <c r="M75" i="179"/>
  <c r="G75" i="179"/>
  <c r="K75" i="179"/>
  <c r="H75" i="179"/>
  <c r="F75" i="179"/>
  <c r="O75" i="179" s="1"/>
  <c r="J75" i="179"/>
  <c r="N75" i="179"/>
  <c r="L75" i="179"/>
  <c r="I75" i="179"/>
  <c r="J53" i="179"/>
  <c r="N53" i="179"/>
  <c r="G53" i="179"/>
  <c r="K53" i="179"/>
  <c r="I53" i="179"/>
  <c r="M53" i="179"/>
  <c r="L53" i="179"/>
  <c r="O53" i="179" s="1"/>
  <c r="H53" i="179"/>
  <c r="F53" i="179"/>
  <c r="R53" i="179" s="1"/>
  <c r="D92" i="179"/>
  <c r="L59" i="179"/>
  <c r="F59" i="179"/>
  <c r="Q59" i="179" s="1"/>
  <c r="K59" i="179"/>
  <c r="O59" i="179"/>
  <c r="G59" i="179"/>
  <c r="N59" i="179"/>
  <c r="I59" i="179"/>
  <c r="P59" i="179"/>
  <c r="M59" i="179"/>
  <c r="J59" i="179"/>
  <c r="H59" i="179"/>
  <c r="J66" i="179"/>
  <c r="N66" i="179"/>
  <c r="G66" i="179"/>
  <c r="M66" i="179"/>
  <c r="L66" i="179"/>
  <c r="H66" i="179"/>
  <c r="K66" i="179"/>
  <c r="I66" i="179"/>
  <c r="F66" i="179"/>
  <c r="O66" i="179" s="1"/>
  <c r="J52" i="179"/>
  <c r="L52" i="179"/>
  <c r="N52" i="179"/>
  <c r="F52" i="179"/>
  <c r="R52" i="179" s="1"/>
  <c r="M52" i="179"/>
  <c r="H52" i="179"/>
  <c r="K52" i="179"/>
  <c r="I52" i="179"/>
  <c r="O52" i="179" s="1"/>
  <c r="G52" i="179"/>
  <c r="H77" i="179"/>
  <c r="N77" i="179" s="1"/>
  <c r="R27" i="179"/>
  <c r="F80" i="179"/>
  <c r="R80" i="179" s="1"/>
  <c r="F82" i="179"/>
  <c r="R82" i="179" s="1"/>
  <c r="F89" i="179"/>
  <c r="L89" i="179" s="1"/>
  <c r="L44" i="179"/>
  <c r="L45" i="179" s="1"/>
  <c r="D87" i="179"/>
  <c r="L88" i="179"/>
  <c r="R88" i="179"/>
  <c r="F88" i="179"/>
  <c r="I42" i="179"/>
  <c r="I45" i="179" s="1"/>
  <c r="D45" i="179"/>
  <c r="P57" i="179"/>
  <c r="J57" i="179"/>
  <c r="K57" i="179"/>
  <c r="H57" i="179"/>
  <c r="O57" i="179"/>
  <c r="G57" i="179"/>
  <c r="L57" i="179"/>
  <c r="N57" i="179"/>
  <c r="M57" i="179"/>
  <c r="I57" i="179"/>
  <c r="F57" i="179"/>
  <c r="Q57" i="179" s="1"/>
  <c r="F36" i="179"/>
  <c r="L56" i="179"/>
  <c r="F56" i="179"/>
  <c r="J56" i="179"/>
  <c r="N56" i="179"/>
  <c r="M56" i="179"/>
  <c r="P56" i="179"/>
  <c r="H56" i="179"/>
  <c r="K56" i="179"/>
  <c r="Q56" i="179" s="1"/>
  <c r="I56" i="179"/>
  <c r="G56" i="179"/>
  <c r="O56" i="179"/>
  <c r="J51" i="179"/>
  <c r="I51" i="179"/>
  <c r="H51" i="179"/>
  <c r="G51" i="179"/>
  <c r="L51" i="179"/>
  <c r="F51" i="179"/>
  <c r="O51" i="179" s="1"/>
  <c r="N51" i="179"/>
  <c r="M51" i="179"/>
  <c r="K51" i="179"/>
  <c r="P13" i="179"/>
  <c r="J13" i="179"/>
  <c r="L13" i="179"/>
  <c r="K13" i="179"/>
  <c r="I13" i="179"/>
  <c r="M13" i="179"/>
  <c r="G13" i="179"/>
  <c r="Q13" i="179" s="1"/>
  <c r="O13" i="179"/>
  <c r="F13" i="179"/>
  <c r="N13" i="179"/>
  <c r="H13" i="179"/>
  <c r="N55" i="179"/>
  <c r="H55" i="179"/>
  <c r="J55" i="179"/>
  <c r="K55" i="179"/>
  <c r="I55" i="179"/>
  <c r="M55" i="179"/>
  <c r="G55" i="179"/>
  <c r="Q55" i="179" s="1"/>
  <c r="F55" i="179"/>
  <c r="L55" i="179"/>
  <c r="O55" i="179"/>
  <c r="P55" i="179"/>
  <c r="M61" i="179"/>
  <c r="G61" i="179"/>
  <c r="P61" i="179"/>
  <c r="I61" i="179"/>
  <c r="O61" i="179"/>
  <c r="F61" i="179"/>
  <c r="Q61" i="179" s="1"/>
  <c r="N61" i="179"/>
  <c r="J61" i="179"/>
  <c r="L61" i="179"/>
  <c r="K61" i="179"/>
  <c r="H61" i="179"/>
  <c r="L69" i="179"/>
  <c r="R69" i="179" s="1"/>
  <c r="F69" i="179"/>
  <c r="F60" i="179"/>
  <c r="R60" i="179" s="1"/>
  <c r="D83" i="179"/>
  <c r="R79" i="179"/>
  <c r="F79" i="179"/>
  <c r="K6" i="179"/>
  <c r="J6" i="179"/>
  <c r="P6" i="179"/>
  <c r="I6" i="179"/>
  <c r="H6" i="179"/>
  <c r="Q6" i="179" s="1"/>
  <c r="L6" i="179"/>
  <c r="G6" i="179"/>
  <c r="O6" i="179"/>
  <c r="F6" i="179"/>
  <c r="R6" i="179" s="1"/>
  <c r="N6" i="179"/>
  <c r="M6" i="179"/>
  <c r="N29" i="179"/>
  <c r="H29" i="179"/>
  <c r="M29" i="179"/>
  <c r="F29" i="179"/>
  <c r="R29" i="179" s="1"/>
  <c r="L29" i="179"/>
  <c r="P29" i="179"/>
  <c r="I29" i="179"/>
  <c r="Q29" i="179" s="1"/>
  <c r="K29" i="179"/>
  <c r="J29" i="179"/>
  <c r="G29" i="179"/>
  <c r="O29" i="179"/>
  <c r="J65" i="179"/>
  <c r="L65" i="179"/>
  <c r="H65" i="179"/>
  <c r="G65" i="179"/>
  <c r="O65" i="179" s="1"/>
  <c r="K65" i="179"/>
  <c r="F65" i="179"/>
  <c r="R65" i="179" s="1"/>
  <c r="M65" i="179"/>
  <c r="N65" i="179"/>
  <c r="I65" i="179"/>
  <c r="J12" i="179"/>
  <c r="I12" i="179"/>
  <c r="H12" i="179"/>
  <c r="L12" i="179"/>
  <c r="G12" i="179"/>
  <c r="O12" i="179" s="1"/>
  <c r="F12" i="179"/>
  <c r="N12" i="179"/>
  <c r="M12" i="179"/>
  <c r="K12" i="179"/>
  <c r="F43" i="179"/>
  <c r="F45" i="179" s="1"/>
  <c r="R43" i="179"/>
  <c r="L30" i="179"/>
  <c r="F30" i="179"/>
  <c r="R30" i="179" s="1"/>
  <c r="N30" i="179"/>
  <c r="G30" i="179"/>
  <c r="M30" i="179"/>
  <c r="P30" i="179"/>
  <c r="I30" i="179"/>
  <c r="K30" i="179"/>
  <c r="J30" i="179"/>
  <c r="H30" i="179"/>
  <c r="Q30" i="179"/>
  <c r="O30" i="179"/>
  <c r="N93" i="179"/>
  <c r="H93" i="179"/>
  <c r="M93" i="179"/>
  <c r="F93" i="179"/>
  <c r="I93" i="179"/>
  <c r="P93" i="179"/>
  <c r="G93" i="179"/>
  <c r="K93" i="179"/>
  <c r="L93" i="179"/>
  <c r="J93" i="179"/>
  <c r="Q93" i="179" s="1"/>
  <c r="O93" i="179"/>
  <c r="N32" i="179"/>
  <c r="H32" i="179"/>
  <c r="O32" i="179"/>
  <c r="G32" i="179"/>
  <c r="R32" i="179" s="1"/>
  <c r="M32" i="179"/>
  <c r="F32" i="179"/>
  <c r="Q32" i="179" s="1"/>
  <c r="J32" i="179"/>
  <c r="L32" i="179"/>
  <c r="K32" i="179"/>
  <c r="I32" i="179"/>
  <c r="P32" i="179"/>
  <c r="O10" i="179"/>
  <c r="I10" i="179"/>
  <c r="L10" i="179"/>
  <c r="K10" i="179"/>
  <c r="G10" i="179"/>
  <c r="N10" i="179"/>
  <c r="M10" i="179"/>
  <c r="J10" i="179"/>
  <c r="H10" i="179"/>
  <c r="Q10" i="179" s="1"/>
  <c r="P10" i="179"/>
  <c r="F10" i="179"/>
  <c r="R10" i="179" s="1"/>
  <c r="Q90" i="179"/>
  <c r="L90" i="179"/>
  <c r="R90" i="179" s="1"/>
  <c r="J49" i="179"/>
  <c r="L49" i="179"/>
  <c r="G49" i="179"/>
  <c r="G70" i="179" s="1"/>
  <c r="N49" i="179"/>
  <c r="F49" i="179"/>
  <c r="I49" i="179"/>
  <c r="D70" i="179"/>
  <c r="M49" i="179"/>
  <c r="M70" i="179" s="1"/>
  <c r="K49" i="179"/>
  <c r="K70" i="179" s="1"/>
  <c r="H49" i="179"/>
  <c r="R33" i="179"/>
  <c r="P26" i="179"/>
  <c r="I26" i="179"/>
  <c r="D37" i="179"/>
  <c r="O26" i="179"/>
  <c r="O37" i="179" s="1"/>
  <c r="H26" i="179"/>
  <c r="K26" i="179"/>
  <c r="N26" i="179"/>
  <c r="M26" i="179"/>
  <c r="J26" i="179"/>
  <c r="J37" i="179" s="1"/>
  <c r="F26" i="179"/>
  <c r="M5" i="179"/>
  <c r="G5" i="179"/>
  <c r="J5" i="179"/>
  <c r="P5" i="179"/>
  <c r="I5" i="179"/>
  <c r="N5" i="179"/>
  <c r="K5" i="179"/>
  <c r="H5" i="179"/>
  <c r="Q5" i="179" s="1"/>
  <c r="R5" i="179" s="1"/>
  <c r="F5" i="179"/>
  <c r="O5" i="179"/>
  <c r="L5" i="179"/>
  <c r="M72" i="179"/>
  <c r="G72" i="179"/>
  <c r="K72" i="179"/>
  <c r="I72" i="179"/>
  <c r="H72" i="179"/>
  <c r="L72" i="179"/>
  <c r="F72" i="179"/>
  <c r="N72" i="179"/>
  <c r="J72" i="179"/>
  <c r="L14" i="179"/>
  <c r="F14" i="179"/>
  <c r="N14" i="179"/>
  <c r="H14" i="179"/>
  <c r="O14" i="179"/>
  <c r="M14" i="179"/>
  <c r="I14" i="179"/>
  <c r="P14" i="179"/>
  <c r="K14" i="179"/>
  <c r="J14" i="179"/>
  <c r="G14" i="179"/>
  <c r="K3" i="179"/>
  <c r="P3" i="179"/>
  <c r="P25" i="179" s="1"/>
  <c r="I3" i="179"/>
  <c r="O3" i="179"/>
  <c r="H3" i="179"/>
  <c r="F3" i="179"/>
  <c r="F25" i="179" s="1"/>
  <c r="J3" i="179"/>
  <c r="J25" i="179" s="1"/>
  <c r="J48" i="179" s="1"/>
  <c r="D25" i="179"/>
  <c r="N3" i="179"/>
  <c r="M3" i="179"/>
  <c r="L3" i="179"/>
  <c r="G3" i="179"/>
  <c r="R67" i="179"/>
  <c r="H67" i="179"/>
  <c r="P28" i="179"/>
  <c r="J28" i="179"/>
  <c r="M28" i="179"/>
  <c r="F28" i="179"/>
  <c r="Q28" i="179" s="1"/>
  <c r="R28" i="179" s="1"/>
  <c r="L28" i="179"/>
  <c r="O28" i="179"/>
  <c r="H28" i="179"/>
  <c r="K28" i="179"/>
  <c r="I28" i="179"/>
  <c r="G28" i="179"/>
  <c r="G37" i="179" s="1"/>
  <c r="N28" i="179"/>
  <c r="R68" i="179"/>
  <c r="F68" i="179"/>
  <c r="M73" i="179"/>
  <c r="G73" i="179"/>
  <c r="N73" i="179"/>
  <c r="F73" i="179"/>
  <c r="O73" i="179" s="1"/>
  <c r="L73" i="179"/>
  <c r="I73" i="179"/>
  <c r="K73" i="179"/>
  <c r="J73" i="179"/>
  <c r="H73" i="179"/>
  <c r="F63" i="179"/>
  <c r="R63" i="179" s="1"/>
  <c r="F81" i="179"/>
  <c r="R81" i="179" s="1"/>
  <c r="R30" i="178"/>
  <c r="P56" i="178"/>
  <c r="J56" i="178"/>
  <c r="O56" i="178"/>
  <c r="I56" i="178"/>
  <c r="N56" i="178"/>
  <c r="H56" i="178"/>
  <c r="M56" i="178"/>
  <c r="G56" i="178"/>
  <c r="L56" i="178"/>
  <c r="F56" i="178"/>
  <c r="K56" i="178"/>
  <c r="N50" i="178"/>
  <c r="H50" i="178"/>
  <c r="M50" i="178"/>
  <c r="G50" i="178"/>
  <c r="L50" i="178"/>
  <c r="F50" i="178"/>
  <c r="K50" i="178"/>
  <c r="J50" i="178"/>
  <c r="I50" i="178"/>
  <c r="O8" i="178"/>
  <c r="I8" i="178"/>
  <c r="L8" i="178"/>
  <c r="K8" i="178"/>
  <c r="J8" i="178"/>
  <c r="H8" i="178"/>
  <c r="F8" i="178"/>
  <c r="R8" i="178" s="1"/>
  <c r="P8" i="178"/>
  <c r="G8" i="178"/>
  <c r="N8" i="178"/>
  <c r="N25" i="178" s="1"/>
  <c r="M8" i="178"/>
  <c r="Q8" i="178" s="1"/>
  <c r="N51" i="178"/>
  <c r="H51" i="178"/>
  <c r="M51" i="178"/>
  <c r="G51" i="178"/>
  <c r="L51" i="178"/>
  <c r="F51" i="178"/>
  <c r="K51" i="178"/>
  <c r="J51" i="178"/>
  <c r="I51" i="178"/>
  <c r="K73" i="178"/>
  <c r="J73" i="178"/>
  <c r="I73" i="178"/>
  <c r="N73" i="178"/>
  <c r="H73" i="178"/>
  <c r="M73" i="178"/>
  <c r="G73" i="178"/>
  <c r="F73" i="178"/>
  <c r="L73" i="178"/>
  <c r="N17" i="178"/>
  <c r="H17" i="178"/>
  <c r="R17" i="178" s="1"/>
  <c r="J17" i="178"/>
  <c r="P17" i="178"/>
  <c r="I17" i="178"/>
  <c r="G17" i="178"/>
  <c r="F17" i="178"/>
  <c r="Q17" i="178" s="1"/>
  <c r="K17" i="178"/>
  <c r="O17" i="178"/>
  <c r="M17" i="178"/>
  <c r="L17" i="178"/>
  <c r="M9" i="178"/>
  <c r="G9" i="178"/>
  <c r="L9" i="178"/>
  <c r="O9" i="178"/>
  <c r="F9" i="178"/>
  <c r="N9" i="178"/>
  <c r="K9" i="178"/>
  <c r="J9" i="178"/>
  <c r="I9" i="178"/>
  <c r="H9" i="178"/>
  <c r="P9" i="178"/>
  <c r="N33" i="178"/>
  <c r="M33" i="178"/>
  <c r="L33" i="178"/>
  <c r="F33" i="178"/>
  <c r="Q33" i="178" s="1"/>
  <c r="K33" i="178"/>
  <c r="G33" i="178"/>
  <c r="P33" i="178"/>
  <c r="O33" i="178"/>
  <c r="J33" i="178"/>
  <c r="I33" i="178"/>
  <c r="H33" i="178"/>
  <c r="D92" i="178"/>
  <c r="N52" i="178"/>
  <c r="H52" i="178"/>
  <c r="M52" i="178"/>
  <c r="G52" i="178"/>
  <c r="O52" i="178" s="1"/>
  <c r="L52" i="178"/>
  <c r="F52" i="178"/>
  <c r="R52" i="178" s="1"/>
  <c r="K52" i="178"/>
  <c r="J52" i="178"/>
  <c r="I52" i="178"/>
  <c r="N65" i="178"/>
  <c r="H65" i="178"/>
  <c r="M65" i="178"/>
  <c r="G65" i="178"/>
  <c r="L65" i="178"/>
  <c r="F65" i="178"/>
  <c r="K65" i="178"/>
  <c r="J65" i="178"/>
  <c r="I65" i="178"/>
  <c r="O65" i="178" s="1"/>
  <c r="L55" i="178"/>
  <c r="F55" i="178"/>
  <c r="K55" i="178"/>
  <c r="P55" i="178"/>
  <c r="J55" i="178"/>
  <c r="O55" i="178"/>
  <c r="I55" i="178"/>
  <c r="N55" i="178"/>
  <c r="H55" i="178"/>
  <c r="M55" i="178"/>
  <c r="G55" i="178"/>
  <c r="D47" i="178"/>
  <c r="N46" i="178"/>
  <c r="N47" i="178" s="1"/>
  <c r="K46" i="178"/>
  <c r="K47" i="178" s="1"/>
  <c r="F46" i="178"/>
  <c r="F47" i="178" s="1"/>
  <c r="K74" i="178"/>
  <c r="J74" i="178"/>
  <c r="I74" i="178"/>
  <c r="N74" i="178"/>
  <c r="H74" i="178"/>
  <c r="M74" i="178"/>
  <c r="G74" i="178"/>
  <c r="L74" i="178"/>
  <c r="F74" i="178"/>
  <c r="P31" i="178"/>
  <c r="J31" i="178"/>
  <c r="L31" i="178"/>
  <c r="K31" i="178"/>
  <c r="I31" i="178"/>
  <c r="M31" i="178"/>
  <c r="H31" i="178"/>
  <c r="G31" i="178"/>
  <c r="Q31" i="178" s="1"/>
  <c r="F31" i="178"/>
  <c r="O31" i="178"/>
  <c r="N31" i="178"/>
  <c r="D76" i="178"/>
  <c r="F71" i="178"/>
  <c r="F76" i="178" s="1"/>
  <c r="P14" i="178"/>
  <c r="J14" i="178"/>
  <c r="M14" i="178"/>
  <c r="F14" i="178"/>
  <c r="I14" i="178"/>
  <c r="H14" i="178"/>
  <c r="K14" i="178"/>
  <c r="O14" i="178"/>
  <c r="G14" i="178"/>
  <c r="Q14" i="178" s="1"/>
  <c r="L14" i="178"/>
  <c r="N14" i="178"/>
  <c r="N32" i="178"/>
  <c r="H32" i="178"/>
  <c r="L32" i="178"/>
  <c r="K32" i="178"/>
  <c r="J32" i="178"/>
  <c r="M32" i="178"/>
  <c r="I32" i="178"/>
  <c r="O32" i="178"/>
  <c r="G32" i="178"/>
  <c r="F32" i="178"/>
  <c r="Q32" i="178" s="1"/>
  <c r="P32" i="178"/>
  <c r="N64" i="178"/>
  <c r="H64" i="178"/>
  <c r="M64" i="178"/>
  <c r="G64" i="178"/>
  <c r="L64" i="178"/>
  <c r="F64" i="178"/>
  <c r="O64" i="178" s="1"/>
  <c r="K64" i="178"/>
  <c r="J64" i="178"/>
  <c r="I64" i="178"/>
  <c r="O5" i="178"/>
  <c r="I5" i="178"/>
  <c r="K5" i="178"/>
  <c r="J5" i="178"/>
  <c r="H5" i="178"/>
  <c r="P5" i="178"/>
  <c r="G5" i="178"/>
  <c r="M5" i="178"/>
  <c r="N5" i="178"/>
  <c r="F5" i="178"/>
  <c r="Q5" i="178" s="1"/>
  <c r="L5" i="178"/>
  <c r="L13" i="178"/>
  <c r="F13" i="178"/>
  <c r="Q13" i="178" s="1"/>
  <c r="M13" i="178"/>
  <c r="O13" i="178"/>
  <c r="G13" i="178"/>
  <c r="N13" i="178"/>
  <c r="P13" i="178"/>
  <c r="H13" i="178"/>
  <c r="K13" i="178"/>
  <c r="J13" i="178"/>
  <c r="I13" i="178"/>
  <c r="L44" i="178"/>
  <c r="L45" i="178" s="1"/>
  <c r="N62" i="178"/>
  <c r="I62" i="178"/>
  <c r="R62" i="178" s="1"/>
  <c r="H94" i="178"/>
  <c r="O94" i="178" s="1"/>
  <c r="N53" i="178"/>
  <c r="H53" i="178"/>
  <c r="M53" i="178"/>
  <c r="G53" i="178"/>
  <c r="L53" i="178"/>
  <c r="F53" i="178"/>
  <c r="K53" i="178"/>
  <c r="J53" i="178"/>
  <c r="I53" i="178"/>
  <c r="N66" i="178"/>
  <c r="H66" i="178"/>
  <c r="M66" i="178"/>
  <c r="G66" i="178"/>
  <c r="L66" i="178"/>
  <c r="F66" i="178"/>
  <c r="K66" i="178"/>
  <c r="J66" i="178"/>
  <c r="I66" i="178"/>
  <c r="F43" i="178"/>
  <c r="F45" i="178" s="1"/>
  <c r="L58" i="178"/>
  <c r="F58" i="178"/>
  <c r="K58" i="178"/>
  <c r="P58" i="178"/>
  <c r="J58" i="178"/>
  <c r="O58" i="178"/>
  <c r="I58" i="178"/>
  <c r="N58" i="178"/>
  <c r="H58" i="178"/>
  <c r="G58" i="178"/>
  <c r="M58" i="178"/>
  <c r="K61" i="178"/>
  <c r="P61" i="178"/>
  <c r="J61" i="178"/>
  <c r="O61" i="178"/>
  <c r="I61" i="178"/>
  <c r="N61" i="178"/>
  <c r="H61" i="178"/>
  <c r="M61" i="178"/>
  <c r="G61" i="178"/>
  <c r="L61" i="178"/>
  <c r="F61" i="178"/>
  <c r="Q61" i="178" s="1"/>
  <c r="R61" i="178" s="1"/>
  <c r="K75" i="178"/>
  <c r="J75" i="178"/>
  <c r="I75" i="178"/>
  <c r="N75" i="178"/>
  <c r="H75" i="178"/>
  <c r="M75" i="178"/>
  <c r="G75" i="178"/>
  <c r="L75" i="178"/>
  <c r="O75" i="178" s="1"/>
  <c r="F75" i="178"/>
  <c r="R75" i="178" s="1"/>
  <c r="K7" i="178"/>
  <c r="L7" i="178"/>
  <c r="P7" i="178"/>
  <c r="H7" i="178"/>
  <c r="O7" i="178"/>
  <c r="G7" i="178"/>
  <c r="N7" i="178"/>
  <c r="F7" i="178"/>
  <c r="M7" i="178"/>
  <c r="J7" i="178"/>
  <c r="I7" i="178"/>
  <c r="F60" i="178"/>
  <c r="R60" i="178" s="1"/>
  <c r="K72" i="178"/>
  <c r="K76" i="178" s="1"/>
  <c r="J72" i="178"/>
  <c r="I72" i="178"/>
  <c r="N72" i="178"/>
  <c r="H72" i="178"/>
  <c r="H76" i="178" s="1"/>
  <c r="M72" i="178"/>
  <c r="G72" i="178"/>
  <c r="O72" i="178" s="1"/>
  <c r="L72" i="178"/>
  <c r="F72" i="178"/>
  <c r="L27" i="178"/>
  <c r="F27" i="178"/>
  <c r="P27" i="178"/>
  <c r="I27" i="178"/>
  <c r="O27" i="178"/>
  <c r="H27" i="178"/>
  <c r="G27" i="178"/>
  <c r="J27" i="178"/>
  <c r="N27" i="178"/>
  <c r="M27" i="178"/>
  <c r="K27" i="178"/>
  <c r="F89" i="178"/>
  <c r="L89" i="178" s="1"/>
  <c r="R89" i="178" s="1"/>
  <c r="P28" i="178"/>
  <c r="J28" i="178"/>
  <c r="Q28" i="178"/>
  <c r="R28" i="178" s="1"/>
  <c r="I28" i="178"/>
  <c r="O28" i="178"/>
  <c r="H28" i="178"/>
  <c r="N28" i="178"/>
  <c r="M28" i="178"/>
  <c r="L28" i="178"/>
  <c r="K28" i="178"/>
  <c r="G28" i="178"/>
  <c r="F28" i="178"/>
  <c r="F15" i="178"/>
  <c r="L15" i="178" s="1"/>
  <c r="D45" i="178"/>
  <c r="R42" i="178"/>
  <c r="I42" i="178"/>
  <c r="I45" i="178" s="1"/>
  <c r="P59" i="178"/>
  <c r="J59" i="178"/>
  <c r="O59" i="178"/>
  <c r="I59" i="178"/>
  <c r="N59" i="178"/>
  <c r="H59" i="178"/>
  <c r="M59" i="178"/>
  <c r="G59" i="178"/>
  <c r="Q59" i="178" s="1"/>
  <c r="L59" i="178"/>
  <c r="F59" i="178"/>
  <c r="R59" i="178" s="1"/>
  <c r="K59" i="178"/>
  <c r="H77" i="178"/>
  <c r="N77" i="178" s="1"/>
  <c r="R77" i="178" s="1"/>
  <c r="F36" i="178"/>
  <c r="N54" i="178"/>
  <c r="H54" i="178"/>
  <c r="M54" i="178"/>
  <c r="G54" i="178"/>
  <c r="L54" i="178"/>
  <c r="F54" i="178"/>
  <c r="Q54" i="178" s="1"/>
  <c r="K54" i="178"/>
  <c r="P54" i="178"/>
  <c r="J54" i="178"/>
  <c r="I54" i="178"/>
  <c r="O54" i="178"/>
  <c r="H67" i="178"/>
  <c r="R67" i="178" s="1"/>
  <c r="L88" i="178"/>
  <c r="F88" i="178"/>
  <c r="D87" i="178"/>
  <c r="R88" i="178"/>
  <c r="F80" i="178"/>
  <c r="R80" i="178"/>
  <c r="R63" i="178"/>
  <c r="F63" i="178"/>
  <c r="Q90" i="178"/>
  <c r="N29" i="178"/>
  <c r="H29" i="178"/>
  <c r="J29" i="178"/>
  <c r="P29" i="178"/>
  <c r="I29" i="178"/>
  <c r="L29" i="178"/>
  <c r="K29" i="178"/>
  <c r="M29" i="178"/>
  <c r="G29" i="178"/>
  <c r="Q29" i="178" s="1"/>
  <c r="F29" i="178"/>
  <c r="O29" i="178"/>
  <c r="R3" i="178"/>
  <c r="M6" i="178"/>
  <c r="G6" i="178"/>
  <c r="K6" i="178"/>
  <c r="N6" i="178"/>
  <c r="L6" i="178"/>
  <c r="L25" i="178" s="1"/>
  <c r="J6" i="178"/>
  <c r="J25" i="178" s="1"/>
  <c r="P6" i="178"/>
  <c r="I6" i="178"/>
  <c r="H6" i="178"/>
  <c r="F6" i="178"/>
  <c r="O6" i="178"/>
  <c r="F81" i="178"/>
  <c r="R81" i="178" s="1"/>
  <c r="K10" i="178"/>
  <c r="M10" i="178"/>
  <c r="F10" i="178"/>
  <c r="Q10" i="178" s="1"/>
  <c r="I10" i="178"/>
  <c r="P10" i="178"/>
  <c r="H10" i="178"/>
  <c r="R10" i="178" s="1"/>
  <c r="O10" i="178"/>
  <c r="G10" i="178"/>
  <c r="N10" i="178"/>
  <c r="L10" i="178"/>
  <c r="J10" i="178"/>
  <c r="L12" i="178"/>
  <c r="F12" i="178"/>
  <c r="J12" i="178"/>
  <c r="I12" i="178"/>
  <c r="H12" i="178"/>
  <c r="G12" i="178"/>
  <c r="N12" i="178"/>
  <c r="M12" i="178"/>
  <c r="K12" i="178"/>
  <c r="F24" i="178"/>
  <c r="L24" i="178"/>
  <c r="R24" i="178" s="1"/>
  <c r="N26" i="178"/>
  <c r="F26" i="178"/>
  <c r="P26" i="178"/>
  <c r="H26" i="178"/>
  <c r="O26" i="178"/>
  <c r="O37" i="178" s="1"/>
  <c r="D37" i="178"/>
  <c r="D48" i="178" s="1"/>
  <c r="J26" i="178"/>
  <c r="I26" i="178"/>
  <c r="M26" i="178"/>
  <c r="M37" i="178" s="1"/>
  <c r="K26" i="178"/>
  <c r="K37" i="178" s="1"/>
  <c r="K4" i="178"/>
  <c r="J4" i="178"/>
  <c r="O4" i="178"/>
  <c r="G4" i="178"/>
  <c r="G25" i="178" s="1"/>
  <c r="N4" i="178"/>
  <c r="F4" i="178"/>
  <c r="Q4" i="178" s="1"/>
  <c r="M4" i="178"/>
  <c r="M25" i="178" s="1"/>
  <c r="M48" i="178" s="1"/>
  <c r="L4" i="178"/>
  <c r="I4" i="178"/>
  <c r="I25" i="178" s="1"/>
  <c r="P4" i="178"/>
  <c r="P25" i="178" s="1"/>
  <c r="H4" i="178"/>
  <c r="R79" i="178"/>
  <c r="F79" i="178"/>
  <c r="D83" i="178"/>
  <c r="N49" i="178"/>
  <c r="H49" i="178"/>
  <c r="H70" i="178" s="1"/>
  <c r="M49" i="178"/>
  <c r="G49" i="178"/>
  <c r="L49" i="178"/>
  <c r="F49" i="178"/>
  <c r="K49" i="178"/>
  <c r="J49" i="178"/>
  <c r="I49" i="178"/>
  <c r="D70" i="178"/>
  <c r="N57" i="178"/>
  <c r="H57" i="178"/>
  <c r="M57" i="178"/>
  <c r="G57" i="178"/>
  <c r="L57" i="178"/>
  <c r="F57" i="178"/>
  <c r="R57" i="178" s="1"/>
  <c r="Q57" i="178"/>
  <c r="K57" i="178"/>
  <c r="P57" i="178"/>
  <c r="J57" i="178"/>
  <c r="O57" i="178"/>
  <c r="I57" i="178"/>
  <c r="F69" i="178"/>
  <c r="L69" i="178" s="1"/>
  <c r="R69" i="178" s="1"/>
  <c r="D109" i="178"/>
  <c r="F82" i="178"/>
  <c r="R82" i="178"/>
  <c r="F68" i="178"/>
  <c r="R68" i="178" s="1"/>
  <c r="D93" i="178"/>
  <c r="P16" i="178"/>
  <c r="J16" i="178"/>
  <c r="I16" i="178"/>
  <c r="O16" i="178"/>
  <c r="H16" i="178"/>
  <c r="L16" i="178"/>
  <c r="K16" i="178"/>
  <c r="M16" i="178"/>
  <c r="Q16" i="178" s="1"/>
  <c r="G16" i="178"/>
  <c r="F16" i="178"/>
  <c r="N16" i="178"/>
  <c r="K25" i="178"/>
  <c r="K48" i="178" s="1"/>
  <c r="R7" i="177"/>
  <c r="M5" i="177"/>
  <c r="G5" i="177"/>
  <c r="F5" i="177"/>
  <c r="Q5" i="177" s="1"/>
  <c r="J5" i="177"/>
  <c r="P5" i="177"/>
  <c r="I5" i="177"/>
  <c r="O5" i="177"/>
  <c r="H5" i="177"/>
  <c r="N5" i="177"/>
  <c r="L5" i="177"/>
  <c r="K5" i="177"/>
  <c r="F43" i="177"/>
  <c r="F45" i="177" s="1"/>
  <c r="R43" i="177"/>
  <c r="O10" i="177"/>
  <c r="I10" i="177"/>
  <c r="H10" i="177"/>
  <c r="M10" i="177"/>
  <c r="G10" i="177"/>
  <c r="F10" i="177"/>
  <c r="L10" i="177"/>
  <c r="K10" i="177"/>
  <c r="J10" i="177"/>
  <c r="P10" i="177"/>
  <c r="N10" i="177"/>
  <c r="M32" i="177"/>
  <c r="G32" i="177"/>
  <c r="O32" i="177"/>
  <c r="H32" i="177"/>
  <c r="N32" i="177"/>
  <c r="F32" i="177"/>
  <c r="Q32" i="177" s="1"/>
  <c r="P32" i="177"/>
  <c r="L32" i="177"/>
  <c r="K32" i="177"/>
  <c r="J32" i="177"/>
  <c r="I32" i="177"/>
  <c r="H67" i="177"/>
  <c r="R67" i="177"/>
  <c r="I42" i="177"/>
  <c r="I45" i="177" s="1"/>
  <c r="D45" i="177"/>
  <c r="R42" i="177"/>
  <c r="G92" i="177"/>
  <c r="I92" i="177"/>
  <c r="J92" i="177"/>
  <c r="H92" i="177"/>
  <c r="L92" i="177"/>
  <c r="K92" i="177"/>
  <c r="F92" i="177"/>
  <c r="K27" i="177"/>
  <c r="M27" i="177"/>
  <c r="F27" i="177"/>
  <c r="N27" i="177"/>
  <c r="L27" i="177"/>
  <c r="J27" i="177"/>
  <c r="I27" i="177"/>
  <c r="P27" i="177"/>
  <c r="H27" i="177"/>
  <c r="O27" i="177"/>
  <c r="G27" i="177"/>
  <c r="Q27" i="177" s="1"/>
  <c r="R27" i="177" s="1"/>
  <c r="M73" i="177"/>
  <c r="G73" i="177"/>
  <c r="L73" i="177"/>
  <c r="F73" i="177"/>
  <c r="N73" i="177"/>
  <c r="J73" i="177"/>
  <c r="I73" i="177"/>
  <c r="K73" i="177"/>
  <c r="H73" i="177"/>
  <c r="F81" i="177"/>
  <c r="R81" i="177"/>
  <c r="F69" i="177"/>
  <c r="N58" i="177"/>
  <c r="H58" i="177"/>
  <c r="Q58" i="177"/>
  <c r="R58" i="177" s="1"/>
  <c r="J58" i="177"/>
  <c r="P58" i="177"/>
  <c r="G58" i="177"/>
  <c r="O58" i="177"/>
  <c r="F58" i="177"/>
  <c r="M58" i="177"/>
  <c r="L58" i="177"/>
  <c r="K58" i="177"/>
  <c r="I58" i="177"/>
  <c r="O4" i="177"/>
  <c r="I4" i="177"/>
  <c r="K4" i="177"/>
  <c r="J4" i="177"/>
  <c r="P4" i="177"/>
  <c r="H4" i="177"/>
  <c r="N4" i="177"/>
  <c r="G4" i="177"/>
  <c r="M4" i="177"/>
  <c r="F4" i="177"/>
  <c r="L4" i="177"/>
  <c r="J66" i="177"/>
  <c r="M66" i="177"/>
  <c r="F66" i="177"/>
  <c r="O66" i="177" s="1"/>
  <c r="I66" i="177"/>
  <c r="H66" i="177"/>
  <c r="G66" i="177"/>
  <c r="N66" i="177"/>
  <c r="L66" i="177"/>
  <c r="K66" i="177"/>
  <c r="O28" i="177"/>
  <c r="I28" i="177"/>
  <c r="M28" i="177"/>
  <c r="F28" i="177"/>
  <c r="G28" i="177"/>
  <c r="R28" i="177" s="1"/>
  <c r="H28" i="177"/>
  <c r="Q28" i="177" s="1"/>
  <c r="P28" i="177"/>
  <c r="N28" i="177"/>
  <c r="L28" i="177"/>
  <c r="K28" i="177"/>
  <c r="J28" i="177"/>
  <c r="M26" i="177"/>
  <c r="K26" i="177"/>
  <c r="D37" i="177"/>
  <c r="H26" i="177"/>
  <c r="I26" i="177"/>
  <c r="Q26" i="177"/>
  <c r="P26" i="177"/>
  <c r="F26" i="177"/>
  <c r="O26" i="177"/>
  <c r="N26" i="177"/>
  <c r="J26" i="177"/>
  <c r="M29" i="177"/>
  <c r="G29" i="177"/>
  <c r="N29" i="177"/>
  <c r="F29" i="177"/>
  <c r="Q29" i="177" s="1"/>
  <c r="K29" i="177"/>
  <c r="J29" i="177"/>
  <c r="R29" i="177" s="1"/>
  <c r="I29" i="177"/>
  <c r="P29" i="177"/>
  <c r="H29" i="177"/>
  <c r="O29" i="177"/>
  <c r="L29" i="177"/>
  <c r="L17" i="177"/>
  <c r="F17" i="177"/>
  <c r="R17" i="177" s="1"/>
  <c r="K17" i="177"/>
  <c r="J17" i="177"/>
  <c r="P17" i="177"/>
  <c r="I17" i="177"/>
  <c r="O17" i="177"/>
  <c r="H17" i="177"/>
  <c r="N17" i="177"/>
  <c r="G17" i="177"/>
  <c r="Q17" i="177" s="1"/>
  <c r="M17" i="177"/>
  <c r="M74" i="177"/>
  <c r="G74" i="177"/>
  <c r="H74" i="177"/>
  <c r="O74" i="177" s="1"/>
  <c r="K74" i="177"/>
  <c r="J74" i="177"/>
  <c r="F74" i="177"/>
  <c r="N74" i="177"/>
  <c r="I74" i="177"/>
  <c r="L74" i="177"/>
  <c r="J51" i="177"/>
  <c r="H51" i="177"/>
  <c r="M51" i="177"/>
  <c r="L51" i="177"/>
  <c r="I51" i="177"/>
  <c r="G51" i="177"/>
  <c r="F51" i="177"/>
  <c r="N51" i="177"/>
  <c r="K51" i="177"/>
  <c r="K30" i="177"/>
  <c r="N30" i="177"/>
  <c r="G30" i="177"/>
  <c r="O30" i="177"/>
  <c r="F30" i="177"/>
  <c r="M30" i="177"/>
  <c r="L30" i="177"/>
  <c r="J30" i="177"/>
  <c r="I30" i="177"/>
  <c r="P30" i="177"/>
  <c r="H30" i="177"/>
  <c r="Q30" i="177" s="1"/>
  <c r="Q90" i="177"/>
  <c r="L90" i="177" s="1"/>
  <c r="R90" i="177" s="1"/>
  <c r="F89" i="177"/>
  <c r="L89" i="177"/>
  <c r="R89" i="177" s="1"/>
  <c r="N16" i="177"/>
  <c r="H16" i="177"/>
  <c r="J16" i="177"/>
  <c r="P16" i="177"/>
  <c r="I16" i="177"/>
  <c r="O16" i="177"/>
  <c r="G16" i="177"/>
  <c r="M16" i="177"/>
  <c r="F16" i="177"/>
  <c r="L16" i="177"/>
  <c r="K16" i="177"/>
  <c r="J50" i="177"/>
  <c r="M50" i="177"/>
  <c r="F50" i="177"/>
  <c r="O50" i="177" s="1"/>
  <c r="H50" i="177"/>
  <c r="G50" i="177"/>
  <c r="N50" i="177"/>
  <c r="L50" i="177"/>
  <c r="K50" i="177"/>
  <c r="I50" i="177"/>
  <c r="J49" i="177"/>
  <c r="D70" i="177"/>
  <c r="K49" i="177"/>
  <c r="L49" i="177"/>
  <c r="I49" i="177"/>
  <c r="F49" i="177"/>
  <c r="N49" i="177"/>
  <c r="M49" i="177"/>
  <c r="H49" i="177"/>
  <c r="G49" i="177"/>
  <c r="L56" i="177"/>
  <c r="F56" i="177"/>
  <c r="P56" i="177"/>
  <c r="I56" i="177"/>
  <c r="J56" i="177"/>
  <c r="H56" i="177"/>
  <c r="K56" i="177"/>
  <c r="G56" i="177"/>
  <c r="O56" i="177"/>
  <c r="N56" i="177"/>
  <c r="M56" i="177"/>
  <c r="D76" i="177"/>
  <c r="F71" i="177"/>
  <c r="R71" i="177"/>
  <c r="F15" i="177"/>
  <c r="R15" i="177" s="1"/>
  <c r="L15" i="177"/>
  <c r="Q8" i="177"/>
  <c r="R8" i="177" s="1"/>
  <c r="P57" i="177"/>
  <c r="J57" i="177"/>
  <c r="I57" i="177"/>
  <c r="Q57" i="177" s="1"/>
  <c r="M57" i="177"/>
  <c r="L57" i="177"/>
  <c r="F57" i="177"/>
  <c r="G57" i="177"/>
  <c r="O57" i="177"/>
  <c r="N57" i="177"/>
  <c r="K57" i="177"/>
  <c r="H57" i="177"/>
  <c r="F82" i="177"/>
  <c r="R82" i="177" s="1"/>
  <c r="L33" i="177"/>
  <c r="K33" i="177"/>
  <c r="P33" i="177"/>
  <c r="H33" i="177"/>
  <c r="O33" i="177"/>
  <c r="G33" i="177"/>
  <c r="Q33" i="177" s="1"/>
  <c r="M33" i="177"/>
  <c r="J33" i="177"/>
  <c r="I33" i="177"/>
  <c r="F33" i="177"/>
  <c r="N33" i="177"/>
  <c r="F80" i="177"/>
  <c r="R80" i="177" s="1"/>
  <c r="F24" i="177"/>
  <c r="L24" i="177"/>
  <c r="R24" i="177" s="1"/>
  <c r="R63" i="177"/>
  <c r="F63" i="177"/>
  <c r="N14" i="177"/>
  <c r="H14" i="177"/>
  <c r="F14" i="177"/>
  <c r="O14" i="177"/>
  <c r="G14" i="177"/>
  <c r="Q14" i="177" s="1"/>
  <c r="M14" i="177"/>
  <c r="L14" i="177"/>
  <c r="K14" i="177"/>
  <c r="J14" i="177"/>
  <c r="P14" i="177"/>
  <c r="I14" i="177"/>
  <c r="J53" i="177"/>
  <c r="M53" i="177"/>
  <c r="F53" i="177"/>
  <c r="O53" i="177" s="1"/>
  <c r="G53" i="177"/>
  <c r="N53" i="177"/>
  <c r="H53" i="177"/>
  <c r="I53" i="177"/>
  <c r="L53" i="177"/>
  <c r="K53" i="177"/>
  <c r="K3" i="177"/>
  <c r="M3" i="177"/>
  <c r="J3" i="177"/>
  <c r="J25" i="177" s="1"/>
  <c r="D25" i="177"/>
  <c r="P3" i="177"/>
  <c r="I3" i="177"/>
  <c r="O3" i="177"/>
  <c r="H3" i="177"/>
  <c r="N3" i="177"/>
  <c r="G3" i="177"/>
  <c r="F3" i="177"/>
  <c r="L3" i="177"/>
  <c r="J65" i="177"/>
  <c r="O65" i="177" s="1"/>
  <c r="K65" i="177"/>
  <c r="M65" i="177"/>
  <c r="L65" i="177"/>
  <c r="G65" i="177"/>
  <c r="F65" i="177"/>
  <c r="N65" i="177"/>
  <c r="I65" i="177"/>
  <c r="H65" i="177"/>
  <c r="D109" i="177"/>
  <c r="L36" i="177"/>
  <c r="R36" i="177" s="1"/>
  <c r="F36" i="177"/>
  <c r="I62" i="177"/>
  <c r="R62" i="177" s="1"/>
  <c r="N62" i="177"/>
  <c r="H94" i="177"/>
  <c r="R94" i="177" s="1"/>
  <c r="O94" i="177"/>
  <c r="L59" i="177"/>
  <c r="F59" i="177"/>
  <c r="J59" i="177"/>
  <c r="Q59" i="177" s="1"/>
  <c r="K59" i="177"/>
  <c r="I59" i="177"/>
  <c r="P59" i="177"/>
  <c r="O59" i="177"/>
  <c r="N59" i="177"/>
  <c r="M59" i="177"/>
  <c r="H59" i="177"/>
  <c r="G59" i="177"/>
  <c r="O31" i="177"/>
  <c r="I31" i="177"/>
  <c r="N31" i="177"/>
  <c r="G31" i="177"/>
  <c r="J31" i="177"/>
  <c r="H31" i="177"/>
  <c r="P31" i="177"/>
  <c r="F31" i="177"/>
  <c r="Q31" i="177" s="1"/>
  <c r="M31" i="177"/>
  <c r="L31" i="177"/>
  <c r="K31" i="177"/>
  <c r="J52" i="177"/>
  <c r="K52" i="177"/>
  <c r="O52" i="177" s="1"/>
  <c r="I52" i="177"/>
  <c r="H52" i="177"/>
  <c r="F52" i="177"/>
  <c r="G52" i="177"/>
  <c r="R52" i="177" s="1"/>
  <c r="N52" i="177"/>
  <c r="M52" i="177"/>
  <c r="L52" i="177"/>
  <c r="P13" i="177"/>
  <c r="J13" i="177"/>
  <c r="H13" i="177"/>
  <c r="Q13" i="177" s="1"/>
  <c r="N13" i="177"/>
  <c r="G13" i="177"/>
  <c r="F13" i="177"/>
  <c r="M13" i="177"/>
  <c r="L13" i="177"/>
  <c r="K13" i="177"/>
  <c r="R13" i="177" s="1"/>
  <c r="I13" i="177"/>
  <c r="O13" i="177"/>
  <c r="N55" i="177"/>
  <c r="H55" i="177"/>
  <c r="P55" i="177"/>
  <c r="I55" i="177"/>
  <c r="O55" i="177"/>
  <c r="F55" i="177"/>
  <c r="M55" i="177"/>
  <c r="G55" i="177"/>
  <c r="J55" i="177"/>
  <c r="L55" i="177"/>
  <c r="K55" i="177"/>
  <c r="K6" i="177"/>
  <c r="Q6" i="177" s="1"/>
  <c r="N6" i="177"/>
  <c r="L6" i="177"/>
  <c r="F6" i="177"/>
  <c r="J6" i="177"/>
  <c r="P6" i="177"/>
  <c r="I6" i="177"/>
  <c r="O6" i="177"/>
  <c r="H6" i="177"/>
  <c r="G6" i="177"/>
  <c r="R6" i="177" s="1"/>
  <c r="M6" i="177"/>
  <c r="M72" i="177"/>
  <c r="M76" i="177" s="1"/>
  <c r="G72" i="177"/>
  <c r="J72" i="177"/>
  <c r="N72" i="177"/>
  <c r="L72" i="177"/>
  <c r="H72" i="177"/>
  <c r="H76" i="177" s="1"/>
  <c r="F72" i="177"/>
  <c r="O72" i="177" s="1"/>
  <c r="K72" i="177"/>
  <c r="I72" i="177"/>
  <c r="L44" i="177"/>
  <c r="L45" i="177" s="1"/>
  <c r="R44" i="177"/>
  <c r="H77" i="177"/>
  <c r="R77" i="177" s="1"/>
  <c r="N77" i="177"/>
  <c r="M61" i="177"/>
  <c r="G61" i="177"/>
  <c r="Q61" i="177" s="1"/>
  <c r="O61" i="177"/>
  <c r="H61" i="177"/>
  <c r="K61" i="177"/>
  <c r="J61" i="177"/>
  <c r="P61" i="177"/>
  <c r="N61" i="177"/>
  <c r="L61" i="177"/>
  <c r="I61" i="177"/>
  <c r="F61" i="177"/>
  <c r="R61" i="177" s="1"/>
  <c r="J12" i="177"/>
  <c r="K12" i="177"/>
  <c r="L12" i="177"/>
  <c r="I12" i="177"/>
  <c r="H12" i="177"/>
  <c r="O12" i="177" s="1"/>
  <c r="N12" i="177"/>
  <c r="G12" i="177"/>
  <c r="M12" i="177"/>
  <c r="F12" i="177"/>
  <c r="M75" i="177"/>
  <c r="G75" i="177"/>
  <c r="J75" i="177"/>
  <c r="H75" i="177"/>
  <c r="F75" i="177"/>
  <c r="L75" i="177"/>
  <c r="K75" i="177"/>
  <c r="N75" i="177"/>
  <c r="I75" i="177"/>
  <c r="J64" i="177"/>
  <c r="H64" i="177"/>
  <c r="G64" i="177"/>
  <c r="N64" i="177"/>
  <c r="F64" i="177"/>
  <c r="M64" i="177"/>
  <c r="L64" i="177"/>
  <c r="O64" i="177" s="1"/>
  <c r="K64" i="177"/>
  <c r="I64" i="177"/>
  <c r="K46" i="177"/>
  <c r="K47" i="177" s="1"/>
  <c r="F46" i="177"/>
  <c r="F47" i="177" s="1"/>
  <c r="N46" i="177"/>
  <c r="N47" i="177" s="1"/>
  <c r="D47" i="177"/>
  <c r="F11" i="177"/>
  <c r="R11" i="177" s="1"/>
  <c r="P54" i="177"/>
  <c r="J54" i="177"/>
  <c r="O54" i="177"/>
  <c r="H54" i="177"/>
  <c r="L54" i="177"/>
  <c r="K54" i="177"/>
  <c r="I54" i="177"/>
  <c r="G54" i="177"/>
  <c r="F54" i="177"/>
  <c r="Q54" i="177" s="1"/>
  <c r="R54" i="177" s="1"/>
  <c r="N54" i="177"/>
  <c r="M54" i="177"/>
  <c r="F60" i="177"/>
  <c r="R60" i="177" s="1"/>
  <c r="K9" i="177"/>
  <c r="F9" i="177"/>
  <c r="Q9" i="177" s="1"/>
  <c r="G9" i="177"/>
  <c r="M9" i="177"/>
  <c r="L9" i="177"/>
  <c r="J9" i="177"/>
  <c r="P9" i="177"/>
  <c r="I9" i="177"/>
  <c r="O9" i="177"/>
  <c r="H9" i="177"/>
  <c r="N9" i="177"/>
  <c r="D87" i="177"/>
  <c r="F88" i="177"/>
  <c r="L88" i="177"/>
  <c r="D93" i="177"/>
  <c r="F68" i="177"/>
  <c r="R68" i="177" s="1"/>
  <c r="D83" i="177"/>
  <c r="F79" i="177"/>
  <c r="F83" i="177" s="1"/>
  <c r="R8" i="176"/>
  <c r="M25" i="176"/>
  <c r="P57" i="176"/>
  <c r="J57" i="176"/>
  <c r="K57" i="176"/>
  <c r="I57" i="176"/>
  <c r="M57" i="176"/>
  <c r="L57" i="176"/>
  <c r="H57" i="176"/>
  <c r="F57" i="176"/>
  <c r="O57" i="176"/>
  <c r="G57" i="176"/>
  <c r="N57" i="176"/>
  <c r="H94" i="176"/>
  <c r="O94" i="176" s="1"/>
  <c r="M75" i="176"/>
  <c r="G75" i="176"/>
  <c r="K75" i="176"/>
  <c r="J75" i="176"/>
  <c r="I75" i="176"/>
  <c r="N75" i="176"/>
  <c r="H75" i="176"/>
  <c r="F75" i="176"/>
  <c r="O75" i="176" s="1"/>
  <c r="L75" i="176"/>
  <c r="L30" i="176"/>
  <c r="F30" i="176"/>
  <c r="Q30" i="176" s="1"/>
  <c r="K30" i="176"/>
  <c r="I30" i="176"/>
  <c r="N30" i="176"/>
  <c r="M30" i="176"/>
  <c r="H30" i="176"/>
  <c r="P30" i="176"/>
  <c r="G30" i="176"/>
  <c r="O30" i="176"/>
  <c r="J30" i="176"/>
  <c r="F60" i="176"/>
  <c r="R60" i="176" s="1"/>
  <c r="L93" i="176"/>
  <c r="F93" i="176"/>
  <c r="N93" i="176"/>
  <c r="H93" i="176"/>
  <c r="K93" i="176"/>
  <c r="J93" i="176"/>
  <c r="M93" i="176"/>
  <c r="I93" i="176"/>
  <c r="Q93" i="176" s="1"/>
  <c r="G93" i="176"/>
  <c r="P93" i="176"/>
  <c r="O93" i="176"/>
  <c r="L69" i="176"/>
  <c r="R69" i="176" s="1"/>
  <c r="F69" i="176"/>
  <c r="Q3" i="176"/>
  <c r="D87" i="176"/>
  <c r="L88" i="176"/>
  <c r="R88" i="176" s="1"/>
  <c r="F88" i="176"/>
  <c r="M72" i="176"/>
  <c r="M76" i="176" s="1"/>
  <c r="M78" i="176" s="1"/>
  <c r="G72" i="176"/>
  <c r="K72" i="176"/>
  <c r="J72" i="176"/>
  <c r="J76" i="176" s="1"/>
  <c r="N72" i="176"/>
  <c r="L72" i="176"/>
  <c r="I72" i="176"/>
  <c r="F72" i="176"/>
  <c r="H72" i="176"/>
  <c r="D37" i="176"/>
  <c r="O26" i="176"/>
  <c r="H26" i="176"/>
  <c r="J26" i="176"/>
  <c r="I26" i="176"/>
  <c r="N26" i="176"/>
  <c r="N37" i="176" s="1"/>
  <c r="M26" i="176"/>
  <c r="P26" i="176"/>
  <c r="K26" i="176"/>
  <c r="F26" i="176"/>
  <c r="K14" i="176"/>
  <c r="L14" i="176"/>
  <c r="J14" i="176"/>
  <c r="H14" i="176"/>
  <c r="P14" i="176"/>
  <c r="G14" i="176"/>
  <c r="O14" i="176"/>
  <c r="F14" i="176"/>
  <c r="N14" i="176"/>
  <c r="M14" i="176"/>
  <c r="I14" i="176"/>
  <c r="J51" i="176"/>
  <c r="I51" i="176"/>
  <c r="H51" i="176"/>
  <c r="N51" i="176"/>
  <c r="L51" i="176"/>
  <c r="R51" i="176" s="1"/>
  <c r="K51" i="176"/>
  <c r="F51" i="176"/>
  <c r="G51" i="176"/>
  <c r="O51" i="176" s="1"/>
  <c r="M51" i="176"/>
  <c r="L33" i="176"/>
  <c r="Q33" i="176" s="1"/>
  <c r="M33" i="176"/>
  <c r="F33" i="176"/>
  <c r="K33" i="176"/>
  <c r="N33" i="176"/>
  <c r="P33" i="176"/>
  <c r="O33" i="176"/>
  <c r="I33" i="176"/>
  <c r="H33" i="176"/>
  <c r="J33" i="176"/>
  <c r="G33" i="176"/>
  <c r="D92" i="176"/>
  <c r="F63" i="176"/>
  <c r="R63" i="176" s="1"/>
  <c r="D83" i="176"/>
  <c r="F79" i="176"/>
  <c r="Q5" i="176"/>
  <c r="R5" i="176" s="1"/>
  <c r="F11" i="176"/>
  <c r="R11" i="176"/>
  <c r="R43" i="176"/>
  <c r="F43" i="176"/>
  <c r="F45" i="176" s="1"/>
  <c r="N62" i="176"/>
  <c r="R62" i="176" s="1"/>
  <c r="I62" i="176"/>
  <c r="F15" i="176"/>
  <c r="L15" i="176"/>
  <c r="R15" i="176" s="1"/>
  <c r="J50" i="176"/>
  <c r="N50" i="176"/>
  <c r="G50" i="176"/>
  <c r="M50" i="176"/>
  <c r="F50" i="176"/>
  <c r="K50" i="176"/>
  <c r="I50" i="176"/>
  <c r="L50" i="176"/>
  <c r="H50" i="176"/>
  <c r="Q90" i="176"/>
  <c r="N77" i="176"/>
  <c r="R77" i="176" s="1"/>
  <c r="H77" i="176"/>
  <c r="P54" i="176"/>
  <c r="J54" i="176"/>
  <c r="I54" i="176"/>
  <c r="O54" i="176"/>
  <c r="H54" i="176"/>
  <c r="Q54" i="176" s="1"/>
  <c r="L54" i="176"/>
  <c r="N54" i="176"/>
  <c r="M54" i="176"/>
  <c r="G54" i="176"/>
  <c r="F54" i="176"/>
  <c r="K54" i="176"/>
  <c r="L59" i="176"/>
  <c r="F59" i="176"/>
  <c r="K59" i="176"/>
  <c r="J59" i="176"/>
  <c r="P59" i="176"/>
  <c r="G59" i="176"/>
  <c r="I59" i="176"/>
  <c r="H59" i="176"/>
  <c r="O59" i="176"/>
  <c r="Q59" i="176" s="1"/>
  <c r="N59" i="176"/>
  <c r="M59" i="176"/>
  <c r="K46" i="176"/>
  <c r="K47" i="176" s="1"/>
  <c r="D47" i="176"/>
  <c r="N46" i="176"/>
  <c r="N47" i="176" s="1"/>
  <c r="F46" i="176"/>
  <c r="F47" i="176" s="1"/>
  <c r="M74" i="176"/>
  <c r="G74" i="176"/>
  <c r="I74" i="176"/>
  <c r="H74" i="176"/>
  <c r="K74" i="176"/>
  <c r="N74" i="176"/>
  <c r="L74" i="176"/>
  <c r="F74" i="176"/>
  <c r="O74" i="176" s="1"/>
  <c r="J74" i="176"/>
  <c r="P28" i="176"/>
  <c r="J28" i="176"/>
  <c r="O28" i="176"/>
  <c r="I28" i="176"/>
  <c r="K28" i="176"/>
  <c r="H28" i="176"/>
  <c r="G28" i="176"/>
  <c r="N28" i="176"/>
  <c r="M28" i="176"/>
  <c r="Q28" i="176"/>
  <c r="L28" i="176"/>
  <c r="F28" i="176"/>
  <c r="R28" i="176" s="1"/>
  <c r="O17" i="176"/>
  <c r="I17" i="176"/>
  <c r="L17" i="176"/>
  <c r="P17" i="176"/>
  <c r="H17" i="176"/>
  <c r="N17" i="176"/>
  <c r="G17" i="176"/>
  <c r="M17" i="176"/>
  <c r="K17" i="176"/>
  <c r="J17" i="176"/>
  <c r="F17" i="176"/>
  <c r="K16" i="176"/>
  <c r="L16" i="176"/>
  <c r="O16" i="176"/>
  <c r="H16" i="176"/>
  <c r="N16" i="176"/>
  <c r="G16" i="176"/>
  <c r="M16" i="176"/>
  <c r="J16" i="176"/>
  <c r="I16" i="176"/>
  <c r="F16" i="176"/>
  <c r="Q16" i="176" s="1"/>
  <c r="P16" i="176"/>
  <c r="L56" i="176"/>
  <c r="F56" i="176"/>
  <c r="J56" i="176"/>
  <c r="P56" i="176"/>
  <c r="I56" i="176"/>
  <c r="O56" i="176"/>
  <c r="M56" i="176"/>
  <c r="K56" i="176"/>
  <c r="G56" i="176"/>
  <c r="Q56" i="176" s="1"/>
  <c r="N56" i="176"/>
  <c r="H56" i="176"/>
  <c r="F36" i="176"/>
  <c r="J65" i="176"/>
  <c r="L65" i="176"/>
  <c r="K65" i="176"/>
  <c r="I65" i="176"/>
  <c r="M65" i="176"/>
  <c r="H65" i="176"/>
  <c r="F65" i="176"/>
  <c r="G65" i="176"/>
  <c r="N65" i="176"/>
  <c r="F81" i="176"/>
  <c r="R81" i="176"/>
  <c r="M12" i="176"/>
  <c r="G12" i="176"/>
  <c r="I12" i="176"/>
  <c r="H12" i="176"/>
  <c r="O12" i="176" s="1"/>
  <c r="L12" i="176"/>
  <c r="K12" i="176"/>
  <c r="J12" i="176"/>
  <c r="F12" i="176"/>
  <c r="N12" i="176"/>
  <c r="J52" i="176"/>
  <c r="L52" i="176"/>
  <c r="K52" i="176"/>
  <c r="N52" i="176"/>
  <c r="M52" i="176"/>
  <c r="I52" i="176"/>
  <c r="G52" i="176"/>
  <c r="F52" i="176"/>
  <c r="H52" i="176"/>
  <c r="H67" i="176"/>
  <c r="R67" i="176" s="1"/>
  <c r="R3" i="176"/>
  <c r="R82" i="176"/>
  <c r="F82" i="176"/>
  <c r="N58" i="176"/>
  <c r="H58" i="176"/>
  <c r="Q58" i="176" s="1"/>
  <c r="K58" i="176"/>
  <c r="J58" i="176"/>
  <c r="I58" i="176"/>
  <c r="L58" i="176"/>
  <c r="G58" i="176"/>
  <c r="P58" i="176"/>
  <c r="O58" i="176"/>
  <c r="M58" i="176"/>
  <c r="F58" i="176"/>
  <c r="L24" i="176"/>
  <c r="F24" i="176"/>
  <c r="R24" i="176" s="1"/>
  <c r="N29" i="176"/>
  <c r="H29" i="176"/>
  <c r="M29" i="176"/>
  <c r="G29" i="176"/>
  <c r="O29" i="176"/>
  <c r="F29" i="176"/>
  <c r="P29" i="176"/>
  <c r="K29" i="176"/>
  <c r="J29" i="176"/>
  <c r="L29" i="176"/>
  <c r="I29" i="176"/>
  <c r="D76" i="176"/>
  <c r="F71" i="176"/>
  <c r="R71" i="176" s="1"/>
  <c r="L44" i="176"/>
  <c r="L45" i="176" s="1"/>
  <c r="R44" i="176"/>
  <c r="I42" i="176"/>
  <c r="I45" i="176" s="1"/>
  <c r="D45" i="176"/>
  <c r="L89" i="176"/>
  <c r="R89" i="176" s="1"/>
  <c r="F89" i="176"/>
  <c r="N6" i="176"/>
  <c r="H6" i="176"/>
  <c r="J6" i="176"/>
  <c r="J25" i="176" s="1"/>
  <c r="P6" i="176"/>
  <c r="I6" i="176"/>
  <c r="K6" i="176"/>
  <c r="G6" i="176"/>
  <c r="F6" i="176"/>
  <c r="Q6" i="176" s="1"/>
  <c r="O6" i="176"/>
  <c r="M6" i="176"/>
  <c r="L6" i="176"/>
  <c r="J66" i="176"/>
  <c r="N66" i="176"/>
  <c r="G66" i="176"/>
  <c r="M66" i="176"/>
  <c r="F66" i="176"/>
  <c r="O66" i="176" s="1"/>
  <c r="I66" i="176"/>
  <c r="L66" i="176"/>
  <c r="K66" i="176"/>
  <c r="H66" i="176"/>
  <c r="M73" i="176"/>
  <c r="G73" i="176"/>
  <c r="N73" i="176"/>
  <c r="F73" i="176"/>
  <c r="L73" i="176"/>
  <c r="K73" i="176"/>
  <c r="J73" i="176"/>
  <c r="H73" i="176"/>
  <c r="I73" i="176"/>
  <c r="N9" i="176"/>
  <c r="H9" i="176"/>
  <c r="K9" i="176"/>
  <c r="J9" i="176"/>
  <c r="L9" i="176"/>
  <c r="I9" i="176"/>
  <c r="G9" i="176"/>
  <c r="P9" i="176"/>
  <c r="F9" i="176"/>
  <c r="Q9" i="176" s="1"/>
  <c r="O9" i="176"/>
  <c r="M9" i="176"/>
  <c r="N32" i="176"/>
  <c r="H32" i="176"/>
  <c r="M32" i="176"/>
  <c r="G32" i="176"/>
  <c r="Q32" i="176" s="1"/>
  <c r="I32" i="176"/>
  <c r="F32" i="176"/>
  <c r="P32" i="176"/>
  <c r="L32" i="176"/>
  <c r="K32" i="176"/>
  <c r="J32" i="176"/>
  <c r="O32" i="176"/>
  <c r="L27" i="176"/>
  <c r="K27" i="176"/>
  <c r="O27" i="176"/>
  <c r="G27" i="176"/>
  <c r="M27" i="176"/>
  <c r="J27" i="176"/>
  <c r="H27" i="176"/>
  <c r="Q27" i="176" s="1"/>
  <c r="P27" i="176"/>
  <c r="F27" i="176"/>
  <c r="R27" i="176" s="1"/>
  <c r="N27" i="176"/>
  <c r="I27" i="176"/>
  <c r="J53" i="176"/>
  <c r="N53" i="176"/>
  <c r="G53" i="176"/>
  <c r="R53" i="176" s="1"/>
  <c r="M53" i="176"/>
  <c r="F53" i="176"/>
  <c r="L53" i="176"/>
  <c r="O53" i="176"/>
  <c r="K53" i="176"/>
  <c r="H53" i="176"/>
  <c r="I53" i="176"/>
  <c r="L7" i="176"/>
  <c r="L25" i="176" s="1"/>
  <c r="F7" i="176"/>
  <c r="J7" i="176"/>
  <c r="P7" i="176"/>
  <c r="I7" i="176"/>
  <c r="G7" i="176"/>
  <c r="Q7" i="176" s="1"/>
  <c r="O7" i="176"/>
  <c r="N7" i="176"/>
  <c r="M7" i="176"/>
  <c r="K7" i="176"/>
  <c r="H7" i="176"/>
  <c r="H25" i="176" s="1"/>
  <c r="L10" i="176"/>
  <c r="F10" i="176"/>
  <c r="Q10" i="176" s="1"/>
  <c r="K10" i="176"/>
  <c r="J10" i="176"/>
  <c r="H10" i="176"/>
  <c r="P10" i="176"/>
  <c r="G10" i="176"/>
  <c r="O10" i="176"/>
  <c r="N10" i="176"/>
  <c r="M10" i="176"/>
  <c r="I10" i="176"/>
  <c r="R10" i="176" s="1"/>
  <c r="M13" i="176"/>
  <c r="G13" i="176"/>
  <c r="K13" i="176"/>
  <c r="J13" i="176"/>
  <c r="L13" i="176"/>
  <c r="I13" i="176"/>
  <c r="H13" i="176"/>
  <c r="R13" i="176" s="1"/>
  <c r="P13" i="176"/>
  <c r="F13" i="176"/>
  <c r="Q13" i="176" s="1"/>
  <c r="O13" i="176"/>
  <c r="N13" i="176"/>
  <c r="N55" i="176"/>
  <c r="H55" i="176"/>
  <c r="J55" i="176"/>
  <c r="P55" i="176"/>
  <c r="I55" i="176"/>
  <c r="G55" i="176"/>
  <c r="M55" i="176"/>
  <c r="L55" i="176"/>
  <c r="F55" i="176"/>
  <c r="O55" i="176"/>
  <c r="K55" i="176"/>
  <c r="K4" i="176"/>
  <c r="K25" i="176" s="1"/>
  <c r="P4" i="176"/>
  <c r="P25" i="176" s="1"/>
  <c r="J4" i="176"/>
  <c r="I4" i="176"/>
  <c r="I25" i="176" s="1"/>
  <c r="H4" i="176"/>
  <c r="O4" i="176"/>
  <c r="G4" i="176"/>
  <c r="G25" i="176" s="1"/>
  <c r="N4" i="176"/>
  <c r="F4" i="176"/>
  <c r="F25" i="176" s="1"/>
  <c r="M4" i="176"/>
  <c r="L4" i="176"/>
  <c r="J64" i="176"/>
  <c r="I64" i="176"/>
  <c r="H64" i="176"/>
  <c r="L64" i="176"/>
  <c r="K64" i="176"/>
  <c r="G64" i="176"/>
  <c r="N64" i="176"/>
  <c r="M64" i="176"/>
  <c r="F64" i="176"/>
  <c r="O64" i="176" s="1"/>
  <c r="M61" i="176"/>
  <c r="G61" i="176"/>
  <c r="P61" i="176"/>
  <c r="I61" i="176"/>
  <c r="O61" i="176"/>
  <c r="H61" i="176"/>
  <c r="R61" i="176" s="1"/>
  <c r="K61" i="176"/>
  <c r="Q61" i="176"/>
  <c r="L61" i="176"/>
  <c r="J61" i="176"/>
  <c r="N61" i="176"/>
  <c r="F61" i="176"/>
  <c r="P31" i="176"/>
  <c r="J31" i="176"/>
  <c r="R31" i="176" s="1"/>
  <c r="O31" i="176"/>
  <c r="I31" i="176"/>
  <c r="M31" i="176"/>
  <c r="K31" i="176"/>
  <c r="H31" i="176"/>
  <c r="Q31" i="176"/>
  <c r="F31" i="176"/>
  <c r="N31" i="176"/>
  <c r="L31" i="176"/>
  <c r="G31" i="176"/>
  <c r="R80" i="176"/>
  <c r="F80" i="176"/>
  <c r="F68" i="176"/>
  <c r="R68" i="176" s="1"/>
  <c r="J49" i="176"/>
  <c r="L49" i="176"/>
  <c r="L70" i="176" s="1"/>
  <c r="D70" i="176"/>
  <c r="K49" i="176"/>
  <c r="G49" i="176"/>
  <c r="I49" i="176"/>
  <c r="H49" i="176"/>
  <c r="O49" i="176"/>
  <c r="N49" i="176"/>
  <c r="M49" i="176"/>
  <c r="M70" i="176" s="1"/>
  <c r="F49" i="176"/>
  <c r="R49" i="176" s="1"/>
  <c r="R30" i="175"/>
  <c r="R55" i="175"/>
  <c r="J64" i="175"/>
  <c r="K64" i="175"/>
  <c r="I64" i="175"/>
  <c r="F64" i="175"/>
  <c r="O64" i="175" s="1"/>
  <c r="N64" i="175"/>
  <c r="L64" i="175"/>
  <c r="G64" i="175"/>
  <c r="M64" i="175"/>
  <c r="H64" i="175"/>
  <c r="J49" i="175"/>
  <c r="M49" i="175"/>
  <c r="F49" i="175"/>
  <c r="L49" i="175"/>
  <c r="K49" i="175"/>
  <c r="I49" i="175"/>
  <c r="D70" i="175"/>
  <c r="H49" i="175"/>
  <c r="G49" i="175"/>
  <c r="O49" i="175"/>
  <c r="N49" i="175"/>
  <c r="J66" i="175"/>
  <c r="H66" i="175"/>
  <c r="N66" i="175"/>
  <c r="G66" i="175"/>
  <c r="M66" i="175"/>
  <c r="L66" i="175"/>
  <c r="K66" i="175"/>
  <c r="I66" i="175"/>
  <c r="F66" i="175"/>
  <c r="D37" i="175"/>
  <c r="N26" i="175"/>
  <c r="F26" i="175"/>
  <c r="M26" i="175"/>
  <c r="O26" i="175"/>
  <c r="J26" i="175"/>
  <c r="I26" i="175"/>
  <c r="Q26" i="175" s="1"/>
  <c r="H26" i="175"/>
  <c r="P26" i="175"/>
  <c r="K26" i="175"/>
  <c r="K37" i="175" s="1"/>
  <c r="Q90" i="175"/>
  <c r="R90" i="175"/>
  <c r="L90" i="175"/>
  <c r="K46" i="175"/>
  <c r="K47" i="175" s="1"/>
  <c r="D47" i="175"/>
  <c r="F46" i="175"/>
  <c r="F47" i="175" s="1"/>
  <c r="N46" i="175"/>
  <c r="N47" i="175" s="1"/>
  <c r="J52" i="175"/>
  <c r="M52" i="175"/>
  <c r="F52" i="175"/>
  <c r="O52" i="175" s="1"/>
  <c r="L52" i="175"/>
  <c r="H52" i="175"/>
  <c r="G52" i="175"/>
  <c r="I52" i="175"/>
  <c r="N52" i="175"/>
  <c r="K52" i="175"/>
  <c r="N58" i="175"/>
  <c r="H58" i="175"/>
  <c r="L58" i="175"/>
  <c r="K58" i="175"/>
  <c r="O58" i="175"/>
  <c r="M58" i="175"/>
  <c r="P58" i="175"/>
  <c r="I58" i="175"/>
  <c r="G58" i="175"/>
  <c r="F58" i="175"/>
  <c r="J58" i="175"/>
  <c r="N62" i="175"/>
  <c r="R62" i="175" s="1"/>
  <c r="I62" i="175"/>
  <c r="H94" i="175"/>
  <c r="P28" i="175"/>
  <c r="J28" i="175"/>
  <c r="K28" i="175"/>
  <c r="I28" i="175"/>
  <c r="L28" i="175"/>
  <c r="H28" i="175"/>
  <c r="G28" i="175"/>
  <c r="O28" i="175"/>
  <c r="F28" i="175"/>
  <c r="N28" i="175"/>
  <c r="M28" i="175"/>
  <c r="L27" i="175"/>
  <c r="F27" i="175"/>
  <c r="Q27" i="175" s="1"/>
  <c r="K27" i="175"/>
  <c r="O27" i="175"/>
  <c r="G27" i="175"/>
  <c r="N27" i="175"/>
  <c r="M27" i="175"/>
  <c r="J27" i="175"/>
  <c r="I27" i="175"/>
  <c r="P27" i="175"/>
  <c r="H27" i="175"/>
  <c r="M61" i="175"/>
  <c r="G61" i="175"/>
  <c r="J61" i="175"/>
  <c r="P61" i="175"/>
  <c r="I61" i="175"/>
  <c r="O61" i="175"/>
  <c r="N61" i="175"/>
  <c r="K61" i="175"/>
  <c r="H61" i="175"/>
  <c r="F61" i="175"/>
  <c r="Q61" i="175" s="1"/>
  <c r="L61" i="175"/>
  <c r="F60" i="175"/>
  <c r="R60" i="175" s="1"/>
  <c r="L59" i="175"/>
  <c r="F59" i="175"/>
  <c r="Q59" i="175" s="1"/>
  <c r="M59" i="175"/>
  <c r="K59" i="175"/>
  <c r="J59" i="175"/>
  <c r="I59" i="175"/>
  <c r="P59" i="175"/>
  <c r="N59" i="175"/>
  <c r="H59" i="175"/>
  <c r="G59" i="175"/>
  <c r="O59" i="175"/>
  <c r="N77" i="175"/>
  <c r="R77" i="175" s="1"/>
  <c r="H77" i="175"/>
  <c r="M3" i="175"/>
  <c r="G3" i="175"/>
  <c r="K3" i="175"/>
  <c r="J3" i="175"/>
  <c r="J25" i="175" s="1"/>
  <c r="D25" i="175"/>
  <c r="O3" i="175"/>
  <c r="H3" i="175"/>
  <c r="N3" i="175"/>
  <c r="F3" i="175"/>
  <c r="L3" i="175"/>
  <c r="P3" i="175"/>
  <c r="I3" i="175"/>
  <c r="R8" i="175"/>
  <c r="F24" i="175"/>
  <c r="L24" i="175" s="1"/>
  <c r="R24" i="175" s="1"/>
  <c r="P57" i="175"/>
  <c r="J57" i="175"/>
  <c r="L57" i="175"/>
  <c r="K57" i="175"/>
  <c r="G57" i="175"/>
  <c r="Q57" i="175" s="1"/>
  <c r="O57" i="175"/>
  <c r="F57" i="175"/>
  <c r="M57" i="175"/>
  <c r="H57" i="175"/>
  <c r="N57" i="175"/>
  <c r="I57" i="175"/>
  <c r="J50" i="175"/>
  <c r="H50" i="175"/>
  <c r="N50" i="175"/>
  <c r="G50" i="175"/>
  <c r="K50" i="175"/>
  <c r="I50" i="175"/>
  <c r="M50" i="175"/>
  <c r="L50" i="175"/>
  <c r="F50" i="175"/>
  <c r="M73" i="175"/>
  <c r="G73" i="175"/>
  <c r="H73" i="175"/>
  <c r="N73" i="175"/>
  <c r="F73" i="175"/>
  <c r="O73" i="175" s="1"/>
  <c r="K73" i="175"/>
  <c r="L73" i="175"/>
  <c r="J73" i="175"/>
  <c r="I73" i="175"/>
  <c r="F63" i="175"/>
  <c r="R63" i="175" s="1"/>
  <c r="D83" i="175"/>
  <c r="F79" i="175"/>
  <c r="N29" i="175"/>
  <c r="H29" i="175"/>
  <c r="K29" i="175"/>
  <c r="J29" i="175"/>
  <c r="G29" i="175"/>
  <c r="P29" i="175"/>
  <c r="F29" i="175"/>
  <c r="O29" i="175"/>
  <c r="M29" i="175"/>
  <c r="L29" i="175"/>
  <c r="I29" i="175"/>
  <c r="F36" i="175"/>
  <c r="L36" i="175" s="1"/>
  <c r="L12" i="175"/>
  <c r="F12" i="175"/>
  <c r="K12" i="175"/>
  <c r="M12" i="175"/>
  <c r="I12" i="175"/>
  <c r="H12" i="175"/>
  <c r="G12" i="175"/>
  <c r="N12" i="175"/>
  <c r="J12" i="175"/>
  <c r="M6" i="175"/>
  <c r="G6" i="175"/>
  <c r="K6" i="175"/>
  <c r="P6" i="175"/>
  <c r="I6" i="175"/>
  <c r="O6" i="175"/>
  <c r="H6" i="175"/>
  <c r="N6" i="175"/>
  <c r="F6" i="175"/>
  <c r="L6" i="175"/>
  <c r="Q6" i="175" s="1"/>
  <c r="J6" i="175"/>
  <c r="L44" i="175"/>
  <c r="L45" i="175" s="1"/>
  <c r="R44" i="175"/>
  <c r="K31" i="175"/>
  <c r="P31" i="175"/>
  <c r="J31" i="175"/>
  <c r="M31" i="175"/>
  <c r="L31" i="175"/>
  <c r="I31" i="175"/>
  <c r="H31" i="175"/>
  <c r="G31" i="175"/>
  <c r="F31" i="175"/>
  <c r="Q31" i="175" s="1"/>
  <c r="O31" i="175"/>
  <c r="N31" i="175"/>
  <c r="F43" i="175"/>
  <c r="F45" i="175" s="1"/>
  <c r="K4" i="175"/>
  <c r="L4" i="175"/>
  <c r="J4" i="175"/>
  <c r="P4" i="175"/>
  <c r="O4" i="175"/>
  <c r="H4" i="175"/>
  <c r="N4" i="175"/>
  <c r="G4" i="175"/>
  <c r="M4" i="175"/>
  <c r="F4" i="175"/>
  <c r="I4" i="175"/>
  <c r="F69" i="175"/>
  <c r="R9" i="175"/>
  <c r="J53" i="175"/>
  <c r="H53" i="175"/>
  <c r="N53" i="175"/>
  <c r="G53" i="175"/>
  <c r="F53" i="175"/>
  <c r="L53" i="175"/>
  <c r="K53" i="175"/>
  <c r="I53" i="175"/>
  <c r="M53" i="175"/>
  <c r="K7" i="175"/>
  <c r="M7" i="175"/>
  <c r="L7" i="175"/>
  <c r="P7" i="175"/>
  <c r="I7" i="175"/>
  <c r="O7" i="175"/>
  <c r="H7" i="175"/>
  <c r="N7" i="175"/>
  <c r="G7" i="175"/>
  <c r="F7" i="175"/>
  <c r="J7" i="175"/>
  <c r="M74" i="175"/>
  <c r="G74" i="175"/>
  <c r="J74" i="175"/>
  <c r="I74" i="175"/>
  <c r="K74" i="175"/>
  <c r="N74" i="175"/>
  <c r="L74" i="175"/>
  <c r="F74" i="175"/>
  <c r="O74" i="175" s="1"/>
  <c r="H74" i="175"/>
  <c r="J65" i="175"/>
  <c r="M65" i="175"/>
  <c r="F65" i="175"/>
  <c r="O65" i="175" s="1"/>
  <c r="L65" i="175"/>
  <c r="N65" i="175"/>
  <c r="I65" i="175"/>
  <c r="H65" i="175"/>
  <c r="G65" i="175"/>
  <c r="K65" i="175"/>
  <c r="M72" i="175"/>
  <c r="G72" i="175"/>
  <c r="G76" i="175" s="1"/>
  <c r="L72" i="175"/>
  <c r="L76" i="175" s="1"/>
  <c r="K72" i="175"/>
  <c r="N72" i="175"/>
  <c r="H72" i="175"/>
  <c r="F72" i="175"/>
  <c r="I72" i="175"/>
  <c r="J72" i="175"/>
  <c r="F81" i="175"/>
  <c r="R81" i="175" s="1"/>
  <c r="F71" i="175"/>
  <c r="D76" i="175"/>
  <c r="L33" i="175"/>
  <c r="N33" i="175"/>
  <c r="G33" i="175"/>
  <c r="M33" i="175"/>
  <c r="F33" i="175"/>
  <c r="K33" i="175"/>
  <c r="J33" i="175"/>
  <c r="Q33" i="175" s="1"/>
  <c r="I33" i="175"/>
  <c r="H33" i="175"/>
  <c r="P33" i="175"/>
  <c r="O33" i="175"/>
  <c r="P16" i="175"/>
  <c r="J16" i="175"/>
  <c r="O16" i="175"/>
  <c r="I16" i="175"/>
  <c r="M16" i="175"/>
  <c r="K16" i="175"/>
  <c r="H16" i="175"/>
  <c r="G16" i="175"/>
  <c r="Q16" i="175" s="1"/>
  <c r="R16" i="175" s="1"/>
  <c r="N16" i="175"/>
  <c r="F16" i="175"/>
  <c r="L16" i="175"/>
  <c r="O5" i="175"/>
  <c r="I5" i="175"/>
  <c r="L5" i="175"/>
  <c r="K5" i="175"/>
  <c r="P5" i="175"/>
  <c r="H5" i="175"/>
  <c r="N5" i="175"/>
  <c r="G5" i="175"/>
  <c r="M5" i="175"/>
  <c r="F5" i="175"/>
  <c r="R5" i="175" s="1"/>
  <c r="Q5" i="175"/>
  <c r="J5" i="175"/>
  <c r="G92" i="175"/>
  <c r="K92" i="175"/>
  <c r="J92" i="175"/>
  <c r="F92" i="175"/>
  <c r="L92" i="175"/>
  <c r="I92" i="175"/>
  <c r="H92" i="175"/>
  <c r="D87" i="175"/>
  <c r="F88" i="175"/>
  <c r="F80" i="175"/>
  <c r="R80" i="175" s="1"/>
  <c r="L13" i="175"/>
  <c r="F13" i="175"/>
  <c r="K13" i="175"/>
  <c r="O13" i="175"/>
  <c r="G13" i="175"/>
  <c r="N13" i="175"/>
  <c r="M13" i="175"/>
  <c r="J13" i="175"/>
  <c r="I13" i="175"/>
  <c r="P13" i="175"/>
  <c r="H13" i="175"/>
  <c r="P54" i="175"/>
  <c r="J54" i="175"/>
  <c r="K54" i="175"/>
  <c r="I54" i="175"/>
  <c r="O54" i="175"/>
  <c r="F54" i="175"/>
  <c r="Q54" i="175" s="1"/>
  <c r="N54" i="175"/>
  <c r="M54" i="175"/>
  <c r="L54" i="175"/>
  <c r="H54" i="175"/>
  <c r="G54" i="175"/>
  <c r="K10" i="175"/>
  <c r="J10" i="175"/>
  <c r="P10" i="175"/>
  <c r="I10" i="175"/>
  <c r="O10" i="175"/>
  <c r="H10" i="175"/>
  <c r="Q10" i="175" s="1"/>
  <c r="N10" i="175"/>
  <c r="G10" i="175"/>
  <c r="M10" i="175"/>
  <c r="F10" i="175"/>
  <c r="L10" i="175"/>
  <c r="F82" i="175"/>
  <c r="R82" i="175" s="1"/>
  <c r="I42" i="175"/>
  <c r="I45" i="175" s="1"/>
  <c r="D45" i="175"/>
  <c r="N93" i="175"/>
  <c r="H93" i="175"/>
  <c r="Q93" i="175" s="1"/>
  <c r="O93" i="175"/>
  <c r="G93" i="175"/>
  <c r="R93" i="175" s="1"/>
  <c r="M93" i="175"/>
  <c r="F93" i="175"/>
  <c r="K93" i="175"/>
  <c r="J93" i="175"/>
  <c r="P93" i="175"/>
  <c r="I93" i="175"/>
  <c r="L93" i="175"/>
  <c r="M75" i="175"/>
  <c r="G75" i="175"/>
  <c r="L75" i="175"/>
  <c r="K75" i="175"/>
  <c r="I75" i="175"/>
  <c r="N75" i="175"/>
  <c r="J75" i="175"/>
  <c r="H75" i="175"/>
  <c r="O75" i="175" s="1"/>
  <c r="F75" i="175"/>
  <c r="R75" i="175" s="1"/>
  <c r="F89" i="175"/>
  <c r="L89" i="175" s="1"/>
  <c r="Q9" i="175"/>
  <c r="R68" i="175"/>
  <c r="F68" i="175"/>
  <c r="O32" i="175"/>
  <c r="I32" i="175"/>
  <c r="N32" i="175"/>
  <c r="H32" i="175"/>
  <c r="Q32" i="175"/>
  <c r="R32" i="175" s="1"/>
  <c r="G32" i="175"/>
  <c r="P32" i="175"/>
  <c r="F32" i="175"/>
  <c r="K32" i="175"/>
  <c r="J32" i="175"/>
  <c r="M32" i="175"/>
  <c r="L32" i="175"/>
  <c r="P14" i="175"/>
  <c r="J14" i="175"/>
  <c r="O14" i="175"/>
  <c r="I14" i="175"/>
  <c r="K14" i="175"/>
  <c r="H14" i="175"/>
  <c r="G14" i="175"/>
  <c r="N14" i="175"/>
  <c r="F14" i="175"/>
  <c r="Q14" i="175" s="1"/>
  <c r="M14" i="175"/>
  <c r="L14" i="175"/>
  <c r="J50" i="174"/>
  <c r="N50" i="174"/>
  <c r="G50" i="174"/>
  <c r="H50" i="174"/>
  <c r="O50" i="174"/>
  <c r="F50" i="174"/>
  <c r="R50" i="174" s="1"/>
  <c r="I50" i="174"/>
  <c r="M50" i="174"/>
  <c r="L50" i="174"/>
  <c r="K50" i="174"/>
  <c r="J66" i="174"/>
  <c r="N66" i="174"/>
  <c r="G66" i="174"/>
  <c r="M66" i="174"/>
  <c r="I66" i="174"/>
  <c r="H66" i="174"/>
  <c r="L66" i="174"/>
  <c r="K66" i="174"/>
  <c r="F66" i="174"/>
  <c r="O66" i="174" s="1"/>
  <c r="P7" i="174"/>
  <c r="J7" i="174"/>
  <c r="N7" i="174"/>
  <c r="G7" i="174"/>
  <c r="O7" i="174"/>
  <c r="M7" i="174"/>
  <c r="F7" i="174"/>
  <c r="L7" i="174"/>
  <c r="K7" i="174"/>
  <c r="I7" i="174"/>
  <c r="H7" i="174"/>
  <c r="M61" i="174"/>
  <c r="G61" i="174"/>
  <c r="P61" i="174"/>
  <c r="I61" i="174"/>
  <c r="O61" i="174"/>
  <c r="F61" i="174"/>
  <c r="K61" i="174"/>
  <c r="J61" i="174"/>
  <c r="N61" i="174"/>
  <c r="L61" i="174"/>
  <c r="H61" i="174"/>
  <c r="F60" i="174"/>
  <c r="R60" i="174" s="1"/>
  <c r="R68" i="174"/>
  <c r="F68" i="174"/>
  <c r="J64" i="174"/>
  <c r="I64" i="174"/>
  <c r="L64" i="174"/>
  <c r="G64" i="174"/>
  <c r="N64" i="174"/>
  <c r="F64" i="174"/>
  <c r="O64" i="174" s="1"/>
  <c r="M64" i="174"/>
  <c r="K64" i="174"/>
  <c r="H64" i="174"/>
  <c r="L33" i="174"/>
  <c r="Q33" i="174" s="1"/>
  <c r="M33" i="174"/>
  <c r="F33" i="174"/>
  <c r="R33" i="174" s="1"/>
  <c r="K33" i="174"/>
  <c r="J33" i="174"/>
  <c r="P33" i="174"/>
  <c r="O33" i="174"/>
  <c r="N33" i="174"/>
  <c r="I33" i="174"/>
  <c r="H33" i="174"/>
  <c r="G33" i="174"/>
  <c r="L6" i="174"/>
  <c r="F6" i="174"/>
  <c r="Q6" i="174" s="1"/>
  <c r="N6" i="174"/>
  <c r="G6" i="174"/>
  <c r="H6" i="174"/>
  <c r="M6" i="174"/>
  <c r="K6" i="174"/>
  <c r="O6" i="174"/>
  <c r="J6" i="174"/>
  <c r="P6" i="174"/>
  <c r="I6" i="174"/>
  <c r="H67" i="174"/>
  <c r="R67" i="174" s="1"/>
  <c r="K12" i="174"/>
  <c r="M12" i="174"/>
  <c r="F12" i="174"/>
  <c r="L12" i="174"/>
  <c r="J12" i="174"/>
  <c r="G12" i="174"/>
  <c r="I12" i="174"/>
  <c r="H12" i="174"/>
  <c r="N12" i="174"/>
  <c r="P57" i="174"/>
  <c r="J57" i="174"/>
  <c r="K57" i="174"/>
  <c r="M57" i="174"/>
  <c r="L57" i="174"/>
  <c r="H57" i="174"/>
  <c r="G57" i="174"/>
  <c r="F57" i="174"/>
  <c r="O57" i="174"/>
  <c r="N57" i="174"/>
  <c r="I57" i="174"/>
  <c r="M73" i="174"/>
  <c r="G73" i="174"/>
  <c r="N73" i="174"/>
  <c r="F73" i="174"/>
  <c r="F76" i="174" s="1"/>
  <c r="O73" i="174"/>
  <c r="J73" i="174"/>
  <c r="I73" i="174"/>
  <c r="L73" i="174"/>
  <c r="K73" i="174"/>
  <c r="H73" i="174"/>
  <c r="R73" i="174"/>
  <c r="R63" i="174"/>
  <c r="F63" i="174"/>
  <c r="F81" i="174"/>
  <c r="R81" i="174" s="1"/>
  <c r="N32" i="174"/>
  <c r="H32" i="174"/>
  <c r="K32" i="174"/>
  <c r="J32" i="174"/>
  <c r="G32" i="174"/>
  <c r="Q32" i="174" s="1"/>
  <c r="P32" i="174"/>
  <c r="F32" i="174"/>
  <c r="O32" i="174"/>
  <c r="M32" i="174"/>
  <c r="L32" i="174"/>
  <c r="I32" i="174"/>
  <c r="R43" i="174"/>
  <c r="F43" i="174"/>
  <c r="F45" i="174" s="1"/>
  <c r="F82" i="174"/>
  <c r="R82" i="174"/>
  <c r="L30" i="174"/>
  <c r="F30" i="174"/>
  <c r="Q30" i="174" s="1"/>
  <c r="J30" i="174"/>
  <c r="P30" i="174"/>
  <c r="I30" i="174"/>
  <c r="N30" i="174"/>
  <c r="O30" i="174"/>
  <c r="M30" i="174"/>
  <c r="K30" i="174"/>
  <c r="H30" i="174"/>
  <c r="G30" i="174"/>
  <c r="F80" i="174"/>
  <c r="R80" i="174" s="1"/>
  <c r="G92" i="174"/>
  <c r="J92" i="174"/>
  <c r="K92" i="174"/>
  <c r="F92" i="174"/>
  <c r="L92" i="174"/>
  <c r="I92" i="174"/>
  <c r="H92" i="174"/>
  <c r="N77" i="174"/>
  <c r="R77" i="174"/>
  <c r="H77" i="174"/>
  <c r="N55" i="174"/>
  <c r="H55" i="174"/>
  <c r="J55" i="174"/>
  <c r="O55" i="174"/>
  <c r="F55" i="174"/>
  <c r="Q55" i="174" s="1"/>
  <c r="R55" i="174" s="1"/>
  <c r="M55" i="174"/>
  <c r="K55" i="174"/>
  <c r="I55" i="174"/>
  <c r="G55" i="174"/>
  <c r="P55" i="174"/>
  <c r="L55" i="174"/>
  <c r="F69" i="174"/>
  <c r="D109" i="174"/>
  <c r="P28" i="174"/>
  <c r="J28" i="174"/>
  <c r="I28" i="174"/>
  <c r="M28" i="174"/>
  <c r="L28" i="174"/>
  <c r="K28" i="174"/>
  <c r="H28" i="174"/>
  <c r="O28" i="174"/>
  <c r="G28" i="174"/>
  <c r="R28" i="174" s="1"/>
  <c r="N28" i="174"/>
  <c r="F28" i="174"/>
  <c r="Q28" i="174" s="1"/>
  <c r="M75" i="174"/>
  <c r="G75" i="174"/>
  <c r="K75" i="174"/>
  <c r="H75" i="174"/>
  <c r="L75" i="174"/>
  <c r="J75" i="174"/>
  <c r="F75" i="174"/>
  <c r="N75" i="174"/>
  <c r="O75" i="174" s="1"/>
  <c r="R75" i="174" s="1"/>
  <c r="I75" i="174"/>
  <c r="N5" i="174"/>
  <c r="H5" i="174"/>
  <c r="M5" i="174"/>
  <c r="F5" i="174"/>
  <c r="L5" i="174"/>
  <c r="K5" i="174"/>
  <c r="G5" i="174"/>
  <c r="J5" i="174"/>
  <c r="P5" i="174"/>
  <c r="I5" i="174"/>
  <c r="O5" i="174"/>
  <c r="M74" i="174"/>
  <c r="G74" i="174"/>
  <c r="I74" i="174"/>
  <c r="R74" i="174" s="1"/>
  <c r="K74" i="174"/>
  <c r="F74" i="174"/>
  <c r="O74" i="174" s="1"/>
  <c r="N74" i="174"/>
  <c r="L74" i="174"/>
  <c r="J74" i="174"/>
  <c r="H74" i="174"/>
  <c r="K13" i="174"/>
  <c r="O13" i="174"/>
  <c r="H13" i="174"/>
  <c r="I13" i="174"/>
  <c r="N13" i="174"/>
  <c r="G13" i="174"/>
  <c r="Q13" i="174" s="1"/>
  <c r="M13" i="174"/>
  <c r="F13" i="174"/>
  <c r="P13" i="174"/>
  <c r="L13" i="174"/>
  <c r="J13" i="174"/>
  <c r="M72" i="174"/>
  <c r="M76" i="174" s="1"/>
  <c r="G72" i="174"/>
  <c r="K72" i="174"/>
  <c r="K76" i="174" s="1"/>
  <c r="I72" i="174"/>
  <c r="I76" i="174" s="1"/>
  <c r="N72" i="174"/>
  <c r="L72" i="174"/>
  <c r="H72" i="174"/>
  <c r="F72" i="174"/>
  <c r="J72" i="174"/>
  <c r="J65" i="174"/>
  <c r="L65" i="174"/>
  <c r="H65" i="174"/>
  <c r="M65" i="174"/>
  <c r="K65" i="174"/>
  <c r="G65" i="174"/>
  <c r="F65" i="174"/>
  <c r="N65" i="174"/>
  <c r="I65" i="174"/>
  <c r="L89" i="174"/>
  <c r="F89" i="174"/>
  <c r="R89" i="174"/>
  <c r="N29" i="174"/>
  <c r="H29" i="174"/>
  <c r="J29" i="174"/>
  <c r="P29" i="174"/>
  <c r="G29" i="174"/>
  <c r="O29" i="174"/>
  <c r="F29" i="174"/>
  <c r="Q29" i="174" s="1"/>
  <c r="M29" i="174"/>
  <c r="L29" i="174"/>
  <c r="K29" i="174"/>
  <c r="I29" i="174"/>
  <c r="L15" i="174"/>
  <c r="R15" i="174"/>
  <c r="F15" i="174"/>
  <c r="D76" i="174"/>
  <c r="J53" i="174"/>
  <c r="N53" i="174"/>
  <c r="G53" i="174"/>
  <c r="O53" i="174" s="1"/>
  <c r="F53" i="174"/>
  <c r="M53" i="174"/>
  <c r="K53" i="174"/>
  <c r="I53" i="174"/>
  <c r="H53" i="174"/>
  <c r="L53" i="174"/>
  <c r="J52" i="174"/>
  <c r="L52" i="174"/>
  <c r="I52" i="174"/>
  <c r="H52" i="174"/>
  <c r="K52" i="174"/>
  <c r="G52" i="174"/>
  <c r="F52" i="174"/>
  <c r="N52" i="174"/>
  <c r="M52" i="174"/>
  <c r="P10" i="174"/>
  <c r="J10" i="174"/>
  <c r="O10" i="174"/>
  <c r="H10" i="174"/>
  <c r="N10" i="174"/>
  <c r="G10" i="174"/>
  <c r="M10" i="174"/>
  <c r="F10" i="174"/>
  <c r="L10" i="174"/>
  <c r="K10" i="174"/>
  <c r="I10" i="174"/>
  <c r="K46" i="174"/>
  <c r="K47" i="174" s="1"/>
  <c r="D47" i="174"/>
  <c r="F46" i="174"/>
  <c r="F47" i="174" s="1"/>
  <c r="N46" i="174"/>
  <c r="N47" i="174" s="1"/>
  <c r="J51" i="174"/>
  <c r="I51" i="174"/>
  <c r="M51" i="174"/>
  <c r="L51" i="174"/>
  <c r="H51" i="174"/>
  <c r="O51" i="174" s="1"/>
  <c r="G51" i="174"/>
  <c r="R51" i="174" s="1"/>
  <c r="F51" i="174"/>
  <c r="N51" i="174"/>
  <c r="K51" i="174"/>
  <c r="L44" i="174"/>
  <c r="L45" i="174" s="1"/>
  <c r="M17" i="174"/>
  <c r="G17" i="174"/>
  <c r="Q17" i="174" s="1"/>
  <c r="L17" i="174"/>
  <c r="N17" i="174"/>
  <c r="K17" i="174"/>
  <c r="J17" i="174"/>
  <c r="F17" i="174"/>
  <c r="P17" i="174"/>
  <c r="I17" i="174"/>
  <c r="R17" i="174" s="1"/>
  <c r="O17" i="174"/>
  <c r="H17" i="174"/>
  <c r="L59" i="174"/>
  <c r="F59" i="174"/>
  <c r="Q59" i="174" s="1"/>
  <c r="K59" i="174"/>
  <c r="O59" i="174"/>
  <c r="J59" i="174"/>
  <c r="I59" i="174"/>
  <c r="G59" i="174"/>
  <c r="P59" i="174"/>
  <c r="N59" i="174"/>
  <c r="M59" i="174"/>
  <c r="H59" i="174"/>
  <c r="P4" i="174"/>
  <c r="J4" i="174"/>
  <c r="M4" i="174"/>
  <c r="F4" i="174"/>
  <c r="L4" i="174"/>
  <c r="K4" i="174"/>
  <c r="I4" i="174"/>
  <c r="O4" i="174"/>
  <c r="H4" i="174"/>
  <c r="N4" i="174"/>
  <c r="G4" i="174"/>
  <c r="D87" i="174"/>
  <c r="L88" i="174"/>
  <c r="F88" i="174"/>
  <c r="R88" i="174" s="1"/>
  <c r="F24" i="174"/>
  <c r="R24" i="174" s="1"/>
  <c r="L24" i="174"/>
  <c r="I42" i="174"/>
  <c r="I45" i="174" s="1"/>
  <c r="D45" i="174"/>
  <c r="D93" i="174"/>
  <c r="L9" i="174"/>
  <c r="F9" i="174"/>
  <c r="Q9" i="174" s="1"/>
  <c r="O9" i="174"/>
  <c r="H9" i="174"/>
  <c r="I9" i="174"/>
  <c r="N9" i="174"/>
  <c r="G9" i="174"/>
  <c r="M9" i="174"/>
  <c r="P9" i="174"/>
  <c r="K9" i="174"/>
  <c r="J9" i="174"/>
  <c r="O14" i="174"/>
  <c r="I14" i="174"/>
  <c r="P14" i="174"/>
  <c r="H14" i="174"/>
  <c r="N14" i="174"/>
  <c r="G14" i="174"/>
  <c r="M14" i="174"/>
  <c r="F14" i="174"/>
  <c r="L14" i="174"/>
  <c r="K14" i="174"/>
  <c r="J14" i="174"/>
  <c r="P54" i="174"/>
  <c r="P70" i="174" s="1"/>
  <c r="P78" i="174" s="1"/>
  <c r="J54" i="174"/>
  <c r="I54" i="174"/>
  <c r="R54" i="174" s="1"/>
  <c r="L54" i="174"/>
  <c r="K54" i="174"/>
  <c r="M54" i="174"/>
  <c r="H54" i="174"/>
  <c r="G54" i="174"/>
  <c r="Q54" i="174" s="1"/>
  <c r="F54" i="174"/>
  <c r="O54" i="174"/>
  <c r="N54" i="174"/>
  <c r="L3" i="174"/>
  <c r="F3" i="174"/>
  <c r="M3" i="174"/>
  <c r="K3" i="174"/>
  <c r="K25" i="174" s="1"/>
  <c r="K48" i="174" s="1"/>
  <c r="J3" i="174"/>
  <c r="D25" i="174"/>
  <c r="P3" i="174"/>
  <c r="I3" i="174"/>
  <c r="O3" i="174"/>
  <c r="H3" i="174"/>
  <c r="G3" i="174"/>
  <c r="N3" i="174"/>
  <c r="K27" i="174"/>
  <c r="L27" i="174"/>
  <c r="J27" i="174"/>
  <c r="P27" i="174"/>
  <c r="I27" i="174"/>
  <c r="F27" i="174"/>
  <c r="O27" i="174"/>
  <c r="H27" i="174"/>
  <c r="N27" i="174"/>
  <c r="G27" i="174"/>
  <c r="M27" i="174"/>
  <c r="L56" i="174"/>
  <c r="F56" i="174"/>
  <c r="Q56" i="174" s="1"/>
  <c r="J56" i="174"/>
  <c r="I56" i="174"/>
  <c r="P56" i="174"/>
  <c r="H56" i="174"/>
  <c r="K56" i="174"/>
  <c r="G56" i="174"/>
  <c r="O56" i="174"/>
  <c r="N56" i="174"/>
  <c r="M56" i="174"/>
  <c r="D83" i="174"/>
  <c r="F79" i="174"/>
  <c r="O16" i="174"/>
  <c r="I16" i="174"/>
  <c r="L16" i="174"/>
  <c r="K16" i="174"/>
  <c r="J16" i="174"/>
  <c r="F16" i="174"/>
  <c r="P16" i="174"/>
  <c r="H16" i="174"/>
  <c r="N16" i="174"/>
  <c r="G16" i="174"/>
  <c r="M16" i="174"/>
  <c r="N58" i="174"/>
  <c r="H58" i="174"/>
  <c r="K58" i="174"/>
  <c r="P58" i="174"/>
  <c r="G58" i="174"/>
  <c r="O58" i="174"/>
  <c r="F58" i="174"/>
  <c r="I58" i="174"/>
  <c r="M58" i="174"/>
  <c r="L58" i="174"/>
  <c r="J58" i="174"/>
  <c r="F36" i="174"/>
  <c r="L36" i="174" s="1"/>
  <c r="Q90" i="174"/>
  <c r="L90" i="174" s="1"/>
  <c r="R90" i="174" s="1"/>
  <c r="M26" i="174"/>
  <c r="M37" i="174" s="1"/>
  <c r="J26" i="174"/>
  <c r="I26" i="174"/>
  <c r="P26" i="174"/>
  <c r="H26" i="174"/>
  <c r="H37" i="174" s="1"/>
  <c r="D37" i="174"/>
  <c r="O26" i="174"/>
  <c r="F26" i="174"/>
  <c r="Q26" i="174" s="1"/>
  <c r="N26" i="174"/>
  <c r="K26" i="174"/>
  <c r="K37" i="174" s="1"/>
  <c r="J49" i="174"/>
  <c r="L49" i="174"/>
  <c r="K49" i="174"/>
  <c r="I49" i="174"/>
  <c r="G49" i="174"/>
  <c r="G70" i="174" s="1"/>
  <c r="D70" i="174"/>
  <c r="F49" i="174"/>
  <c r="N49" i="174"/>
  <c r="M49" i="174"/>
  <c r="H49" i="174"/>
  <c r="H70" i="174" s="1"/>
  <c r="I62" i="174"/>
  <c r="R62" i="174" s="1"/>
  <c r="N62" i="174"/>
  <c r="H94" i="174"/>
  <c r="O94" i="174"/>
  <c r="R94" i="174"/>
  <c r="N8" i="174"/>
  <c r="H8" i="174"/>
  <c r="O8" i="174"/>
  <c r="G8" i="174"/>
  <c r="M8" i="174"/>
  <c r="F8" i="174"/>
  <c r="L8" i="174"/>
  <c r="I8" i="174"/>
  <c r="K8" i="174"/>
  <c r="J8" i="174"/>
  <c r="P8" i="174"/>
  <c r="F11" i="174"/>
  <c r="R11" i="174" s="1"/>
  <c r="P31" i="174"/>
  <c r="J31" i="174"/>
  <c r="K31" i="174"/>
  <c r="I31" i="174"/>
  <c r="L31" i="174"/>
  <c r="H31" i="174"/>
  <c r="G31" i="174"/>
  <c r="O31" i="174"/>
  <c r="F31" i="174"/>
  <c r="Q31" i="174" s="1"/>
  <c r="N31" i="174"/>
  <c r="M31" i="174"/>
  <c r="I25" i="173"/>
  <c r="R16" i="173"/>
  <c r="R53" i="173"/>
  <c r="R6" i="173"/>
  <c r="R49" i="173"/>
  <c r="R33" i="173"/>
  <c r="R52" i="173"/>
  <c r="R65" i="173"/>
  <c r="K25" i="173"/>
  <c r="K48" i="173" s="1"/>
  <c r="K8" i="173"/>
  <c r="M8" i="173"/>
  <c r="F8" i="173"/>
  <c r="F25" i="173" s="1"/>
  <c r="F48" i="173" s="1"/>
  <c r="P8" i="173"/>
  <c r="P25" i="173" s="1"/>
  <c r="I8" i="173"/>
  <c r="O8" i="173"/>
  <c r="O25" i="173" s="1"/>
  <c r="O48" i="173" s="1"/>
  <c r="H8" i="173"/>
  <c r="N8" i="173"/>
  <c r="N25" i="173" s="1"/>
  <c r="L8" i="173"/>
  <c r="L25" i="173" s="1"/>
  <c r="J8" i="173"/>
  <c r="J25" i="173" s="1"/>
  <c r="G8" i="173"/>
  <c r="F43" i="173"/>
  <c r="F45" i="173" s="1"/>
  <c r="R43" i="173"/>
  <c r="J64" i="173"/>
  <c r="R64" i="173" s="1"/>
  <c r="M64" i="173"/>
  <c r="F64" i="173"/>
  <c r="L64" i="173"/>
  <c r="H64" i="173"/>
  <c r="O64" i="173" s="1"/>
  <c r="N64" i="173"/>
  <c r="K64" i="173"/>
  <c r="I64" i="173"/>
  <c r="G64" i="173"/>
  <c r="K32" i="173"/>
  <c r="P32" i="173"/>
  <c r="J32" i="173"/>
  <c r="L32" i="173"/>
  <c r="G32" i="173"/>
  <c r="N32" i="173"/>
  <c r="M32" i="173"/>
  <c r="I32" i="173"/>
  <c r="O32" i="173"/>
  <c r="H32" i="173"/>
  <c r="F32" i="173"/>
  <c r="I62" i="173"/>
  <c r="N62" i="173" s="1"/>
  <c r="R62" i="173" s="1"/>
  <c r="H94" i="173"/>
  <c r="O94" i="173"/>
  <c r="R94" i="173" s="1"/>
  <c r="L36" i="173"/>
  <c r="R36" i="173" s="1"/>
  <c r="Q6" i="173"/>
  <c r="Q16" i="173"/>
  <c r="I42" i="173"/>
  <c r="I45" i="173" s="1"/>
  <c r="R42" i="173"/>
  <c r="D45" i="173"/>
  <c r="R11" i="173"/>
  <c r="F11" i="173"/>
  <c r="K46" i="173"/>
  <c r="K47" i="173" s="1"/>
  <c r="F46" i="173"/>
  <c r="F47" i="173" s="1"/>
  <c r="D47" i="173"/>
  <c r="N46" i="173"/>
  <c r="N47" i="173" s="1"/>
  <c r="H67" i="173"/>
  <c r="R67" i="173"/>
  <c r="M61" i="173"/>
  <c r="G61" i="173"/>
  <c r="L61" i="173"/>
  <c r="K61" i="173"/>
  <c r="H61" i="173"/>
  <c r="I61" i="173"/>
  <c r="F61" i="173"/>
  <c r="Q61" i="173" s="1"/>
  <c r="R61" i="173" s="1"/>
  <c r="P61" i="173"/>
  <c r="O61" i="173"/>
  <c r="N61" i="173"/>
  <c r="J61" i="173"/>
  <c r="H77" i="173"/>
  <c r="N77" i="173" s="1"/>
  <c r="D93" i="173"/>
  <c r="Q57" i="173"/>
  <c r="R57" i="173" s="1"/>
  <c r="O49" i="173"/>
  <c r="M25" i="173"/>
  <c r="O73" i="173"/>
  <c r="R73" i="173" s="1"/>
  <c r="Q30" i="173"/>
  <c r="R30" i="173" s="1"/>
  <c r="L56" i="173"/>
  <c r="F56" i="173"/>
  <c r="Q56" i="173" s="1"/>
  <c r="N56" i="173"/>
  <c r="G56" i="173"/>
  <c r="M56" i="173"/>
  <c r="K56" i="173"/>
  <c r="P56" i="173"/>
  <c r="J56" i="173"/>
  <c r="I56" i="173"/>
  <c r="H56" i="173"/>
  <c r="O56" i="173"/>
  <c r="R27" i="173"/>
  <c r="D37" i="173"/>
  <c r="J26" i="173"/>
  <c r="N26" i="173"/>
  <c r="M26" i="173"/>
  <c r="I26" i="173"/>
  <c r="I37" i="173" s="1"/>
  <c r="H26" i="173"/>
  <c r="P26" i="173"/>
  <c r="F26" i="173"/>
  <c r="F37" i="173" s="1"/>
  <c r="K26" i="173"/>
  <c r="K37" i="173" s="1"/>
  <c r="O26" i="173"/>
  <c r="O37" i="173" s="1"/>
  <c r="J51" i="173"/>
  <c r="J70" i="173" s="1"/>
  <c r="M51" i="173"/>
  <c r="F51" i="173"/>
  <c r="L51" i="173"/>
  <c r="L70" i="173" s="1"/>
  <c r="K51" i="173"/>
  <c r="K70" i="173" s="1"/>
  <c r="I51" i="173"/>
  <c r="H51" i="173"/>
  <c r="G51" i="173"/>
  <c r="G70" i="173" s="1"/>
  <c r="N51" i="173"/>
  <c r="D109" i="173"/>
  <c r="M74" i="173"/>
  <c r="G74" i="173"/>
  <c r="G76" i="173" s="1"/>
  <c r="L74" i="173"/>
  <c r="L76" i="173" s="1"/>
  <c r="K74" i="173"/>
  <c r="K76" i="173" s="1"/>
  <c r="H74" i="173"/>
  <c r="H76" i="173" s="1"/>
  <c r="H78" i="173" s="1"/>
  <c r="N74" i="173"/>
  <c r="N76" i="173" s="1"/>
  <c r="J74" i="173"/>
  <c r="I74" i="173"/>
  <c r="I76" i="173" s="1"/>
  <c r="F74" i="173"/>
  <c r="D83" i="173"/>
  <c r="F79" i="173"/>
  <c r="J76" i="173"/>
  <c r="G25" i="173"/>
  <c r="R13" i="173"/>
  <c r="R12" i="173"/>
  <c r="H25" i="173"/>
  <c r="K29" i="173"/>
  <c r="P29" i="173"/>
  <c r="J29" i="173"/>
  <c r="H29" i="173"/>
  <c r="O29" i="173"/>
  <c r="F29" i="173"/>
  <c r="Q29" i="173" s="1"/>
  <c r="M29" i="173"/>
  <c r="L29" i="173"/>
  <c r="I29" i="173"/>
  <c r="G29" i="173"/>
  <c r="G37" i="173" s="1"/>
  <c r="N29" i="173"/>
  <c r="D86" i="173"/>
  <c r="F86" i="173" s="1"/>
  <c r="R71" i="173"/>
  <c r="N58" i="173"/>
  <c r="N70" i="173" s="1"/>
  <c r="H58" i="173"/>
  <c r="O58" i="173"/>
  <c r="G58" i="173"/>
  <c r="M58" i="173"/>
  <c r="F58" i="173"/>
  <c r="R58" i="173" s="1"/>
  <c r="L58" i="173"/>
  <c r="J58" i="173"/>
  <c r="I58" i="173"/>
  <c r="P58" i="173"/>
  <c r="K58" i="173"/>
  <c r="Q58" i="173" s="1"/>
  <c r="D92" i="173"/>
  <c r="F82" i="173"/>
  <c r="R82" i="173" s="1"/>
  <c r="F81" i="173"/>
  <c r="R81" i="173" s="1"/>
  <c r="R72" i="173"/>
  <c r="D70" i="173"/>
  <c r="R9" i="173"/>
  <c r="Q17" i="173"/>
  <c r="R17" i="173" s="1"/>
  <c r="D25" i="173"/>
  <c r="R69" i="173"/>
  <c r="F60" i="173"/>
  <c r="R60" i="173" s="1"/>
  <c r="Q28" i="173"/>
  <c r="R28" i="173"/>
  <c r="P54" i="173"/>
  <c r="J54" i="173"/>
  <c r="M54" i="173"/>
  <c r="F54" i="173"/>
  <c r="Q54" i="173" s="1"/>
  <c r="L54" i="173"/>
  <c r="H54" i="173"/>
  <c r="N54" i="173"/>
  <c r="K54" i="173"/>
  <c r="I54" i="173"/>
  <c r="O54" i="173"/>
  <c r="R54" i="173" s="1"/>
  <c r="G54" i="173"/>
  <c r="R7" i="173"/>
  <c r="Q3" i="173"/>
  <c r="L59" i="173"/>
  <c r="F59" i="173"/>
  <c r="Q59" i="173" s="1"/>
  <c r="O59" i="173"/>
  <c r="H59" i="173"/>
  <c r="N59" i="173"/>
  <c r="G59" i="173"/>
  <c r="M59" i="173"/>
  <c r="K59" i="173"/>
  <c r="I59" i="173"/>
  <c r="P59" i="173"/>
  <c r="J59" i="173"/>
  <c r="M75" i="173"/>
  <c r="M76" i="173" s="1"/>
  <c r="M78" i="173" s="1"/>
  <c r="G75" i="173"/>
  <c r="R75" i="173" s="1"/>
  <c r="H75" i="173"/>
  <c r="N75" i="173"/>
  <c r="F75" i="173"/>
  <c r="O75" i="173" s="1"/>
  <c r="L75" i="173"/>
  <c r="K75" i="173"/>
  <c r="J75" i="173"/>
  <c r="I75" i="173"/>
  <c r="N55" i="173"/>
  <c r="H55" i="173"/>
  <c r="H70" i="173" s="1"/>
  <c r="M55" i="173"/>
  <c r="M70" i="173" s="1"/>
  <c r="F55" i="173"/>
  <c r="L55" i="173"/>
  <c r="P55" i="173"/>
  <c r="K55" i="173"/>
  <c r="J55" i="173"/>
  <c r="I55" i="173"/>
  <c r="O55" i="173"/>
  <c r="G55" i="173"/>
  <c r="F89" i="173"/>
  <c r="O50" i="173"/>
  <c r="R50" i="173" s="1"/>
  <c r="D76" i="173"/>
  <c r="R3" i="173"/>
  <c r="Q33" i="173"/>
  <c r="R88" i="173"/>
  <c r="R44" i="173"/>
  <c r="R88" i="238" l="1"/>
  <c r="R29" i="238"/>
  <c r="R14" i="238"/>
  <c r="R10" i="238"/>
  <c r="R54" i="238"/>
  <c r="R17" i="238"/>
  <c r="R27" i="238"/>
  <c r="R9" i="238"/>
  <c r="R55" i="238"/>
  <c r="R52" i="238"/>
  <c r="L70" i="238"/>
  <c r="D48" i="238"/>
  <c r="J25" i="238"/>
  <c r="J48" i="238" s="1"/>
  <c r="J2" i="238" s="1"/>
  <c r="J95" i="238" s="1"/>
  <c r="R69" i="238"/>
  <c r="Q13" i="238"/>
  <c r="R13" i="238" s="1"/>
  <c r="Q54" i="238"/>
  <c r="P70" i="238"/>
  <c r="P78" i="238" s="1"/>
  <c r="J76" i="238"/>
  <c r="J78" i="238" s="1"/>
  <c r="R50" i="238"/>
  <c r="J37" i="238"/>
  <c r="N37" i="238"/>
  <c r="R77" i="238"/>
  <c r="R73" i="238"/>
  <c r="G37" i="238"/>
  <c r="K78" i="238"/>
  <c r="Q55" i="238"/>
  <c r="Q10" i="238"/>
  <c r="G25" i="238"/>
  <c r="G48" i="238" s="1"/>
  <c r="F25" i="238"/>
  <c r="F48" i="238" s="1"/>
  <c r="F2" i="238" s="1"/>
  <c r="L76" i="238"/>
  <c r="L78" i="238" s="1"/>
  <c r="M37" i="238"/>
  <c r="M48" i="238" s="1"/>
  <c r="M2" i="238" s="1"/>
  <c r="O51" i="238"/>
  <c r="O70" i="238" s="1"/>
  <c r="R46" i="238"/>
  <c r="Q27" i="238"/>
  <c r="K25" i="238"/>
  <c r="G92" i="238"/>
  <c r="L92" i="238"/>
  <c r="K92" i="238"/>
  <c r="J92" i="238"/>
  <c r="F92" i="238"/>
  <c r="I92" i="238"/>
  <c r="H92" i="238"/>
  <c r="Q56" i="238"/>
  <c r="R56" i="238" s="1"/>
  <c r="Q5" i="238"/>
  <c r="R5" i="238" s="1"/>
  <c r="P25" i="238"/>
  <c r="P48" i="238" s="1"/>
  <c r="P2" i="238" s="1"/>
  <c r="P95" i="238" s="1"/>
  <c r="P91" i="238" s="1"/>
  <c r="L25" i="238"/>
  <c r="L48" i="238" s="1"/>
  <c r="L2" i="238" s="1"/>
  <c r="L95" i="238" s="1"/>
  <c r="H76" i="238"/>
  <c r="H78" i="238" s="1"/>
  <c r="F76" i="238"/>
  <c r="H37" i="238"/>
  <c r="F83" i="238"/>
  <c r="R83" i="238" s="1"/>
  <c r="Q59" i="238"/>
  <c r="R59" i="238" s="1"/>
  <c r="L37" i="238"/>
  <c r="F70" i="238"/>
  <c r="Q45" i="238"/>
  <c r="R45" i="238" s="1"/>
  <c r="O25" i="238"/>
  <c r="O48" i="238" s="1"/>
  <c r="M76" i="238"/>
  <c r="M78" i="238" s="1"/>
  <c r="R75" i="238"/>
  <c r="H25" i="238"/>
  <c r="R3" i="238"/>
  <c r="R64" i="238"/>
  <c r="I76" i="238"/>
  <c r="I78" i="238" s="1"/>
  <c r="N76" i="238"/>
  <c r="N78" i="238" s="1"/>
  <c r="O37" i="238"/>
  <c r="P37" i="238"/>
  <c r="D78" i="238"/>
  <c r="Q47" i="238"/>
  <c r="R47" i="238"/>
  <c r="D86" i="238"/>
  <c r="F86" i="238" s="1"/>
  <c r="N25" i="238"/>
  <c r="N48" i="238" s="1"/>
  <c r="N2" i="238" s="1"/>
  <c r="Q3" i="238"/>
  <c r="I25" i="238"/>
  <c r="I48" i="238" s="1"/>
  <c r="O72" i="238"/>
  <c r="R72" i="238" s="1"/>
  <c r="G76" i="238"/>
  <c r="G78" i="238" s="1"/>
  <c r="Q26" i="238"/>
  <c r="R26" i="238" s="1"/>
  <c r="K37" i="238"/>
  <c r="D109" i="238"/>
  <c r="R12" i="237"/>
  <c r="R49" i="237"/>
  <c r="R8" i="237"/>
  <c r="R64" i="237"/>
  <c r="R36" i="237"/>
  <c r="R75" i="237"/>
  <c r="R59" i="237"/>
  <c r="Q27" i="237"/>
  <c r="R27" i="237" s="1"/>
  <c r="H25" i="237"/>
  <c r="H48" i="237" s="1"/>
  <c r="K70" i="237"/>
  <c r="O64" i="237"/>
  <c r="R17" i="237"/>
  <c r="Q8" i="237"/>
  <c r="Q30" i="237"/>
  <c r="R30" i="237" s="1"/>
  <c r="F76" i="237"/>
  <c r="F78" i="237" s="1"/>
  <c r="O66" i="237"/>
  <c r="R66" i="237" s="1"/>
  <c r="P70" i="237"/>
  <c r="P78" i="237" s="1"/>
  <c r="L25" i="237"/>
  <c r="O25" i="237"/>
  <c r="O48" i="237" s="1"/>
  <c r="Q55" i="237"/>
  <c r="R55" i="237" s="1"/>
  <c r="M76" i="237"/>
  <c r="I70" i="237"/>
  <c r="I78" i="237" s="1"/>
  <c r="R50" i="237"/>
  <c r="R16" i="237"/>
  <c r="N93" i="237"/>
  <c r="H93" i="237"/>
  <c r="L93" i="237"/>
  <c r="O93" i="237"/>
  <c r="F93" i="237"/>
  <c r="M93" i="237"/>
  <c r="K93" i="237"/>
  <c r="G93" i="237"/>
  <c r="Q93" i="237" s="1"/>
  <c r="P93" i="237"/>
  <c r="J93" i="237"/>
  <c r="I93" i="237"/>
  <c r="Q7" i="237"/>
  <c r="R7" i="237" s="1"/>
  <c r="O12" i="237"/>
  <c r="Q31" i="237"/>
  <c r="R31" i="237" s="1"/>
  <c r="J48" i="237"/>
  <c r="Q3" i="237"/>
  <c r="R3" i="237" s="1"/>
  <c r="G76" i="237"/>
  <c r="H70" i="237"/>
  <c r="G92" i="237"/>
  <c r="I92" i="237"/>
  <c r="H92" i="237"/>
  <c r="F92" i="237"/>
  <c r="M92" i="237" s="1"/>
  <c r="J92" i="237"/>
  <c r="L92" i="237"/>
  <c r="K92" i="237"/>
  <c r="D78" i="237"/>
  <c r="R56" i="237"/>
  <c r="R74" i="237"/>
  <c r="M25" i="237"/>
  <c r="M48" i="237" s="1"/>
  <c r="I25" i="237"/>
  <c r="I48" i="237" s="1"/>
  <c r="I2" i="237" s="1"/>
  <c r="I95" i="237" s="1"/>
  <c r="N76" i="237"/>
  <c r="M70" i="237"/>
  <c r="J70" i="237"/>
  <c r="R42" i="237"/>
  <c r="P25" i="237"/>
  <c r="P48" i="237" s="1"/>
  <c r="P2" i="237" s="1"/>
  <c r="P95" i="237" s="1"/>
  <c r="R44" i="237"/>
  <c r="H76" i="237"/>
  <c r="L70" i="237"/>
  <c r="L36" i="237"/>
  <c r="L37" i="237" s="1"/>
  <c r="Q37" i="237" s="1"/>
  <c r="R33" i="237"/>
  <c r="G37" i="237"/>
  <c r="R45" i="237"/>
  <c r="Q45" i="237"/>
  <c r="G25" i="237"/>
  <c r="D48" i="237"/>
  <c r="R32" i="237"/>
  <c r="K76" i="237"/>
  <c r="K78" i="237" s="1"/>
  <c r="R72" i="237"/>
  <c r="Q47" i="237"/>
  <c r="R47" i="237"/>
  <c r="G70" i="237"/>
  <c r="F70" i="237"/>
  <c r="Q29" i="237"/>
  <c r="R29" i="237" s="1"/>
  <c r="R5" i="237"/>
  <c r="F83" i="237"/>
  <c r="R83" i="237" s="1"/>
  <c r="D86" i="237"/>
  <c r="F86" i="237" s="1"/>
  <c r="F25" i="237"/>
  <c r="F48" i="237" s="1"/>
  <c r="F2" i="237" s="1"/>
  <c r="N25" i="237"/>
  <c r="N48" i="237" s="1"/>
  <c r="K25" i="237"/>
  <c r="K48" i="237" s="1"/>
  <c r="L76" i="237"/>
  <c r="J76" i="237"/>
  <c r="J78" i="237" s="1"/>
  <c r="O49" i="237"/>
  <c r="N70" i="237"/>
  <c r="R8" i="236"/>
  <c r="R33" i="236"/>
  <c r="R61" i="236"/>
  <c r="R52" i="236"/>
  <c r="R50" i="236"/>
  <c r="R65" i="236"/>
  <c r="D48" i="236"/>
  <c r="K70" i="236"/>
  <c r="R32" i="236"/>
  <c r="F37" i="236"/>
  <c r="F48" i="236" s="1"/>
  <c r="F2" i="236" s="1"/>
  <c r="O50" i="236"/>
  <c r="Q13" i="236"/>
  <c r="R13" i="236" s="1"/>
  <c r="D78" i="236"/>
  <c r="D109" i="236"/>
  <c r="R56" i="236"/>
  <c r="O72" i="236"/>
  <c r="R72" i="236" s="1"/>
  <c r="M78" i="236"/>
  <c r="L70" i="236"/>
  <c r="O52" i="236"/>
  <c r="Q30" i="236"/>
  <c r="R30" i="236" s="1"/>
  <c r="Q5" i="236"/>
  <c r="R59" i="236"/>
  <c r="N37" i="236"/>
  <c r="N48" i="236" s="1"/>
  <c r="N2" i="236" s="1"/>
  <c r="Q93" i="236"/>
  <c r="Q58" i="236"/>
  <c r="R58" i="236" s="1"/>
  <c r="H76" i="236"/>
  <c r="H78" i="236" s="1"/>
  <c r="O73" i="236"/>
  <c r="R73" i="236" s="1"/>
  <c r="M70" i="236"/>
  <c r="Q27" i="236"/>
  <c r="R27" i="236" s="1"/>
  <c r="J91" i="236"/>
  <c r="G25" i="236"/>
  <c r="G48" i="236" s="1"/>
  <c r="N76" i="236"/>
  <c r="N78" i="236" s="1"/>
  <c r="O12" i="236"/>
  <c r="R12" i="236" s="1"/>
  <c r="N70" i="236"/>
  <c r="I70" i="236"/>
  <c r="I2" i="236" s="1"/>
  <c r="I95" i="236" s="1"/>
  <c r="I91" i="236" s="1"/>
  <c r="P37" i="236"/>
  <c r="P48" i="236" s="1"/>
  <c r="P2" i="236" s="1"/>
  <c r="P95" i="236" s="1"/>
  <c r="P91" i="236" s="1"/>
  <c r="O37" i="236"/>
  <c r="N77" i="236"/>
  <c r="R77" i="236" s="1"/>
  <c r="F83" i="236"/>
  <c r="R88" i="236"/>
  <c r="G70" i="236"/>
  <c r="G78" i="236" s="1"/>
  <c r="O49" i="236"/>
  <c r="O70" i="236" s="1"/>
  <c r="R5" i="236"/>
  <c r="L37" i="236"/>
  <c r="L48" i="236" s="1"/>
  <c r="L2" i="236" s="1"/>
  <c r="L95" i="236" s="1"/>
  <c r="L91" i="236" s="1"/>
  <c r="M92" i="236"/>
  <c r="R46" i="236"/>
  <c r="H37" i="236"/>
  <c r="H48" i="236" s="1"/>
  <c r="H2" i="236" s="1"/>
  <c r="H95" i="236" s="1"/>
  <c r="H91" i="236" s="1"/>
  <c r="K37" i="236"/>
  <c r="K48" i="236" s="1"/>
  <c r="K2" i="236" s="1"/>
  <c r="K95" i="236" s="1"/>
  <c r="K91" i="236" s="1"/>
  <c r="F76" i="236"/>
  <c r="F78" i="236" s="1"/>
  <c r="R79" i="236"/>
  <c r="Q45" i="236"/>
  <c r="R45" i="236" s="1"/>
  <c r="K76" i="236"/>
  <c r="K78" i="236" s="1"/>
  <c r="L78" i="236"/>
  <c r="H70" i="236"/>
  <c r="R47" i="236"/>
  <c r="Q47" i="236"/>
  <c r="Q26" i="236"/>
  <c r="R26" i="236" s="1"/>
  <c r="M37" i="236"/>
  <c r="M48" i="236" s="1"/>
  <c r="M2" i="236" s="1"/>
  <c r="M95" i="236" s="1"/>
  <c r="R44" i="236"/>
  <c r="R83" i="236"/>
  <c r="O70" i="235"/>
  <c r="R54" i="235"/>
  <c r="R29" i="235"/>
  <c r="R58" i="235"/>
  <c r="R32" i="235"/>
  <c r="L37" i="235"/>
  <c r="R36" i="235"/>
  <c r="H48" i="235"/>
  <c r="H2" i="235" s="1"/>
  <c r="H95" i="235" s="1"/>
  <c r="R15" i="235"/>
  <c r="R73" i="235"/>
  <c r="M48" i="235"/>
  <c r="M2" i="235" s="1"/>
  <c r="K48" i="235"/>
  <c r="K2" i="235" s="1"/>
  <c r="K95" i="235" s="1"/>
  <c r="I76" i="235"/>
  <c r="I78" i="235" s="1"/>
  <c r="K76" i="235"/>
  <c r="R55" i="235"/>
  <c r="R61" i="235"/>
  <c r="L15" i="235"/>
  <c r="L25" i="235" s="1"/>
  <c r="H92" i="235"/>
  <c r="L92" i="235"/>
  <c r="K92" i="235"/>
  <c r="J92" i="235"/>
  <c r="I92" i="235"/>
  <c r="G92" i="235"/>
  <c r="M92" i="235" s="1"/>
  <c r="F92" i="235"/>
  <c r="R17" i="235"/>
  <c r="O73" i="235"/>
  <c r="F76" i="235"/>
  <c r="R50" i="235"/>
  <c r="I70" i="235"/>
  <c r="J70" i="235"/>
  <c r="N62" i="235"/>
  <c r="R62" i="235" s="1"/>
  <c r="G37" i="235"/>
  <c r="G48" i="235" s="1"/>
  <c r="G2" i="235" s="1"/>
  <c r="G95" i="235" s="1"/>
  <c r="R59" i="235"/>
  <c r="F25" i="235"/>
  <c r="F48" i="235" s="1"/>
  <c r="Q45" i="235"/>
  <c r="R45" i="235" s="1"/>
  <c r="R51" i="235"/>
  <c r="R72" i="235"/>
  <c r="L76" i="235"/>
  <c r="D48" i="235"/>
  <c r="R6" i="235"/>
  <c r="D78" i="235"/>
  <c r="R43" i="235"/>
  <c r="D86" i="235"/>
  <c r="F86" i="235" s="1"/>
  <c r="Q32" i="235"/>
  <c r="Q37" i="235"/>
  <c r="P48" i="235"/>
  <c r="O74" i="235"/>
  <c r="R74" i="235" s="1"/>
  <c r="Q5" i="235"/>
  <c r="R5" i="235" s="1"/>
  <c r="J25" i="235"/>
  <c r="J48" i="235" s="1"/>
  <c r="R30" i="235"/>
  <c r="F70" i="235"/>
  <c r="L70" i="235"/>
  <c r="Q8" i="235"/>
  <c r="R8" i="235" s="1"/>
  <c r="J76" i="235"/>
  <c r="J78" i="235" s="1"/>
  <c r="H70" i="235"/>
  <c r="H78" i="235" s="1"/>
  <c r="P70" i="235"/>
  <c r="P78" i="235" s="1"/>
  <c r="O75" i="235"/>
  <c r="R75" i="235" s="1"/>
  <c r="R4" i="235"/>
  <c r="R94" i="235"/>
  <c r="M76" i="235"/>
  <c r="N76" i="235"/>
  <c r="G70" i="235"/>
  <c r="G78" i="235" s="1"/>
  <c r="K70" i="235"/>
  <c r="L88" i="235"/>
  <c r="N48" i="235"/>
  <c r="F83" i="235"/>
  <c r="R83" i="235" s="1"/>
  <c r="R44" i="235"/>
  <c r="I48" i="235"/>
  <c r="I2" i="235" s="1"/>
  <c r="I95" i="235" s="1"/>
  <c r="R49" i="235"/>
  <c r="M70" i="235"/>
  <c r="R88" i="235"/>
  <c r="R7" i="234"/>
  <c r="R29" i="234"/>
  <c r="R75" i="234"/>
  <c r="R5" i="234"/>
  <c r="R57" i="234"/>
  <c r="R31" i="234"/>
  <c r="R59" i="234"/>
  <c r="R50" i="234"/>
  <c r="R9" i="234"/>
  <c r="R74" i="234"/>
  <c r="R27" i="234"/>
  <c r="R28" i="234"/>
  <c r="R73" i="234"/>
  <c r="R58" i="234"/>
  <c r="R32" i="234"/>
  <c r="R17" i="234"/>
  <c r="R33" i="234"/>
  <c r="G70" i="234"/>
  <c r="G78" i="234" s="1"/>
  <c r="N70" i="234"/>
  <c r="R51" i="234"/>
  <c r="D86" i="234"/>
  <c r="F86" i="234" s="1"/>
  <c r="F76" i="234"/>
  <c r="F78" i="234" s="1"/>
  <c r="Q61" i="234"/>
  <c r="R61" i="234" s="1"/>
  <c r="K76" i="234"/>
  <c r="Q47" i="234"/>
  <c r="R47" i="234"/>
  <c r="K37" i="234"/>
  <c r="R65" i="234"/>
  <c r="G25" i="234"/>
  <c r="D48" i="234"/>
  <c r="L24" i="234"/>
  <c r="L25" i="234" s="1"/>
  <c r="L48" i="234" s="1"/>
  <c r="L2" i="234" s="1"/>
  <c r="L95" i="234" s="1"/>
  <c r="L78" i="234"/>
  <c r="H25" i="234"/>
  <c r="Q17" i="234"/>
  <c r="H70" i="234"/>
  <c r="K70" i="234"/>
  <c r="Q33" i="234"/>
  <c r="G92" i="234"/>
  <c r="I92" i="234"/>
  <c r="H92" i="234"/>
  <c r="J92" i="234"/>
  <c r="L92" i="234"/>
  <c r="K92" i="234"/>
  <c r="F92" i="234"/>
  <c r="M92" i="234" s="1"/>
  <c r="D78" i="234"/>
  <c r="G37" i="234"/>
  <c r="Q37" i="234" s="1"/>
  <c r="Q59" i="234"/>
  <c r="J76" i="234"/>
  <c r="H37" i="234"/>
  <c r="R37" i="234" s="1"/>
  <c r="F37" i="234"/>
  <c r="R8" i="234"/>
  <c r="J25" i="234"/>
  <c r="J48" i="234" s="1"/>
  <c r="N25" i="234"/>
  <c r="K25" i="234"/>
  <c r="K48" i="234" s="1"/>
  <c r="Q57" i="234"/>
  <c r="O73" i="234"/>
  <c r="Q3" i="234"/>
  <c r="R43" i="234"/>
  <c r="M70" i="234"/>
  <c r="J70" i="234"/>
  <c r="Q45" i="234"/>
  <c r="R45" i="234" s="1"/>
  <c r="Q54" i="234"/>
  <c r="R54" i="234" s="1"/>
  <c r="O72" i="234"/>
  <c r="R72" i="234" s="1"/>
  <c r="M76" i="234"/>
  <c r="R13" i="234"/>
  <c r="I37" i="234"/>
  <c r="M37" i="234"/>
  <c r="R3" i="234"/>
  <c r="O25" i="234"/>
  <c r="O48" i="234" s="1"/>
  <c r="Q28" i="234"/>
  <c r="O37" i="234"/>
  <c r="L70" i="234"/>
  <c r="R49" i="234"/>
  <c r="R88" i="234"/>
  <c r="L37" i="234"/>
  <c r="N76" i="234"/>
  <c r="N78" i="234" s="1"/>
  <c r="N37" i="234"/>
  <c r="J37" i="234"/>
  <c r="F25" i="234"/>
  <c r="F48" i="234" s="1"/>
  <c r="F2" i="234" s="1"/>
  <c r="I25" i="234"/>
  <c r="I48" i="234" s="1"/>
  <c r="I2" i="234" s="1"/>
  <c r="I95" i="234" s="1"/>
  <c r="O49" i="234"/>
  <c r="O70" i="234" s="1"/>
  <c r="F70" i="234"/>
  <c r="Q70" i="234" s="1"/>
  <c r="Q78" i="234" s="1"/>
  <c r="P70" i="234"/>
  <c r="P78" i="234" s="1"/>
  <c r="I76" i="234"/>
  <c r="I78" i="234" s="1"/>
  <c r="H76" i="234"/>
  <c r="P37" i="234"/>
  <c r="F83" i="234"/>
  <c r="R83" i="234" s="1"/>
  <c r="M25" i="234"/>
  <c r="M48" i="234" s="1"/>
  <c r="M2" i="234" s="1"/>
  <c r="P25" i="234"/>
  <c r="R57" i="233"/>
  <c r="R52" i="233"/>
  <c r="R30" i="233"/>
  <c r="R49" i="233"/>
  <c r="R17" i="233"/>
  <c r="R72" i="233"/>
  <c r="R28" i="233"/>
  <c r="R32" i="233"/>
  <c r="R64" i="233"/>
  <c r="L48" i="233"/>
  <c r="R7" i="233"/>
  <c r="H48" i="233"/>
  <c r="H2" i="233" s="1"/>
  <c r="J70" i="233"/>
  <c r="J25" i="233"/>
  <c r="K70" i="233"/>
  <c r="L37" i="233"/>
  <c r="R71" i="233"/>
  <c r="N62" i="233"/>
  <c r="R62" i="233" s="1"/>
  <c r="J76" i="233"/>
  <c r="J78" i="233" s="1"/>
  <c r="H76" i="233"/>
  <c r="H78" i="233" s="1"/>
  <c r="R58" i="233"/>
  <c r="R75" i="233"/>
  <c r="J37" i="233"/>
  <c r="I37" i="233"/>
  <c r="I48" i="233" s="1"/>
  <c r="I2" i="233" s="1"/>
  <c r="I95" i="233" s="1"/>
  <c r="R4" i="233"/>
  <c r="P25" i="233"/>
  <c r="P48" i="233" s="1"/>
  <c r="P2" i="233" s="1"/>
  <c r="P95" i="233" s="1"/>
  <c r="O52" i="233"/>
  <c r="R59" i="233"/>
  <c r="Q13" i="233"/>
  <c r="R13" i="233" s="1"/>
  <c r="R51" i="233"/>
  <c r="I92" i="233"/>
  <c r="H92" i="233"/>
  <c r="F92" i="233"/>
  <c r="L92" i="233"/>
  <c r="K92" i="233"/>
  <c r="J92" i="233"/>
  <c r="G92" i="233"/>
  <c r="G70" i="233"/>
  <c r="G2" i="233" s="1"/>
  <c r="G95" i="233" s="1"/>
  <c r="F70" i="233"/>
  <c r="R27" i="233"/>
  <c r="D78" i="233"/>
  <c r="R77" i="233"/>
  <c r="K76" i="233"/>
  <c r="K78" i="233" s="1"/>
  <c r="N76" i="233"/>
  <c r="R54" i="233"/>
  <c r="K37" i="233"/>
  <c r="K48" i="233" s="1"/>
  <c r="K2" i="233" s="1"/>
  <c r="K95" i="233" s="1"/>
  <c r="M37" i="233"/>
  <c r="M48" i="233" s="1"/>
  <c r="M2" i="233" s="1"/>
  <c r="Q7" i="233"/>
  <c r="D48" i="233"/>
  <c r="R12" i="233"/>
  <c r="Q4" i="233"/>
  <c r="R46" i="233"/>
  <c r="R42" i="233"/>
  <c r="H70" i="233"/>
  <c r="M70" i="233"/>
  <c r="M78" i="233" s="1"/>
  <c r="Q93" i="233"/>
  <c r="R93" i="233" s="1"/>
  <c r="O72" i="233"/>
  <c r="Q26" i="233"/>
  <c r="N37" i="233"/>
  <c r="N48" i="233" s="1"/>
  <c r="F78" i="233"/>
  <c r="P91" i="233"/>
  <c r="Q45" i="233"/>
  <c r="R45" i="233"/>
  <c r="I70" i="233"/>
  <c r="R50" i="233"/>
  <c r="H37" i="233"/>
  <c r="Q37" i="233" s="1"/>
  <c r="R37" i="233" s="1"/>
  <c r="R66" i="233"/>
  <c r="D86" i="233"/>
  <c r="F86" i="233" s="1"/>
  <c r="O25" i="233"/>
  <c r="Q47" i="233"/>
  <c r="R47" i="233"/>
  <c r="O49" i="233"/>
  <c r="F83" i="233"/>
  <c r="F2" i="233" s="1"/>
  <c r="L76" i="233"/>
  <c r="L78" i="233" s="1"/>
  <c r="G76" i="233"/>
  <c r="G78" i="233" s="1"/>
  <c r="R26" i="233"/>
  <c r="O37" i="233"/>
  <c r="R3" i="232"/>
  <c r="R14" i="232"/>
  <c r="R16" i="232"/>
  <c r="R29" i="232"/>
  <c r="G78" i="232"/>
  <c r="R28" i="232"/>
  <c r="D86" i="232"/>
  <c r="F86" i="232" s="1"/>
  <c r="D78" i="232"/>
  <c r="D109" i="232"/>
  <c r="P37" i="232"/>
  <c r="N37" i="232"/>
  <c r="R27" i="232"/>
  <c r="L69" i="232"/>
  <c r="R69" i="232" s="1"/>
  <c r="M76" i="232"/>
  <c r="M78" i="232" s="1"/>
  <c r="R13" i="232"/>
  <c r="R15" i="232"/>
  <c r="F70" i="232"/>
  <c r="K70" i="232"/>
  <c r="K78" i="232" s="1"/>
  <c r="Q45" i="232"/>
  <c r="R45" i="232" s="1"/>
  <c r="N25" i="232"/>
  <c r="N48" i="232" s="1"/>
  <c r="R93" i="232"/>
  <c r="R36" i="232"/>
  <c r="Q5" i="232"/>
  <c r="R5" i="232" s="1"/>
  <c r="R83" i="232"/>
  <c r="F37" i="232"/>
  <c r="K37" i="232"/>
  <c r="Q37" i="232" s="1"/>
  <c r="R37" i="232" s="1"/>
  <c r="L37" i="232"/>
  <c r="R66" i="232"/>
  <c r="M70" i="232"/>
  <c r="O25" i="232"/>
  <c r="O48" i="232" s="1"/>
  <c r="J25" i="232"/>
  <c r="R47" i="232"/>
  <c r="Q47" i="232"/>
  <c r="G70" i="232"/>
  <c r="L25" i="232"/>
  <c r="L48" i="232" s="1"/>
  <c r="P25" i="232"/>
  <c r="Q33" i="232"/>
  <c r="R33" i="232" s="1"/>
  <c r="R43" i="232"/>
  <c r="N92" i="232"/>
  <c r="M92" i="232"/>
  <c r="R92" i="232" s="1"/>
  <c r="H37" i="232"/>
  <c r="H48" i="232" s="1"/>
  <c r="H2" i="232" s="1"/>
  <c r="H95" i="232" s="1"/>
  <c r="H91" i="232" s="1"/>
  <c r="H70" i="232"/>
  <c r="H78" i="232" s="1"/>
  <c r="J70" i="232"/>
  <c r="I25" i="232"/>
  <c r="I48" i="232" s="1"/>
  <c r="I2" i="232" s="1"/>
  <c r="I95" i="232" s="1"/>
  <c r="I91" i="232" s="1"/>
  <c r="F25" i="232"/>
  <c r="F48" i="232" s="1"/>
  <c r="D48" i="232"/>
  <c r="I78" i="232"/>
  <c r="M37" i="232"/>
  <c r="J37" i="232"/>
  <c r="O53" i="232"/>
  <c r="R53" i="232" s="1"/>
  <c r="L70" i="232"/>
  <c r="L78" i="232" s="1"/>
  <c r="R49" i="232"/>
  <c r="K25" i="232"/>
  <c r="M25" i="232"/>
  <c r="M48" i="232" s="1"/>
  <c r="J78" i="232"/>
  <c r="L88" i="232"/>
  <c r="R88" i="232" s="1"/>
  <c r="F76" i="232"/>
  <c r="F78" i="232" s="1"/>
  <c r="F83" i="232"/>
  <c r="O37" i="232"/>
  <c r="N70" i="232"/>
  <c r="N78" i="232" s="1"/>
  <c r="Q3" i="232"/>
  <c r="G25" i="232"/>
  <c r="G48" i="232" s="1"/>
  <c r="G2" i="232" s="1"/>
  <c r="G95" i="232" s="1"/>
  <c r="G91" i="232" s="1"/>
  <c r="R61" i="231"/>
  <c r="R49" i="231"/>
  <c r="R31" i="231"/>
  <c r="R16" i="231"/>
  <c r="R59" i="231"/>
  <c r="F48" i="231"/>
  <c r="M2" i="231"/>
  <c r="R51" i="231"/>
  <c r="R30" i="231"/>
  <c r="K48" i="231"/>
  <c r="K2" i="231" s="1"/>
  <c r="O66" i="231"/>
  <c r="R66" i="231" s="1"/>
  <c r="N25" i="231"/>
  <c r="N48" i="231" s="1"/>
  <c r="N2" i="231" s="1"/>
  <c r="I70" i="231"/>
  <c r="R94" i="231"/>
  <c r="J76" i="231"/>
  <c r="H76" i="231"/>
  <c r="H78" i="231" s="1"/>
  <c r="O25" i="231"/>
  <c r="O48" i="231" s="1"/>
  <c r="R79" i="231"/>
  <c r="F37" i="231"/>
  <c r="O51" i="231"/>
  <c r="R29" i="231"/>
  <c r="F76" i="231"/>
  <c r="F78" i="231" s="1"/>
  <c r="L36" i="231"/>
  <c r="R36" i="231" s="1"/>
  <c r="N70" i="231"/>
  <c r="N78" i="231" s="1"/>
  <c r="Q32" i="231"/>
  <c r="R32" i="231" s="1"/>
  <c r="P48" i="231"/>
  <c r="P2" i="231" s="1"/>
  <c r="P95" i="231" s="1"/>
  <c r="H92" i="231"/>
  <c r="L92" i="231"/>
  <c r="J92" i="231"/>
  <c r="I92" i="231"/>
  <c r="K92" i="231"/>
  <c r="G92" i="231"/>
  <c r="F92" i="231"/>
  <c r="O76" i="231"/>
  <c r="D78" i="231"/>
  <c r="G70" i="231"/>
  <c r="G2" i="231" s="1"/>
  <c r="G95" i="231" s="1"/>
  <c r="D48" i="231"/>
  <c r="L78" i="231"/>
  <c r="G76" i="231"/>
  <c r="O65" i="231"/>
  <c r="R65" i="231" s="1"/>
  <c r="P91" i="231"/>
  <c r="L70" i="231"/>
  <c r="O49" i="231"/>
  <c r="R14" i="231"/>
  <c r="P70" i="231"/>
  <c r="P78" i="231" s="1"/>
  <c r="I48" i="231"/>
  <c r="I2" i="231" s="1"/>
  <c r="I95" i="231" s="1"/>
  <c r="M78" i="231"/>
  <c r="R72" i="231"/>
  <c r="O52" i="231"/>
  <c r="R52" i="231" s="1"/>
  <c r="R45" i="231"/>
  <c r="Q45" i="231"/>
  <c r="R46" i="231"/>
  <c r="J70" i="231"/>
  <c r="J2" i="231" s="1"/>
  <c r="J95" i="231" s="1"/>
  <c r="F70" i="231"/>
  <c r="N77" i="231"/>
  <c r="R77" i="231" s="1"/>
  <c r="K70" i="231"/>
  <c r="K78" i="231" s="1"/>
  <c r="I76" i="231"/>
  <c r="R89" i="231"/>
  <c r="Q47" i="231"/>
  <c r="R47" i="231"/>
  <c r="H70" i="231"/>
  <c r="H2" i="231" s="1"/>
  <c r="H95" i="231" s="1"/>
  <c r="M70" i="231"/>
  <c r="R45" i="230"/>
  <c r="R29" i="230"/>
  <c r="R8" i="230"/>
  <c r="R53" i="230"/>
  <c r="R73" i="230"/>
  <c r="R51" i="230"/>
  <c r="L48" i="230"/>
  <c r="R65" i="230"/>
  <c r="R58" i="230"/>
  <c r="Q47" i="230"/>
  <c r="R47" i="230" s="1"/>
  <c r="H25" i="230"/>
  <c r="H48" i="230" s="1"/>
  <c r="M76" i="230"/>
  <c r="R72" i="230"/>
  <c r="R28" i="230"/>
  <c r="K70" i="230"/>
  <c r="N70" i="230"/>
  <c r="O48" i="230"/>
  <c r="O75" i="230"/>
  <c r="R75" i="230" s="1"/>
  <c r="K92" i="230"/>
  <c r="J92" i="230"/>
  <c r="I92" i="230"/>
  <c r="H92" i="230"/>
  <c r="M92" i="230"/>
  <c r="G92" i="230"/>
  <c r="N92" i="230" s="1"/>
  <c r="F92" i="230"/>
  <c r="L92" i="230"/>
  <c r="O52" i="230"/>
  <c r="R52" i="230" s="1"/>
  <c r="Q14" i="230"/>
  <c r="R14" i="230" s="1"/>
  <c r="M25" i="230"/>
  <c r="M48" i="230" s="1"/>
  <c r="M2" i="230" s="1"/>
  <c r="M95" i="230" s="1"/>
  <c r="K25" i="230"/>
  <c r="K48" i="230" s="1"/>
  <c r="K2" i="230" s="1"/>
  <c r="D86" i="230"/>
  <c r="F86" i="230" s="1"/>
  <c r="H76" i="230"/>
  <c r="K76" i="230"/>
  <c r="K78" i="230" s="1"/>
  <c r="F37" i="230"/>
  <c r="O49" i="230"/>
  <c r="F70" i="230"/>
  <c r="R32" i="230"/>
  <c r="R16" i="230"/>
  <c r="N76" i="230"/>
  <c r="F76" i="230"/>
  <c r="F78" i="230" s="1"/>
  <c r="O50" i="230"/>
  <c r="R50" i="230" s="1"/>
  <c r="R93" i="230"/>
  <c r="R57" i="230"/>
  <c r="F83" i="230"/>
  <c r="R83" i="230" s="1"/>
  <c r="R31" i="230"/>
  <c r="O53" i="230"/>
  <c r="F25" i="230"/>
  <c r="L88" i="230"/>
  <c r="I76" i="230"/>
  <c r="I78" i="230" s="1"/>
  <c r="R71" i="230"/>
  <c r="N77" i="230"/>
  <c r="R77" i="230" s="1"/>
  <c r="I70" i="230"/>
  <c r="I2" i="230" s="1"/>
  <c r="I95" i="230" s="1"/>
  <c r="G70" i="230"/>
  <c r="R79" i="230"/>
  <c r="Q45" i="230"/>
  <c r="G48" i="230"/>
  <c r="G2" i="230" s="1"/>
  <c r="G95" i="230" s="1"/>
  <c r="L76" i="230"/>
  <c r="D78" i="230"/>
  <c r="N37" i="230"/>
  <c r="N48" i="230" s="1"/>
  <c r="N2" i="230" s="1"/>
  <c r="P70" i="230"/>
  <c r="P78" i="230" s="1"/>
  <c r="L69" i="230"/>
  <c r="R69" i="230" s="1"/>
  <c r="J70" i="230"/>
  <c r="J2" i="230" s="1"/>
  <c r="J95" i="230" s="1"/>
  <c r="M70" i="230"/>
  <c r="D48" i="230"/>
  <c r="R46" i="230"/>
  <c r="R5" i="230"/>
  <c r="G76" i="230"/>
  <c r="G78" i="230" s="1"/>
  <c r="J76" i="230"/>
  <c r="J78" i="230" s="1"/>
  <c r="L37" i="230"/>
  <c r="R49" i="230"/>
  <c r="H70" i="230"/>
  <c r="J78" i="229"/>
  <c r="R29" i="229"/>
  <c r="R53" i="229"/>
  <c r="R3" i="229"/>
  <c r="O70" i="229"/>
  <c r="R27" i="229"/>
  <c r="R66" i="229"/>
  <c r="R61" i="229"/>
  <c r="Q59" i="229"/>
  <c r="R59" i="229" s="1"/>
  <c r="F37" i="229"/>
  <c r="Q37" i="229" s="1"/>
  <c r="R37" i="229" s="1"/>
  <c r="O66" i="229"/>
  <c r="K25" i="229"/>
  <c r="K48" i="229" s="1"/>
  <c r="G25" i="229"/>
  <c r="Q25" i="229" s="1"/>
  <c r="D48" i="229"/>
  <c r="L70" i="229"/>
  <c r="J70" i="229"/>
  <c r="O12" i="229"/>
  <c r="R12" i="229" s="1"/>
  <c r="Q28" i="229"/>
  <c r="R28" i="229" s="1"/>
  <c r="G92" i="229"/>
  <c r="H92" i="229"/>
  <c r="I92" i="229"/>
  <c r="M92" i="229" s="1"/>
  <c r="L92" i="229"/>
  <c r="K92" i="229"/>
  <c r="F92" i="229"/>
  <c r="J92" i="229"/>
  <c r="H76" i="229"/>
  <c r="H78" i="229" s="1"/>
  <c r="R52" i="229"/>
  <c r="Q3" i="229"/>
  <c r="N25" i="229"/>
  <c r="N48" i="229" s="1"/>
  <c r="R32" i="229"/>
  <c r="R49" i="229"/>
  <c r="Q5" i="229"/>
  <c r="R5" i="229" s="1"/>
  <c r="G37" i="229"/>
  <c r="P37" i="229"/>
  <c r="L88" i="229"/>
  <c r="R42" i="229"/>
  <c r="H25" i="229"/>
  <c r="H48" i="229" s="1"/>
  <c r="M70" i="229"/>
  <c r="M78" i="229" s="1"/>
  <c r="K70" i="229"/>
  <c r="K78" i="229" s="1"/>
  <c r="O94" i="229"/>
  <c r="R94" i="229" s="1"/>
  <c r="O53" i="229"/>
  <c r="I37" i="229"/>
  <c r="Q27" i="229"/>
  <c r="R88" i="229"/>
  <c r="F83" i="229"/>
  <c r="Q45" i="229"/>
  <c r="R45" i="229" s="1"/>
  <c r="L25" i="229"/>
  <c r="O25" i="229"/>
  <c r="O48" i="229" s="1"/>
  <c r="O2" i="229" s="1"/>
  <c r="O95" i="229" s="1"/>
  <c r="F70" i="229"/>
  <c r="L37" i="229"/>
  <c r="D86" i="229"/>
  <c r="F86" i="229" s="1"/>
  <c r="R83" i="229"/>
  <c r="R76" i="229"/>
  <c r="O76" i="229"/>
  <c r="O78" i="229" s="1"/>
  <c r="D78" i="229"/>
  <c r="F25" i="229"/>
  <c r="J48" i="229"/>
  <c r="J2" i="229" s="1"/>
  <c r="J95" i="229" s="1"/>
  <c r="G70" i="229"/>
  <c r="G78" i="229" s="1"/>
  <c r="N70" i="229"/>
  <c r="N78" i="229" s="1"/>
  <c r="L78" i="229"/>
  <c r="I48" i="229"/>
  <c r="M25" i="229"/>
  <c r="M48" i="229" s="1"/>
  <c r="M2" i="229" s="1"/>
  <c r="P48" i="229"/>
  <c r="P2" i="229" s="1"/>
  <c r="P95" i="229" s="1"/>
  <c r="P91" i="229" s="1"/>
  <c r="I70" i="229"/>
  <c r="I78" i="229" s="1"/>
  <c r="M37" i="229"/>
  <c r="R57" i="228"/>
  <c r="R50" i="228"/>
  <c r="R6" i="228"/>
  <c r="R31" i="228"/>
  <c r="R33" i="228"/>
  <c r="Q55" i="228"/>
  <c r="R55" i="228" s="1"/>
  <c r="M70" i="228"/>
  <c r="O25" i="228"/>
  <c r="O48" i="228" s="1"/>
  <c r="Q59" i="228"/>
  <c r="R59" i="228" s="1"/>
  <c r="R15" i="228"/>
  <c r="O94" i="228"/>
  <c r="R94" i="228" s="1"/>
  <c r="P70" i="228"/>
  <c r="P78" i="228" s="1"/>
  <c r="Q27" i="228"/>
  <c r="R27" i="228" s="1"/>
  <c r="G70" i="228"/>
  <c r="H70" i="228"/>
  <c r="H37" i="228"/>
  <c r="I37" i="228"/>
  <c r="Q7" i="228"/>
  <c r="R7" i="228" s="1"/>
  <c r="R42" i="228"/>
  <c r="R72" i="228"/>
  <c r="Q61" i="228"/>
  <c r="R61" i="228" s="1"/>
  <c r="F25" i="228"/>
  <c r="F48" i="228" s="1"/>
  <c r="F2" i="228" s="1"/>
  <c r="K25" i="228"/>
  <c r="K48" i="228" s="1"/>
  <c r="K2" i="228" s="1"/>
  <c r="R71" i="228"/>
  <c r="R29" i="228"/>
  <c r="R17" i="228"/>
  <c r="R79" i="228"/>
  <c r="R64" i="228"/>
  <c r="R10" i="228"/>
  <c r="I70" i="228"/>
  <c r="F70" i="228"/>
  <c r="P37" i="228"/>
  <c r="R45" i="228"/>
  <c r="Q45" i="228"/>
  <c r="K76" i="228"/>
  <c r="K78" i="228" s="1"/>
  <c r="J76" i="228"/>
  <c r="R43" i="228"/>
  <c r="N25" i="228"/>
  <c r="N48" i="228" s="1"/>
  <c r="R3" i="228"/>
  <c r="O53" i="228"/>
  <c r="R53" i="228" s="1"/>
  <c r="D78" i="228"/>
  <c r="R88" i="228"/>
  <c r="R83" i="228"/>
  <c r="L37" i="228"/>
  <c r="L70" i="228"/>
  <c r="J70" i="228"/>
  <c r="K37" i="228"/>
  <c r="F37" i="228"/>
  <c r="R89" i="228"/>
  <c r="I78" i="228"/>
  <c r="G76" i="228"/>
  <c r="G78" i="228" s="1"/>
  <c r="H25" i="228"/>
  <c r="D48" i="228"/>
  <c r="R8" i="228"/>
  <c r="F78" i="228"/>
  <c r="R93" i="228"/>
  <c r="N62" i="228"/>
  <c r="R62" i="228" s="1"/>
  <c r="D109" i="228"/>
  <c r="D86" i="228"/>
  <c r="F86" i="228" s="1"/>
  <c r="R49" i="228"/>
  <c r="M37" i="228"/>
  <c r="N37" i="228"/>
  <c r="M76" i="228"/>
  <c r="M78" i="228" s="1"/>
  <c r="R28" i="228"/>
  <c r="P25" i="228"/>
  <c r="J25" i="228"/>
  <c r="J48" i="228" s="1"/>
  <c r="J2" i="228" s="1"/>
  <c r="J95" i="228" s="1"/>
  <c r="G25" i="228"/>
  <c r="G48" i="228" s="1"/>
  <c r="G2" i="228" s="1"/>
  <c r="G95" i="228" s="1"/>
  <c r="J37" i="228"/>
  <c r="R75" i="228"/>
  <c r="L78" i="228"/>
  <c r="L25" i="228"/>
  <c r="Q13" i="228"/>
  <c r="R13" i="228" s="1"/>
  <c r="M92" i="228"/>
  <c r="G92" i="228"/>
  <c r="K92" i="228"/>
  <c r="J92" i="228"/>
  <c r="H92" i="228"/>
  <c r="F92" i="228"/>
  <c r="N92" i="228"/>
  <c r="L92" i="228"/>
  <c r="I92" i="228"/>
  <c r="O49" i="228"/>
  <c r="N70" i="228"/>
  <c r="N78" i="228" s="1"/>
  <c r="Q26" i="228"/>
  <c r="R26" i="228" s="1"/>
  <c r="H76" i="228"/>
  <c r="I25" i="228"/>
  <c r="Q3" i="228"/>
  <c r="M25" i="228"/>
  <c r="M48" i="228" s="1"/>
  <c r="M2" i="228" s="1"/>
  <c r="M95" i="228" s="1"/>
  <c r="R29" i="227"/>
  <c r="R56" i="227"/>
  <c r="R61" i="227"/>
  <c r="R24" i="227"/>
  <c r="R66" i="227"/>
  <c r="R75" i="227"/>
  <c r="R4" i="227"/>
  <c r="R8" i="227"/>
  <c r="R32" i="227"/>
  <c r="R31" i="227"/>
  <c r="G48" i="227"/>
  <c r="G2" i="227" s="1"/>
  <c r="G95" i="227" s="1"/>
  <c r="J48" i="227"/>
  <c r="O37" i="227"/>
  <c r="Q26" i="227"/>
  <c r="Q45" i="227"/>
  <c r="R45" i="227" s="1"/>
  <c r="L37" i="227"/>
  <c r="N78" i="227"/>
  <c r="R74" i="227"/>
  <c r="R83" i="227"/>
  <c r="I25" i="227"/>
  <c r="N25" i="227"/>
  <c r="P25" i="227"/>
  <c r="O94" i="227"/>
  <c r="R94" i="227" s="1"/>
  <c r="G70" i="227"/>
  <c r="N70" i="227"/>
  <c r="O53" i="227"/>
  <c r="R53" i="227" s="1"/>
  <c r="H37" i="227"/>
  <c r="K37" i="227"/>
  <c r="Q7" i="227"/>
  <c r="R7" i="227" s="1"/>
  <c r="Q56" i="227"/>
  <c r="R28" i="227"/>
  <c r="O12" i="227"/>
  <c r="R12" i="227" s="1"/>
  <c r="K76" i="227"/>
  <c r="O76" i="227"/>
  <c r="D78" i="227"/>
  <c r="R57" i="227"/>
  <c r="R13" i="227"/>
  <c r="O75" i="227"/>
  <c r="R51" i="227"/>
  <c r="L25" i="227"/>
  <c r="L48" i="227" s="1"/>
  <c r="L2" i="227" s="1"/>
  <c r="D48" i="227"/>
  <c r="I70" i="227"/>
  <c r="I78" i="227" s="1"/>
  <c r="F37" i="227"/>
  <c r="R26" i="227"/>
  <c r="Q27" i="227"/>
  <c r="R27" i="227" s="1"/>
  <c r="R30" i="227"/>
  <c r="N93" i="227"/>
  <c r="H93" i="227"/>
  <c r="M93" i="227"/>
  <c r="F93" i="227"/>
  <c r="L93" i="227"/>
  <c r="K93" i="227"/>
  <c r="P93" i="227"/>
  <c r="G93" i="227"/>
  <c r="G91" i="227" s="1"/>
  <c r="J93" i="227"/>
  <c r="I93" i="227"/>
  <c r="O93" i="227"/>
  <c r="J76" i="227"/>
  <c r="G78" i="227"/>
  <c r="F76" i="227"/>
  <c r="F78" i="227" s="1"/>
  <c r="R73" i="227"/>
  <c r="D109" i="227"/>
  <c r="K25" i="227"/>
  <c r="K48" i="227" s="1"/>
  <c r="K2" i="227" s="1"/>
  <c r="F25" i="227"/>
  <c r="O49" i="227"/>
  <c r="O70" i="227" s="1"/>
  <c r="K70" i="227"/>
  <c r="I37" i="227"/>
  <c r="Q37" i="227" s="1"/>
  <c r="N37" i="227"/>
  <c r="R50" i="227"/>
  <c r="D86" i="227"/>
  <c r="F86" i="227" s="1"/>
  <c r="Q31" i="227"/>
  <c r="P70" i="227"/>
  <c r="P78" i="227" s="1"/>
  <c r="H76" i="227"/>
  <c r="M76" i="227"/>
  <c r="R14" i="227"/>
  <c r="R3" i="227"/>
  <c r="H25" i="227"/>
  <c r="H48" i="227" s="1"/>
  <c r="L24" i="227"/>
  <c r="N62" i="227"/>
  <c r="R62" i="227" s="1"/>
  <c r="H70" i="227"/>
  <c r="Q70" i="227" s="1"/>
  <c r="Q78" i="227" s="1"/>
  <c r="L70" i="227"/>
  <c r="G37" i="227"/>
  <c r="L89" i="227"/>
  <c r="R47" i="227"/>
  <c r="Q47" i="227"/>
  <c r="M25" i="227"/>
  <c r="M48" i="227" s="1"/>
  <c r="M2" i="227" s="1"/>
  <c r="M95" i="227" s="1"/>
  <c r="M70" i="227"/>
  <c r="J70" i="227"/>
  <c r="P37" i="227"/>
  <c r="J37" i="227"/>
  <c r="O72" i="227"/>
  <c r="R72" i="227" s="1"/>
  <c r="L76" i="227"/>
  <c r="L78" i="227" s="1"/>
  <c r="O52" i="227"/>
  <c r="R52" i="227" s="1"/>
  <c r="F83" i="227"/>
  <c r="M92" i="227"/>
  <c r="R52" i="226"/>
  <c r="R62" i="226"/>
  <c r="O70" i="226"/>
  <c r="R54" i="226"/>
  <c r="R66" i="226"/>
  <c r="R27" i="226"/>
  <c r="R30" i="226"/>
  <c r="N93" i="226"/>
  <c r="H93" i="226"/>
  <c r="M93" i="226"/>
  <c r="F93" i="226"/>
  <c r="Q93" i="226" s="1"/>
  <c r="I93" i="226"/>
  <c r="L93" i="226"/>
  <c r="G93" i="226"/>
  <c r="P93" i="226"/>
  <c r="O93" i="226"/>
  <c r="J93" i="226"/>
  <c r="K93" i="226"/>
  <c r="G70" i="226"/>
  <c r="R73" i="226"/>
  <c r="Q13" i="226"/>
  <c r="R13" i="226" s="1"/>
  <c r="J25" i="226"/>
  <c r="N25" i="226"/>
  <c r="N48" i="226" s="1"/>
  <c r="R65" i="226"/>
  <c r="R9" i="226"/>
  <c r="O12" i="226"/>
  <c r="R12" i="226" s="1"/>
  <c r="Q55" i="226"/>
  <c r="R55" i="226" s="1"/>
  <c r="D86" i="226"/>
  <c r="F86" i="226" s="1"/>
  <c r="D78" i="226"/>
  <c r="I70" i="226"/>
  <c r="G37" i="226"/>
  <c r="Q26" i="226"/>
  <c r="I37" i="226"/>
  <c r="N76" i="226"/>
  <c r="N78" i="226" s="1"/>
  <c r="F25" i="226"/>
  <c r="F48" i="226" s="1"/>
  <c r="F83" i="226"/>
  <c r="L69" i="226"/>
  <c r="R69" i="226" s="1"/>
  <c r="R6" i="226"/>
  <c r="Q29" i="226"/>
  <c r="R29" i="226" s="1"/>
  <c r="F76" i="226"/>
  <c r="F78" i="226" s="1"/>
  <c r="R51" i="226"/>
  <c r="R4" i="226"/>
  <c r="N62" i="226"/>
  <c r="M70" i="226"/>
  <c r="L70" i="226"/>
  <c r="H37" i="226"/>
  <c r="Q37" i="226" s="1"/>
  <c r="R37" i="226" s="1"/>
  <c r="P37" i="226"/>
  <c r="G25" i="226"/>
  <c r="H70" i="226"/>
  <c r="Q45" i="226"/>
  <c r="R45" i="226" s="1"/>
  <c r="H76" i="226"/>
  <c r="I76" i="226"/>
  <c r="I78" i="226" s="1"/>
  <c r="I25" i="226"/>
  <c r="I48" i="226" s="1"/>
  <c r="K25" i="226"/>
  <c r="L25" i="226"/>
  <c r="P70" i="226"/>
  <c r="P78" i="226" s="1"/>
  <c r="O66" i="226"/>
  <c r="J70" i="226"/>
  <c r="L37" i="226"/>
  <c r="Q33" i="226"/>
  <c r="R33" i="226" s="1"/>
  <c r="O37" i="226"/>
  <c r="R26" i="226"/>
  <c r="R43" i="226"/>
  <c r="J76" i="226"/>
  <c r="K76" i="226"/>
  <c r="Q61" i="226"/>
  <c r="R61" i="226" s="1"/>
  <c r="P25" i="226"/>
  <c r="M25" i="226"/>
  <c r="M48" i="226" s="1"/>
  <c r="M2" i="226" s="1"/>
  <c r="R3" i="226"/>
  <c r="R83" i="226"/>
  <c r="O52" i="226"/>
  <c r="N70" i="226"/>
  <c r="R49" i="226"/>
  <c r="J37" i="226"/>
  <c r="M78" i="226"/>
  <c r="L76" i="226"/>
  <c r="G76" i="226"/>
  <c r="H25" i="226"/>
  <c r="D48" i="226"/>
  <c r="F70" i="226"/>
  <c r="Q70" i="226" s="1"/>
  <c r="Q78" i="226" s="1"/>
  <c r="K70" i="226"/>
  <c r="N37" i="226"/>
  <c r="K37" i="226"/>
  <c r="N92" i="226"/>
  <c r="M92" i="226"/>
  <c r="R50" i="225"/>
  <c r="R58" i="225"/>
  <c r="R16" i="225"/>
  <c r="R27" i="225"/>
  <c r="R57" i="225"/>
  <c r="R9" i="225"/>
  <c r="R93" i="225"/>
  <c r="F70" i="225"/>
  <c r="F78" i="225" s="1"/>
  <c r="R52" i="225"/>
  <c r="D86" i="225"/>
  <c r="F86" i="225" s="1"/>
  <c r="J37" i="225"/>
  <c r="J25" i="225"/>
  <c r="G25" i="225"/>
  <c r="Q9" i="225"/>
  <c r="O51" i="225"/>
  <c r="O70" i="225" s="1"/>
  <c r="R5" i="225"/>
  <c r="O50" i="225"/>
  <c r="M70" i="225"/>
  <c r="O73" i="225"/>
  <c r="R73" i="225" s="1"/>
  <c r="O12" i="225"/>
  <c r="O25" i="225" s="1"/>
  <c r="O48" i="225" s="1"/>
  <c r="K76" i="225"/>
  <c r="K78" i="225" s="1"/>
  <c r="N37" i="225"/>
  <c r="M37" i="225"/>
  <c r="L36" i="225"/>
  <c r="R36" i="225" s="1"/>
  <c r="N25" i="225"/>
  <c r="L76" i="225"/>
  <c r="L78" i="225" s="1"/>
  <c r="H70" i="225"/>
  <c r="H78" i="225" s="1"/>
  <c r="O72" i="225"/>
  <c r="R72" i="225" s="1"/>
  <c r="J78" i="225"/>
  <c r="I37" i="225"/>
  <c r="F37" i="225"/>
  <c r="R66" i="225"/>
  <c r="R65" i="225"/>
  <c r="F25" i="225"/>
  <c r="F48" i="225" s="1"/>
  <c r="F2" i="225" s="1"/>
  <c r="G92" i="225"/>
  <c r="I92" i="225"/>
  <c r="J92" i="225"/>
  <c r="H92" i="225"/>
  <c r="F92" i="225"/>
  <c r="L92" i="225"/>
  <c r="K92" i="225"/>
  <c r="I78" i="225"/>
  <c r="F83" i="225"/>
  <c r="R83" i="225" s="1"/>
  <c r="Q45" i="225"/>
  <c r="R45" i="225" s="1"/>
  <c r="R44" i="225"/>
  <c r="G76" i="225"/>
  <c r="G78" i="225" s="1"/>
  <c r="Q26" i="225"/>
  <c r="O37" i="225"/>
  <c r="R49" i="225"/>
  <c r="I25" i="225"/>
  <c r="I48" i="225" s="1"/>
  <c r="I2" i="225" s="1"/>
  <c r="I95" i="225" s="1"/>
  <c r="M25" i="225"/>
  <c r="K25" i="225"/>
  <c r="K48" i="225" s="1"/>
  <c r="K2" i="225" s="1"/>
  <c r="K95" i="225" s="1"/>
  <c r="L25" i="225"/>
  <c r="H25" i="225"/>
  <c r="H48" i="225" s="1"/>
  <c r="H2" i="225" s="1"/>
  <c r="L90" i="225"/>
  <c r="R90" i="225" s="1"/>
  <c r="G37" i="225"/>
  <c r="Q27" i="225"/>
  <c r="R43" i="225"/>
  <c r="N76" i="225"/>
  <c r="N78" i="225" s="1"/>
  <c r="M76" i="225"/>
  <c r="R26" i="225"/>
  <c r="H37" i="225"/>
  <c r="P25" i="225"/>
  <c r="P48" i="225" s="1"/>
  <c r="P2" i="225" s="1"/>
  <c r="P95" i="225" s="1"/>
  <c r="P91" i="225" s="1"/>
  <c r="D48" i="225"/>
  <c r="Q3" i="225"/>
  <c r="R3" i="225" s="1"/>
  <c r="G48" i="224"/>
  <c r="R36" i="224"/>
  <c r="O25" i="224"/>
  <c r="O48" i="224" s="1"/>
  <c r="L25" i="224"/>
  <c r="R24" i="224"/>
  <c r="R29" i="224"/>
  <c r="R16" i="224"/>
  <c r="R64" i="224"/>
  <c r="F78" i="224"/>
  <c r="R57" i="224"/>
  <c r="L76" i="224"/>
  <c r="L36" i="224"/>
  <c r="L37" i="224" s="1"/>
  <c r="R58" i="224"/>
  <c r="Q33" i="224"/>
  <c r="R33" i="224" s="1"/>
  <c r="L89" i="224"/>
  <c r="R89" i="224" s="1"/>
  <c r="R7" i="224"/>
  <c r="R46" i="224"/>
  <c r="D48" i="224"/>
  <c r="Q25" i="224"/>
  <c r="K25" i="224"/>
  <c r="K48" i="224" s="1"/>
  <c r="Q4" i="224"/>
  <c r="R4" i="224" s="1"/>
  <c r="O12" i="224"/>
  <c r="R12" i="224" s="1"/>
  <c r="G70" i="224"/>
  <c r="Q70" i="224" s="1"/>
  <c r="Q78" i="224" s="1"/>
  <c r="F70" i="224"/>
  <c r="F83" i="224"/>
  <c r="N76" i="224"/>
  <c r="G76" i="224"/>
  <c r="G78" i="224" s="1"/>
  <c r="R28" i="224"/>
  <c r="K37" i="224"/>
  <c r="N37" i="224"/>
  <c r="N48" i="224" s="1"/>
  <c r="N2" i="224" s="1"/>
  <c r="Q16" i="224"/>
  <c r="N70" i="224"/>
  <c r="P25" i="224"/>
  <c r="I70" i="224"/>
  <c r="F37" i="224"/>
  <c r="F48" i="224" s="1"/>
  <c r="F2" i="224" s="1"/>
  <c r="R10" i="224"/>
  <c r="Q47" i="224"/>
  <c r="R47" i="224" s="1"/>
  <c r="O75" i="224"/>
  <c r="R75" i="224" s="1"/>
  <c r="Q45" i="224"/>
  <c r="R45" i="224" s="1"/>
  <c r="K70" i="224"/>
  <c r="M70" i="224"/>
  <c r="R79" i="224"/>
  <c r="M76" i="224"/>
  <c r="M78" i="224" s="1"/>
  <c r="H37" i="224"/>
  <c r="H48" i="224" s="1"/>
  <c r="H2" i="224" s="1"/>
  <c r="H95" i="224" s="1"/>
  <c r="I48" i="224"/>
  <c r="I2" i="224" s="1"/>
  <c r="I95" i="224" s="1"/>
  <c r="H70" i="224"/>
  <c r="H78" i="224" s="1"/>
  <c r="K76" i="224"/>
  <c r="Q59" i="224"/>
  <c r="R59" i="224" s="1"/>
  <c r="R31" i="224"/>
  <c r="O49" i="224"/>
  <c r="O70" i="224" s="1"/>
  <c r="K92" i="224"/>
  <c r="G92" i="224"/>
  <c r="L92" i="224"/>
  <c r="J92" i="224"/>
  <c r="F92" i="224"/>
  <c r="M92" i="224" s="1"/>
  <c r="I92" i="224"/>
  <c r="H92" i="224"/>
  <c r="R55" i="224"/>
  <c r="R71" i="224"/>
  <c r="L70" i="224"/>
  <c r="R70" i="224" s="1"/>
  <c r="J70" i="224"/>
  <c r="J2" i="224" s="1"/>
  <c r="J95" i="224" s="1"/>
  <c r="Q8" i="224"/>
  <c r="R8" i="224" s="1"/>
  <c r="R83" i="224"/>
  <c r="O72" i="224"/>
  <c r="M37" i="224"/>
  <c r="M48" i="224" s="1"/>
  <c r="M2" i="224" s="1"/>
  <c r="O37" i="224"/>
  <c r="I78" i="224"/>
  <c r="P70" i="224"/>
  <c r="P78" i="224" s="1"/>
  <c r="R44" i="224"/>
  <c r="D78" i="224"/>
  <c r="R49" i="224"/>
  <c r="R72" i="224"/>
  <c r="J76" i="224"/>
  <c r="J78" i="224" s="1"/>
  <c r="D86" i="224"/>
  <c r="F86" i="224" s="1"/>
  <c r="I37" i="224"/>
  <c r="P37" i="224"/>
  <c r="L90" i="224"/>
  <c r="R90" i="224" s="1"/>
  <c r="R43" i="224"/>
  <c r="R58" i="223"/>
  <c r="R7" i="223"/>
  <c r="R52" i="223"/>
  <c r="R65" i="223"/>
  <c r="R8" i="223"/>
  <c r="R64" i="223"/>
  <c r="R29" i="223"/>
  <c r="R4" i="223"/>
  <c r="R13" i="223"/>
  <c r="Q59" i="223"/>
  <c r="R59" i="223" s="1"/>
  <c r="N25" i="223"/>
  <c r="P25" i="223"/>
  <c r="Q29" i="223"/>
  <c r="P37" i="223"/>
  <c r="R89" i="223"/>
  <c r="I70" i="223"/>
  <c r="G70" i="223"/>
  <c r="R56" i="223"/>
  <c r="Q27" i="223"/>
  <c r="R27" i="223" s="1"/>
  <c r="Q8" i="223"/>
  <c r="R6" i="223"/>
  <c r="L76" i="223"/>
  <c r="R30" i="223"/>
  <c r="O75" i="223"/>
  <c r="R75" i="223" s="1"/>
  <c r="R28" i="223"/>
  <c r="R77" i="223"/>
  <c r="L70" i="223"/>
  <c r="Q5" i="223"/>
  <c r="R5" i="223" s="1"/>
  <c r="Q57" i="223"/>
  <c r="R57" i="223" s="1"/>
  <c r="R43" i="223"/>
  <c r="O52" i="223"/>
  <c r="O25" i="223"/>
  <c r="O48" i="223" s="1"/>
  <c r="G25" i="223"/>
  <c r="D86" i="223"/>
  <c r="F86" i="223" s="1"/>
  <c r="K37" i="223"/>
  <c r="J37" i="223"/>
  <c r="J92" i="223"/>
  <c r="G92" i="223"/>
  <c r="L92" i="223"/>
  <c r="I92" i="223"/>
  <c r="F92" i="223"/>
  <c r="H92" i="223"/>
  <c r="K92" i="223"/>
  <c r="K70" i="223"/>
  <c r="K78" i="223" s="1"/>
  <c r="M70" i="223"/>
  <c r="O50" i="223"/>
  <c r="R50" i="223" s="1"/>
  <c r="Q7" i="223"/>
  <c r="R17" i="223"/>
  <c r="H76" i="223"/>
  <c r="H78" i="223" s="1"/>
  <c r="Q58" i="223"/>
  <c r="R33" i="223"/>
  <c r="O74" i="223"/>
  <c r="R74" i="223" s="1"/>
  <c r="M25" i="223"/>
  <c r="H37" i="223"/>
  <c r="G78" i="223"/>
  <c r="O64" i="223"/>
  <c r="F78" i="223"/>
  <c r="R31" i="223"/>
  <c r="R10" i="223"/>
  <c r="J25" i="223"/>
  <c r="J48" i="223" s="1"/>
  <c r="J2" i="223" s="1"/>
  <c r="J95" i="223" s="1"/>
  <c r="L25" i="223"/>
  <c r="D48" i="223"/>
  <c r="R36" i="223"/>
  <c r="R26" i="223"/>
  <c r="N70" i="223"/>
  <c r="G37" i="223"/>
  <c r="O72" i="223"/>
  <c r="R72" i="223" s="1"/>
  <c r="M76" i="223"/>
  <c r="M78" i="223" s="1"/>
  <c r="R61" i="223"/>
  <c r="O65" i="223"/>
  <c r="P70" i="223"/>
  <c r="P78" i="223" s="1"/>
  <c r="D78" i="223"/>
  <c r="R12" i="223"/>
  <c r="K25" i="223"/>
  <c r="K48" i="223" s="1"/>
  <c r="K2" i="223" s="1"/>
  <c r="K95" i="223" s="1"/>
  <c r="M37" i="223"/>
  <c r="F37" i="223"/>
  <c r="O49" i="223"/>
  <c r="J70" i="223"/>
  <c r="Q45" i="223"/>
  <c r="R45" i="223" s="1"/>
  <c r="J78" i="223"/>
  <c r="Q47" i="223"/>
  <c r="R47" i="223" s="1"/>
  <c r="F25" i="223"/>
  <c r="I37" i="223"/>
  <c r="I48" i="223" s="1"/>
  <c r="I2" i="223" s="1"/>
  <c r="I95" i="223" s="1"/>
  <c r="L37" i="223"/>
  <c r="F83" i="223"/>
  <c r="R83" i="223" s="1"/>
  <c r="R71" i="223"/>
  <c r="R46" i="223"/>
  <c r="Q3" i="223"/>
  <c r="R3" i="223" s="1"/>
  <c r="H25" i="223"/>
  <c r="R88" i="223"/>
  <c r="O37" i="223"/>
  <c r="N37" i="223"/>
  <c r="H70" i="223"/>
  <c r="R49" i="223"/>
  <c r="N76" i="223"/>
  <c r="N78" i="223" s="1"/>
  <c r="R93" i="223"/>
  <c r="R57" i="222"/>
  <c r="M48" i="222"/>
  <c r="R32" i="222"/>
  <c r="H48" i="222"/>
  <c r="H2" i="222" s="1"/>
  <c r="H95" i="222" s="1"/>
  <c r="H91" i="222" s="1"/>
  <c r="I48" i="222"/>
  <c r="R29" i="222"/>
  <c r="R7" i="222"/>
  <c r="R5" i="222"/>
  <c r="R8" i="222"/>
  <c r="Q57" i="222"/>
  <c r="I37" i="222"/>
  <c r="Q4" i="222"/>
  <c r="R4" i="222" s="1"/>
  <c r="Q32" i="222"/>
  <c r="I76" i="222"/>
  <c r="I78" i="222" s="1"/>
  <c r="J76" i="222"/>
  <c r="J78" i="222" s="1"/>
  <c r="R43" i="222"/>
  <c r="K70" i="222"/>
  <c r="R83" i="222"/>
  <c r="Q30" i="222"/>
  <c r="R30" i="222" s="1"/>
  <c r="R77" i="222"/>
  <c r="H37" i="222"/>
  <c r="P37" i="222"/>
  <c r="P48" i="222" s="1"/>
  <c r="P2" i="222" s="1"/>
  <c r="P95" i="222" s="1"/>
  <c r="R31" i="222"/>
  <c r="D48" i="222"/>
  <c r="R16" i="222"/>
  <c r="K76" i="222"/>
  <c r="K78" i="222" s="1"/>
  <c r="L76" i="222"/>
  <c r="O49" i="222"/>
  <c r="O70" i="222" s="1"/>
  <c r="N70" i="222"/>
  <c r="Q6" i="222"/>
  <c r="R6" i="222" s="1"/>
  <c r="D86" i="222"/>
  <c r="F86" i="222" s="1"/>
  <c r="R59" i="222"/>
  <c r="R45" i="222"/>
  <c r="J37" i="222"/>
  <c r="J48" i="222" s="1"/>
  <c r="J2" i="222" s="1"/>
  <c r="J95" i="222" s="1"/>
  <c r="R26" i="222"/>
  <c r="R61" i="222"/>
  <c r="N25" i="222"/>
  <c r="N48" i="222" s="1"/>
  <c r="N2" i="222" s="1"/>
  <c r="R10" i="222"/>
  <c r="G76" i="222"/>
  <c r="L70" i="222"/>
  <c r="H70" i="222"/>
  <c r="R13" i="222"/>
  <c r="K37" i="222"/>
  <c r="F37" i="222"/>
  <c r="F48" i="222" s="1"/>
  <c r="F2" i="222" s="1"/>
  <c r="O25" i="222"/>
  <c r="O48" i="222" s="1"/>
  <c r="N76" i="222"/>
  <c r="M76" i="222"/>
  <c r="M78" i="222" s="1"/>
  <c r="F70" i="222"/>
  <c r="F76" i="222"/>
  <c r="K48" i="222"/>
  <c r="D78" i="222"/>
  <c r="M37" i="222"/>
  <c r="N37" i="222"/>
  <c r="L25" i="222"/>
  <c r="L48" i="222" s="1"/>
  <c r="H76" i="222"/>
  <c r="R28" i="222"/>
  <c r="G70" i="222"/>
  <c r="G2" i="222" s="1"/>
  <c r="G95" i="222" s="1"/>
  <c r="M70" i="222"/>
  <c r="R79" i="222"/>
  <c r="N93" i="222"/>
  <c r="H93" i="222"/>
  <c r="O93" i="222"/>
  <c r="G93" i="222"/>
  <c r="Q93" i="222" s="1"/>
  <c r="I93" i="222"/>
  <c r="M93" i="222"/>
  <c r="F93" i="222"/>
  <c r="P93" i="222"/>
  <c r="L93" i="222"/>
  <c r="K93" i="222"/>
  <c r="J93" i="222"/>
  <c r="J91" i="222" s="1"/>
  <c r="D109" i="222"/>
  <c r="M92" i="222"/>
  <c r="N92" i="222" s="1"/>
  <c r="R65" i="221"/>
  <c r="R53" i="221"/>
  <c r="H48" i="221"/>
  <c r="R73" i="221"/>
  <c r="R49" i="221"/>
  <c r="R55" i="221"/>
  <c r="R32" i="221"/>
  <c r="R45" i="221"/>
  <c r="R57" i="221"/>
  <c r="R52" i="221"/>
  <c r="R50" i="221"/>
  <c r="R59" i="221"/>
  <c r="R66" i="221"/>
  <c r="R5" i="221"/>
  <c r="I48" i="221"/>
  <c r="R64" i="221"/>
  <c r="J78" i="221"/>
  <c r="P70" i="221"/>
  <c r="P78" i="221" s="1"/>
  <c r="L37" i="221"/>
  <c r="L48" i="221" s="1"/>
  <c r="L2" i="221" s="1"/>
  <c r="L95" i="221" s="1"/>
  <c r="O53" i="221"/>
  <c r="R75" i="221"/>
  <c r="O52" i="221"/>
  <c r="O72" i="221"/>
  <c r="R72" i="221" s="1"/>
  <c r="M76" i="221"/>
  <c r="R44" i="221"/>
  <c r="O51" i="221"/>
  <c r="R51" i="221" s="1"/>
  <c r="F83" i="221"/>
  <c r="Q59" i="221"/>
  <c r="R58" i="221"/>
  <c r="D86" i="221"/>
  <c r="F86" i="221" s="1"/>
  <c r="N70" i="221"/>
  <c r="N2" i="221" s="1"/>
  <c r="D48" i="221"/>
  <c r="R27" i="221"/>
  <c r="M37" i="221"/>
  <c r="M48" i="221" s="1"/>
  <c r="M2" i="221" s="1"/>
  <c r="O37" i="221"/>
  <c r="O48" i="221" s="1"/>
  <c r="R29" i="221"/>
  <c r="Q16" i="221"/>
  <c r="R16" i="221" s="1"/>
  <c r="O65" i="221"/>
  <c r="H76" i="221"/>
  <c r="H78" i="221" s="1"/>
  <c r="R8" i="221"/>
  <c r="O64" i="221"/>
  <c r="H92" i="221"/>
  <c r="F92" i="221"/>
  <c r="L92" i="221"/>
  <c r="K92" i="221"/>
  <c r="J92" i="221"/>
  <c r="I92" i="221"/>
  <c r="G92" i="221"/>
  <c r="R14" i="221"/>
  <c r="H70" i="221"/>
  <c r="K70" i="221"/>
  <c r="Q54" i="221"/>
  <c r="R54" i="221" s="1"/>
  <c r="F37" i="221"/>
  <c r="G37" i="221"/>
  <c r="G48" i="221" s="1"/>
  <c r="G2" i="221" s="1"/>
  <c r="G95" i="221" s="1"/>
  <c r="F25" i="221"/>
  <c r="F48" i="221" s="1"/>
  <c r="K48" i="221"/>
  <c r="J48" i="221"/>
  <c r="G76" i="221"/>
  <c r="G78" i="221" s="1"/>
  <c r="N76" i="221"/>
  <c r="Q93" i="221"/>
  <c r="R93" i="221" s="1"/>
  <c r="Q45" i="221"/>
  <c r="I70" i="221"/>
  <c r="L70" i="221"/>
  <c r="R83" i="221"/>
  <c r="G70" i="221"/>
  <c r="K76" i="221"/>
  <c r="K78" i="221" s="1"/>
  <c r="D78" i="221"/>
  <c r="D109" i="221"/>
  <c r="R88" i="221"/>
  <c r="O49" i="221"/>
  <c r="F70" i="221"/>
  <c r="Q47" i="221"/>
  <c r="R47" i="221" s="1"/>
  <c r="I76" i="221"/>
  <c r="I78" i="221" s="1"/>
  <c r="L76" i="221"/>
  <c r="R43" i="221"/>
  <c r="F76" i="221"/>
  <c r="F78" i="221" s="1"/>
  <c r="J70" i="221"/>
  <c r="M70" i="221"/>
  <c r="R89" i="220"/>
  <c r="R64" i="220"/>
  <c r="R93" i="220"/>
  <c r="R14" i="220"/>
  <c r="R58" i="220"/>
  <c r="R66" i="220"/>
  <c r="R17" i="220"/>
  <c r="R10" i="220"/>
  <c r="D86" i="220"/>
  <c r="F86" i="220" s="1"/>
  <c r="M25" i="220"/>
  <c r="M48" i="220" s="1"/>
  <c r="M2" i="220" s="1"/>
  <c r="M95" i="220" s="1"/>
  <c r="L89" i="220"/>
  <c r="R50" i="220"/>
  <c r="H37" i="220"/>
  <c r="Q37" i="220" s="1"/>
  <c r="K37" i="220"/>
  <c r="R24" i="220"/>
  <c r="Q13" i="220"/>
  <c r="R13" i="220" s="1"/>
  <c r="R61" i="220"/>
  <c r="F76" i="220"/>
  <c r="F78" i="220" s="1"/>
  <c r="R75" i="220"/>
  <c r="J25" i="220"/>
  <c r="J48" i="220" s="1"/>
  <c r="J2" i="220" s="1"/>
  <c r="J95" i="220" s="1"/>
  <c r="D48" i="220"/>
  <c r="H25" i="220"/>
  <c r="H48" i="220" s="1"/>
  <c r="H2" i="220" s="1"/>
  <c r="H95" i="220" s="1"/>
  <c r="H91" i="220" s="1"/>
  <c r="N92" i="220"/>
  <c r="K25" i="220"/>
  <c r="K48" i="220" s="1"/>
  <c r="N70" i="220"/>
  <c r="N78" i="220" s="1"/>
  <c r="Q26" i="220"/>
  <c r="R26" i="220" s="1"/>
  <c r="Q28" i="220"/>
  <c r="R28" i="220" s="1"/>
  <c r="J78" i="220"/>
  <c r="D78" i="220"/>
  <c r="D109" i="220"/>
  <c r="O94" i="220"/>
  <c r="O25" i="220"/>
  <c r="F25" i="220"/>
  <c r="F48" i="220" s="1"/>
  <c r="F2" i="220" s="1"/>
  <c r="N25" i="220"/>
  <c r="J91" i="220"/>
  <c r="P91" i="220"/>
  <c r="I78" i="220"/>
  <c r="N37" i="220"/>
  <c r="G25" i="220"/>
  <c r="G48" i="220" s="1"/>
  <c r="G2" i="220" s="1"/>
  <c r="G95" i="220" s="1"/>
  <c r="G91" i="220" s="1"/>
  <c r="M92" i="220"/>
  <c r="O50" i="220"/>
  <c r="O70" i="220" s="1"/>
  <c r="O37" i="220"/>
  <c r="I37" i="220"/>
  <c r="R53" i="220"/>
  <c r="H76" i="220"/>
  <c r="H78" i="220" s="1"/>
  <c r="Q10" i="220"/>
  <c r="L37" i="220"/>
  <c r="R37" i="220" s="1"/>
  <c r="R12" i="220"/>
  <c r="P25" i="220"/>
  <c r="P48" i="220" s="1"/>
  <c r="P2" i="220" s="1"/>
  <c r="P95" i="220" s="1"/>
  <c r="L25" i="220"/>
  <c r="R92" i="220"/>
  <c r="K70" i="220"/>
  <c r="M37" i="220"/>
  <c r="R45" i="220"/>
  <c r="Q45" i="220"/>
  <c r="F83" i="220"/>
  <c r="R83" i="220" s="1"/>
  <c r="I25" i="220"/>
  <c r="I48" i="220" s="1"/>
  <c r="I2" i="220" s="1"/>
  <c r="I95" i="220" s="1"/>
  <c r="I91" i="220" s="1"/>
  <c r="R3" i="220"/>
  <c r="L78" i="220"/>
  <c r="R5" i="219"/>
  <c r="R64" i="219"/>
  <c r="R8" i="219"/>
  <c r="R54" i="219"/>
  <c r="R7" i="219"/>
  <c r="R65" i="219"/>
  <c r="R74" i="219"/>
  <c r="R56" i="219"/>
  <c r="R62" i="219"/>
  <c r="R59" i="219"/>
  <c r="R72" i="219"/>
  <c r="R30" i="219"/>
  <c r="K37" i="219"/>
  <c r="Q47" i="219"/>
  <c r="R47" i="219" s="1"/>
  <c r="Q27" i="219"/>
  <c r="R27" i="219" s="1"/>
  <c r="R9" i="219"/>
  <c r="P37" i="219"/>
  <c r="I76" i="219"/>
  <c r="N62" i="219"/>
  <c r="G70" i="219"/>
  <c r="J70" i="219"/>
  <c r="M25" i="219"/>
  <c r="M48" i="219" s="1"/>
  <c r="O66" i="219"/>
  <c r="R66" i="219" s="1"/>
  <c r="R43" i="219"/>
  <c r="Q54" i="219"/>
  <c r="D86" i="219"/>
  <c r="F86" i="219" s="1"/>
  <c r="R89" i="219"/>
  <c r="O53" i="219"/>
  <c r="R53" i="219" s="1"/>
  <c r="L70" i="219"/>
  <c r="Q17" i="219"/>
  <c r="R17" i="219" s="1"/>
  <c r="O50" i="219"/>
  <c r="R50" i="219" s="1"/>
  <c r="F76" i="219"/>
  <c r="Q28" i="219"/>
  <c r="R28" i="219" s="1"/>
  <c r="N92" i="219"/>
  <c r="R26" i="219"/>
  <c r="O52" i="219"/>
  <c r="R52" i="219" s="1"/>
  <c r="Q32" i="219"/>
  <c r="R32" i="219" s="1"/>
  <c r="L76" i="219"/>
  <c r="L78" i="219" s="1"/>
  <c r="M76" i="219"/>
  <c r="M78" i="219" s="1"/>
  <c r="H70" i="219"/>
  <c r="H78" i="219" s="1"/>
  <c r="I25" i="219"/>
  <c r="F25" i="219"/>
  <c r="F48" i="219" s="1"/>
  <c r="Q10" i="219"/>
  <c r="R10" i="219" s="1"/>
  <c r="N93" i="219"/>
  <c r="H93" i="219"/>
  <c r="M93" i="219"/>
  <c r="F93" i="219"/>
  <c r="L93" i="219"/>
  <c r="J93" i="219"/>
  <c r="J91" i="219" s="1"/>
  <c r="G93" i="219"/>
  <c r="Q93" i="219" s="1"/>
  <c r="K93" i="219"/>
  <c r="P93" i="219"/>
  <c r="O93" i="219"/>
  <c r="I93" i="219"/>
  <c r="Q55" i="219"/>
  <c r="R55" i="219" s="1"/>
  <c r="F70" i="219"/>
  <c r="K25" i="219"/>
  <c r="F83" i="219"/>
  <c r="R83" i="219" s="1"/>
  <c r="G37" i="219"/>
  <c r="Q57" i="219"/>
  <c r="R57" i="219" s="1"/>
  <c r="D78" i="219"/>
  <c r="R92" i="219"/>
  <c r="M92" i="219"/>
  <c r="H37" i="219"/>
  <c r="Q37" i="219" s="1"/>
  <c r="M37" i="219"/>
  <c r="O75" i="219"/>
  <c r="R75" i="219" s="1"/>
  <c r="M70" i="219"/>
  <c r="I70" i="219"/>
  <c r="O25" i="219"/>
  <c r="L25" i="219"/>
  <c r="Q8" i="219"/>
  <c r="P70" i="219"/>
  <c r="P78" i="219" s="1"/>
  <c r="D109" i="219"/>
  <c r="Q58" i="219"/>
  <c r="R58" i="219" s="1"/>
  <c r="Q13" i="219"/>
  <c r="R13" i="219" s="1"/>
  <c r="R33" i="219"/>
  <c r="L24" i="219"/>
  <c r="R24" i="219" s="1"/>
  <c r="N37" i="219"/>
  <c r="Q26" i="219"/>
  <c r="N76" i="219"/>
  <c r="Q61" i="219"/>
  <c r="R61" i="219" s="1"/>
  <c r="N70" i="219"/>
  <c r="K70" i="219"/>
  <c r="N25" i="219"/>
  <c r="N48" i="219" s="1"/>
  <c r="N2" i="219" s="1"/>
  <c r="N95" i="219" s="1"/>
  <c r="J25" i="219"/>
  <c r="J48" i="219" s="1"/>
  <c r="J2" i="219" s="1"/>
  <c r="J95" i="219" s="1"/>
  <c r="R3" i="219"/>
  <c r="Q45" i="219"/>
  <c r="R45" i="219" s="1"/>
  <c r="K76" i="219"/>
  <c r="K78" i="219" s="1"/>
  <c r="H25" i="219"/>
  <c r="L37" i="219"/>
  <c r="O37" i="219"/>
  <c r="I37" i="219"/>
  <c r="O72" i="219"/>
  <c r="J76" i="219"/>
  <c r="R46" i="219"/>
  <c r="O49" i="219"/>
  <c r="O70" i="219" s="1"/>
  <c r="G25" i="219"/>
  <c r="G48" i="219" s="1"/>
  <c r="P25" i="219"/>
  <c r="P48" i="219" s="1"/>
  <c r="P2" i="219" s="1"/>
  <c r="P95" i="219" s="1"/>
  <c r="D48" i="219"/>
  <c r="R32" i="218"/>
  <c r="R28" i="218"/>
  <c r="R57" i="218"/>
  <c r="L25" i="218"/>
  <c r="L48" i="218" s="1"/>
  <c r="L2" i="218" s="1"/>
  <c r="L95" i="218" s="1"/>
  <c r="R74" i="218"/>
  <c r="R53" i="218"/>
  <c r="R30" i="218"/>
  <c r="R73" i="218"/>
  <c r="R49" i="218"/>
  <c r="R14" i="218"/>
  <c r="R59" i="218"/>
  <c r="R93" i="218"/>
  <c r="Q4" i="218"/>
  <c r="R4" i="218" s="1"/>
  <c r="I92" i="218"/>
  <c r="H92" i="218"/>
  <c r="F92" i="218"/>
  <c r="M92" i="218" s="1"/>
  <c r="L92" i="218"/>
  <c r="J92" i="218"/>
  <c r="K92" i="218"/>
  <c r="G92" i="218"/>
  <c r="L89" i="218"/>
  <c r="R89" i="218" s="1"/>
  <c r="Q28" i="218"/>
  <c r="R72" i="218"/>
  <c r="O25" i="218"/>
  <c r="O48" i="218" s="1"/>
  <c r="L37" i="218"/>
  <c r="R61" i="218"/>
  <c r="L70" i="218"/>
  <c r="R26" i="218"/>
  <c r="M37" i="218"/>
  <c r="R17" i="218"/>
  <c r="L24" i="218"/>
  <c r="R24" i="218" s="1"/>
  <c r="O94" i="218"/>
  <c r="R94" i="218" s="1"/>
  <c r="O66" i="218"/>
  <c r="R66" i="218" s="1"/>
  <c r="Q47" i="218"/>
  <c r="R47" i="218" s="1"/>
  <c r="R44" i="218"/>
  <c r="L78" i="218"/>
  <c r="Q45" i="218"/>
  <c r="R45" i="218" s="1"/>
  <c r="O75" i="218"/>
  <c r="R75" i="218" s="1"/>
  <c r="R7" i="218"/>
  <c r="F25" i="218"/>
  <c r="R12" i="218"/>
  <c r="J76" i="218"/>
  <c r="G76" i="218"/>
  <c r="G78" i="218" s="1"/>
  <c r="O73" i="218"/>
  <c r="D48" i="218"/>
  <c r="Q27" i="218"/>
  <c r="R27" i="218" s="1"/>
  <c r="R42" i="218"/>
  <c r="I70" i="218"/>
  <c r="J70" i="218"/>
  <c r="Q31" i="218"/>
  <c r="R31" i="218" s="1"/>
  <c r="N37" i="218"/>
  <c r="N48" i="218" s="1"/>
  <c r="N2" i="218" s="1"/>
  <c r="H37" i="218"/>
  <c r="H48" i="218" s="1"/>
  <c r="H2" i="218" s="1"/>
  <c r="H95" i="218" s="1"/>
  <c r="R58" i="218"/>
  <c r="Q14" i="218"/>
  <c r="R51" i="218"/>
  <c r="R83" i="218"/>
  <c r="Q33" i="218"/>
  <c r="R33" i="218" s="1"/>
  <c r="M48" i="218"/>
  <c r="I25" i="218"/>
  <c r="O76" i="218"/>
  <c r="D78" i="218"/>
  <c r="O49" i="218"/>
  <c r="O70" i="218" s="1"/>
  <c r="N70" i="218"/>
  <c r="N78" i="218" s="1"/>
  <c r="I37" i="218"/>
  <c r="J37" i="218"/>
  <c r="P70" i="218"/>
  <c r="P78" i="218" s="1"/>
  <c r="R46" i="218"/>
  <c r="P91" i="218"/>
  <c r="G2" i="218"/>
  <c r="O37" i="218"/>
  <c r="F83" i="218"/>
  <c r="M76" i="218"/>
  <c r="I78" i="218"/>
  <c r="J25" i="218"/>
  <c r="J48" i="218" s="1"/>
  <c r="J2" i="218" s="1"/>
  <c r="J95" i="218" s="1"/>
  <c r="F76" i="218"/>
  <c r="F78" i="218" s="1"/>
  <c r="L90" i="218"/>
  <c r="R90" i="218" s="1"/>
  <c r="R29" i="218"/>
  <c r="D86" i="218"/>
  <c r="F86" i="218" s="1"/>
  <c r="M70" i="218"/>
  <c r="K70" i="218"/>
  <c r="K78" i="218" s="1"/>
  <c r="K37" i="218"/>
  <c r="K48" i="218" s="1"/>
  <c r="K2" i="218" s="1"/>
  <c r="K95" i="218" s="1"/>
  <c r="F37" i="218"/>
  <c r="R37" i="218" s="1"/>
  <c r="P25" i="218"/>
  <c r="P48" i="218" s="1"/>
  <c r="P2" i="218" s="1"/>
  <c r="P95" i="218" s="1"/>
  <c r="H70" i="218"/>
  <c r="H78" i="218" s="1"/>
  <c r="F70" i="218"/>
  <c r="P37" i="218"/>
  <c r="Q37" i="218"/>
  <c r="R93" i="217"/>
  <c r="P2" i="217"/>
  <c r="P95" i="217" s="1"/>
  <c r="R28" i="217"/>
  <c r="G48" i="217"/>
  <c r="G2" i="217" s="1"/>
  <c r="M2" i="217"/>
  <c r="K48" i="217"/>
  <c r="O48" i="217"/>
  <c r="R16" i="217"/>
  <c r="R56" i="217"/>
  <c r="R52" i="217"/>
  <c r="O70" i="217"/>
  <c r="N48" i="217"/>
  <c r="N2" i="217" s="1"/>
  <c r="R32" i="217"/>
  <c r="M78" i="217"/>
  <c r="R49" i="217"/>
  <c r="R12" i="217"/>
  <c r="R47" i="217"/>
  <c r="Q47" i="217"/>
  <c r="R43" i="217"/>
  <c r="Q32" i="217"/>
  <c r="D48" i="217"/>
  <c r="D86" i="217"/>
  <c r="F86" i="217" s="1"/>
  <c r="G70" i="217"/>
  <c r="H37" i="217"/>
  <c r="R75" i="217"/>
  <c r="H25" i="217"/>
  <c r="H48" i="217" s="1"/>
  <c r="H2" i="217" s="1"/>
  <c r="H95" i="217" s="1"/>
  <c r="L76" i="217"/>
  <c r="L78" i="217" s="1"/>
  <c r="R73" i="217"/>
  <c r="N62" i="217"/>
  <c r="R62" i="217" s="1"/>
  <c r="G92" i="217"/>
  <c r="L92" i="217"/>
  <c r="F92" i="217"/>
  <c r="K92" i="217"/>
  <c r="J92" i="217"/>
  <c r="I92" i="217"/>
  <c r="H92" i="217"/>
  <c r="H70" i="217"/>
  <c r="H78" i="217" s="1"/>
  <c r="F83" i="217"/>
  <c r="R83" i="217" s="1"/>
  <c r="N76" i="217"/>
  <c r="G76" i="217"/>
  <c r="G78" i="217" s="1"/>
  <c r="R42" i="217"/>
  <c r="Q61" i="217"/>
  <c r="R61" i="217" s="1"/>
  <c r="F70" i="217"/>
  <c r="Q70" i="217" s="1"/>
  <c r="Q78" i="217" s="1"/>
  <c r="O72" i="217"/>
  <c r="R72" i="217" s="1"/>
  <c r="F48" i="217"/>
  <c r="L88" i="217"/>
  <c r="I25" i="217"/>
  <c r="I48" i="217" s="1"/>
  <c r="I2" i="217" s="1"/>
  <c r="I95" i="217" s="1"/>
  <c r="G37" i="217"/>
  <c r="K70" i="217"/>
  <c r="R70" i="217" s="1"/>
  <c r="N70" i="217"/>
  <c r="D78" i="217"/>
  <c r="D109" i="217"/>
  <c r="J76" i="217"/>
  <c r="J78" i="217" s="1"/>
  <c r="I76" i="217"/>
  <c r="J48" i="217"/>
  <c r="Q45" i="217"/>
  <c r="R45" i="217" s="1"/>
  <c r="L48" i="217"/>
  <c r="L2" i="217" s="1"/>
  <c r="L95" i="217" s="1"/>
  <c r="R46" i="217"/>
  <c r="P91" i="217"/>
  <c r="R88" i="217"/>
  <c r="Q17" i="217"/>
  <c r="R17" i="217" s="1"/>
  <c r="Q28" i="217"/>
  <c r="M70" i="217"/>
  <c r="I70" i="217"/>
  <c r="K76" i="217"/>
  <c r="F76" i="217"/>
  <c r="F78" i="217" s="1"/>
  <c r="R56" i="216"/>
  <c r="R6" i="216"/>
  <c r="R17" i="216"/>
  <c r="R53" i="216"/>
  <c r="R24" i="216"/>
  <c r="R69" i="216"/>
  <c r="R74" i="216"/>
  <c r="R72" i="216"/>
  <c r="R57" i="216"/>
  <c r="R4" i="216"/>
  <c r="R94" i="216"/>
  <c r="F70" i="216"/>
  <c r="Q70" i="216" s="1"/>
  <c r="Q78" i="216" s="1"/>
  <c r="K70" i="216"/>
  <c r="N93" i="216"/>
  <c r="H93" i="216"/>
  <c r="M93" i="216"/>
  <c r="F93" i="216"/>
  <c r="I93" i="216"/>
  <c r="L93" i="216"/>
  <c r="G93" i="216"/>
  <c r="K93" i="216"/>
  <c r="P93" i="216"/>
  <c r="O93" i="216"/>
  <c r="J93" i="216"/>
  <c r="O37" i="216"/>
  <c r="J37" i="216"/>
  <c r="Q6" i="216"/>
  <c r="J76" i="216"/>
  <c r="J78" i="216" s="1"/>
  <c r="I76" i="216"/>
  <c r="I78" i="216" s="1"/>
  <c r="Q32" i="216"/>
  <c r="R32" i="216" s="1"/>
  <c r="Q61" i="216"/>
  <c r="R61" i="216" s="1"/>
  <c r="H25" i="216"/>
  <c r="G25" i="216"/>
  <c r="G48" i="216" s="1"/>
  <c r="N92" i="216"/>
  <c r="Q55" i="216"/>
  <c r="R55" i="216" s="1"/>
  <c r="F48" i="216"/>
  <c r="H70" i="216"/>
  <c r="G70" i="216"/>
  <c r="R5" i="216"/>
  <c r="Q45" i="216"/>
  <c r="R45" i="216" s="1"/>
  <c r="N37" i="216"/>
  <c r="K37" i="216"/>
  <c r="L90" i="216"/>
  <c r="R90" i="216" s="1"/>
  <c r="L76" i="216"/>
  <c r="L78" i="216" s="1"/>
  <c r="K76" i="216"/>
  <c r="K78" i="216" s="1"/>
  <c r="D78" i="216"/>
  <c r="J25" i="216"/>
  <c r="N25" i="216"/>
  <c r="N48" i="216" s="1"/>
  <c r="M92" i="216"/>
  <c r="M70" i="216"/>
  <c r="M78" i="216" s="1"/>
  <c r="L70" i="216"/>
  <c r="O53" i="216"/>
  <c r="Q30" i="216"/>
  <c r="R30" i="216" s="1"/>
  <c r="Q26" i="216"/>
  <c r="I37" i="216"/>
  <c r="Q37" i="216" s="1"/>
  <c r="H76" i="216"/>
  <c r="O76" i="216" s="1"/>
  <c r="O78" i="216" s="1"/>
  <c r="R13" i="216"/>
  <c r="F83" i="216"/>
  <c r="R83" i="216" s="1"/>
  <c r="L69" i="216"/>
  <c r="R12" i="216"/>
  <c r="R71" i="216"/>
  <c r="R77" i="216"/>
  <c r="O52" i="216"/>
  <c r="R52" i="216" s="1"/>
  <c r="O25" i="216"/>
  <c r="O48" i="216" s="1"/>
  <c r="K25" i="216"/>
  <c r="L25" i="216"/>
  <c r="L48" i="216" s="1"/>
  <c r="L2" i="216" s="1"/>
  <c r="L95" i="216" s="1"/>
  <c r="L91" i="216" s="1"/>
  <c r="L109" i="216" s="1"/>
  <c r="D86" i="216"/>
  <c r="F86" i="216" s="1"/>
  <c r="G78" i="216"/>
  <c r="J70" i="216"/>
  <c r="L37" i="216"/>
  <c r="H37" i="216"/>
  <c r="P37" i="216"/>
  <c r="P70" i="216"/>
  <c r="P78" i="216" s="1"/>
  <c r="L24" i="216"/>
  <c r="R79" i="216"/>
  <c r="P25" i="216"/>
  <c r="P48" i="216" s="1"/>
  <c r="M25" i="216"/>
  <c r="M48" i="216" s="1"/>
  <c r="R3" i="216"/>
  <c r="O49" i="216"/>
  <c r="O70" i="216" s="1"/>
  <c r="O72" i="216"/>
  <c r="N70" i="216"/>
  <c r="Q27" i="216"/>
  <c r="R27" i="216" s="1"/>
  <c r="R26" i="216"/>
  <c r="N76" i="216"/>
  <c r="N78" i="216" s="1"/>
  <c r="I25" i="216"/>
  <c r="I48" i="216" s="1"/>
  <c r="I2" i="216" s="1"/>
  <c r="I95" i="216" s="1"/>
  <c r="I91" i="216" s="1"/>
  <c r="D48" i="216"/>
  <c r="R29" i="215"/>
  <c r="R17" i="215"/>
  <c r="R66" i="215"/>
  <c r="R33" i="215"/>
  <c r="R54" i="215"/>
  <c r="R55" i="215"/>
  <c r="R64" i="215"/>
  <c r="I76" i="215"/>
  <c r="Q9" i="215"/>
  <c r="R9" i="215" s="1"/>
  <c r="Q37" i="215"/>
  <c r="Q47" i="215"/>
  <c r="R47" i="215" s="1"/>
  <c r="O94" i="215"/>
  <c r="R94" i="215" s="1"/>
  <c r="R30" i="215"/>
  <c r="R31" i="215"/>
  <c r="J76" i="215"/>
  <c r="J78" i="215" s="1"/>
  <c r="H76" i="215"/>
  <c r="O52" i="215"/>
  <c r="R52" i="215" s="1"/>
  <c r="I37" i="215"/>
  <c r="J37" i="215"/>
  <c r="M25" i="215"/>
  <c r="K25" i="215"/>
  <c r="K48" i="215" s="1"/>
  <c r="K2" i="215" s="1"/>
  <c r="K95" i="215" s="1"/>
  <c r="D48" i="215"/>
  <c r="O50" i="215"/>
  <c r="R50" i="215" s="1"/>
  <c r="L36" i="215"/>
  <c r="R36" i="215" s="1"/>
  <c r="R75" i="215"/>
  <c r="I70" i="215"/>
  <c r="G70" i="215"/>
  <c r="D86" i="215"/>
  <c r="F86" i="215" s="1"/>
  <c r="Q54" i="215"/>
  <c r="Q10" i="215"/>
  <c r="R10" i="215" s="1"/>
  <c r="R43" i="215"/>
  <c r="O66" i="215"/>
  <c r="L90" i="215"/>
  <c r="R90" i="215" s="1"/>
  <c r="R59" i="215"/>
  <c r="Q29" i="215"/>
  <c r="R44" i="215"/>
  <c r="O65" i="215"/>
  <c r="R65" i="215" s="1"/>
  <c r="R89" i="215"/>
  <c r="N37" i="215"/>
  <c r="N25" i="215"/>
  <c r="N48" i="215" s="1"/>
  <c r="R83" i="215"/>
  <c r="I92" i="215"/>
  <c r="H92" i="215"/>
  <c r="M92" i="215"/>
  <c r="G92" i="215"/>
  <c r="K92" i="215"/>
  <c r="J92" i="215"/>
  <c r="F92" i="215"/>
  <c r="L92" i="215"/>
  <c r="M70" i="215"/>
  <c r="J70" i="215"/>
  <c r="R12" i="215"/>
  <c r="P93" i="215"/>
  <c r="J93" i="215"/>
  <c r="O93" i="215"/>
  <c r="I93" i="215"/>
  <c r="N93" i="215"/>
  <c r="H93" i="215"/>
  <c r="L93" i="215"/>
  <c r="K93" i="215"/>
  <c r="G93" i="215"/>
  <c r="F93" i="215"/>
  <c r="M93" i="215"/>
  <c r="H70" i="215"/>
  <c r="R61" i="215"/>
  <c r="R72" i="215"/>
  <c r="R14" i="215"/>
  <c r="R27" i="215"/>
  <c r="F37" i="215"/>
  <c r="R37" i="215" s="1"/>
  <c r="K37" i="215"/>
  <c r="I25" i="215"/>
  <c r="I48" i="215" s="1"/>
  <c r="I2" i="215" s="1"/>
  <c r="I95" i="215" s="1"/>
  <c r="F25" i="215"/>
  <c r="F48" i="215" s="1"/>
  <c r="D78" i="215"/>
  <c r="R79" i="215"/>
  <c r="N70" i="215"/>
  <c r="N78" i="215" s="1"/>
  <c r="K70" i="215"/>
  <c r="K78" i="215" s="1"/>
  <c r="R73" i="215"/>
  <c r="Q5" i="215"/>
  <c r="R5" i="215" s="1"/>
  <c r="O25" i="215"/>
  <c r="G78" i="215"/>
  <c r="L37" i="215"/>
  <c r="G37" i="215"/>
  <c r="O37" i="215"/>
  <c r="R26" i="215"/>
  <c r="Q16" i="215"/>
  <c r="R16" i="215" s="1"/>
  <c r="J25" i="215"/>
  <c r="J48" i="215" s="1"/>
  <c r="J2" i="215" s="1"/>
  <c r="J95" i="215" s="1"/>
  <c r="L25" i="215"/>
  <c r="L48" i="215" s="1"/>
  <c r="O49" i="215"/>
  <c r="F70" i="215"/>
  <c r="P37" i="215"/>
  <c r="Q45" i="215"/>
  <c r="R45" i="215" s="1"/>
  <c r="P70" i="215"/>
  <c r="P78" i="215" s="1"/>
  <c r="M76" i="215"/>
  <c r="H37" i="215"/>
  <c r="H48" i="215" s="1"/>
  <c r="H2" i="215" s="1"/>
  <c r="H95" i="215" s="1"/>
  <c r="M37" i="215"/>
  <c r="G25" i="215"/>
  <c r="G48" i="215" s="1"/>
  <c r="G2" i="215" s="1"/>
  <c r="G95" i="215" s="1"/>
  <c r="P25" i="215"/>
  <c r="P48" i="215" s="1"/>
  <c r="R3" i="215"/>
  <c r="R46" i="215"/>
  <c r="F76" i="215"/>
  <c r="O76" i="215" s="1"/>
  <c r="R74" i="215"/>
  <c r="L70" i="215"/>
  <c r="L78" i="215" s="1"/>
  <c r="R9" i="214"/>
  <c r="R17" i="214"/>
  <c r="R28" i="214"/>
  <c r="R16" i="214"/>
  <c r="R74" i="214"/>
  <c r="R6" i="214"/>
  <c r="R33" i="214"/>
  <c r="R59" i="214"/>
  <c r="R30" i="214"/>
  <c r="R55" i="214"/>
  <c r="R58" i="214"/>
  <c r="N37" i="214"/>
  <c r="L37" i="214"/>
  <c r="J76" i="214"/>
  <c r="J78" i="214" s="1"/>
  <c r="O72" i="214"/>
  <c r="R72" i="214" s="1"/>
  <c r="M37" i="214"/>
  <c r="Q30" i="214"/>
  <c r="R4" i="214"/>
  <c r="N62" i="214"/>
  <c r="R62" i="214" s="1"/>
  <c r="R43" i="214"/>
  <c r="R46" i="214"/>
  <c r="Q16" i="214"/>
  <c r="R12" i="214"/>
  <c r="R32" i="214"/>
  <c r="N77" i="214"/>
  <c r="R77" i="214" s="1"/>
  <c r="M25" i="214"/>
  <c r="M48" i="214" s="1"/>
  <c r="O25" i="214"/>
  <c r="O48" i="214" s="1"/>
  <c r="L25" i="214"/>
  <c r="L48" i="214" s="1"/>
  <c r="O52" i="214"/>
  <c r="R52" i="214" s="1"/>
  <c r="R51" i="214"/>
  <c r="K76" i="214"/>
  <c r="K78" i="214" s="1"/>
  <c r="H76" i="214"/>
  <c r="H78" i="214" s="1"/>
  <c r="K37" i="214"/>
  <c r="I37" i="214"/>
  <c r="R83" i="214"/>
  <c r="R47" i="214"/>
  <c r="Q47" i="214"/>
  <c r="R73" i="214"/>
  <c r="N25" i="214"/>
  <c r="N48" i="214" s="1"/>
  <c r="J25" i="214"/>
  <c r="R3" i="214"/>
  <c r="R14" i="214"/>
  <c r="H70" i="214"/>
  <c r="R8" i="214"/>
  <c r="R29" i="214"/>
  <c r="L78" i="214"/>
  <c r="Q61" i="214"/>
  <c r="R61" i="214" s="1"/>
  <c r="O93" i="214"/>
  <c r="I93" i="214"/>
  <c r="K93" i="214"/>
  <c r="J93" i="214"/>
  <c r="P93" i="214"/>
  <c r="H93" i="214"/>
  <c r="N93" i="214"/>
  <c r="G93" i="214"/>
  <c r="F93" i="214"/>
  <c r="Q93" i="214" s="1"/>
  <c r="M93" i="214"/>
  <c r="L93" i="214"/>
  <c r="H25" i="214"/>
  <c r="P48" i="214"/>
  <c r="P2" i="214" s="1"/>
  <c r="L70" i="214"/>
  <c r="O49" i="214"/>
  <c r="O70" i="214" s="1"/>
  <c r="Q27" i="214"/>
  <c r="R27" i="214" s="1"/>
  <c r="R26" i="214"/>
  <c r="J37" i="214"/>
  <c r="O50" i="214"/>
  <c r="R50" i="214" s="1"/>
  <c r="G25" i="214"/>
  <c r="K25" i="214"/>
  <c r="K48" i="214" s="1"/>
  <c r="K2" i="214" s="1"/>
  <c r="F70" i="214"/>
  <c r="K70" i="214"/>
  <c r="D86" i="214"/>
  <c r="F86" i="214" s="1"/>
  <c r="G37" i="214"/>
  <c r="M76" i="214"/>
  <c r="H37" i="214"/>
  <c r="F76" i="214"/>
  <c r="Q45" i="214"/>
  <c r="R45" i="214" s="1"/>
  <c r="D48" i="214"/>
  <c r="I70" i="214"/>
  <c r="M70" i="214"/>
  <c r="H92" i="214"/>
  <c r="G92" i="214"/>
  <c r="F92" i="214"/>
  <c r="M92" i="214" s="1"/>
  <c r="L92" i="214"/>
  <c r="K92" i="214"/>
  <c r="J92" i="214"/>
  <c r="I92" i="214"/>
  <c r="L88" i="214"/>
  <c r="R88" i="214" s="1"/>
  <c r="R75" i="214"/>
  <c r="I76" i="214"/>
  <c r="I78" i="214" s="1"/>
  <c r="F37" i="214"/>
  <c r="Q37" i="214" s="1"/>
  <c r="R37" i="214" s="1"/>
  <c r="O37" i="214"/>
  <c r="D78" i="214"/>
  <c r="O76" i="214"/>
  <c r="O78" i="214" s="1"/>
  <c r="R42" i="214"/>
  <c r="I25" i="214"/>
  <c r="I48" i="214" s="1"/>
  <c r="I2" i="214" s="1"/>
  <c r="I95" i="214" s="1"/>
  <c r="F25" i="214"/>
  <c r="J70" i="214"/>
  <c r="G70" i="214"/>
  <c r="R51" i="213"/>
  <c r="R50" i="213"/>
  <c r="R33" i="213"/>
  <c r="R15" i="213"/>
  <c r="R65" i="213"/>
  <c r="M78" i="213"/>
  <c r="I37" i="213"/>
  <c r="O65" i="213"/>
  <c r="R13" i="213"/>
  <c r="D48" i="213"/>
  <c r="M25" i="213"/>
  <c r="N70" i="213"/>
  <c r="N78" i="213" s="1"/>
  <c r="I70" i="213"/>
  <c r="R31" i="213"/>
  <c r="Q61" i="213"/>
  <c r="R61" i="213" s="1"/>
  <c r="O64" i="213"/>
  <c r="R64" i="213" s="1"/>
  <c r="Q47" i="213"/>
  <c r="R47" i="213" s="1"/>
  <c r="H76" i="213"/>
  <c r="P37" i="213"/>
  <c r="Q26" i="213"/>
  <c r="R26" i="213" s="1"/>
  <c r="R77" i="213"/>
  <c r="R53" i="213"/>
  <c r="L37" i="213"/>
  <c r="J25" i="213"/>
  <c r="J48" i="213" s="1"/>
  <c r="J2" i="213" s="1"/>
  <c r="J95" i="213" s="1"/>
  <c r="G25" i="213"/>
  <c r="L69" i="213"/>
  <c r="R69" i="213" s="1"/>
  <c r="Q55" i="213"/>
  <c r="R55" i="213" s="1"/>
  <c r="L15" i="213"/>
  <c r="R14" i="213"/>
  <c r="F70" i="213"/>
  <c r="Q70" i="213" s="1"/>
  <c r="Q78" i="213" s="1"/>
  <c r="O49" i="213"/>
  <c r="O70" i="213" s="1"/>
  <c r="R6" i="213"/>
  <c r="D86" i="213"/>
  <c r="F86" i="213" s="1"/>
  <c r="R56" i="213"/>
  <c r="O72" i="213"/>
  <c r="R72" i="213" s="1"/>
  <c r="H37" i="213"/>
  <c r="F37" i="213"/>
  <c r="R30" i="213"/>
  <c r="O12" i="213"/>
  <c r="R12" i="213" s="1"/>
  <c r="G37" i="213"/>
  <c r="R37" i="213" s="1"/>
  <c r="R27" i="213"/>
  <c r="Q3" i="213"/>
  <c r="N25" i="213"/>
  <c r="N92" i="213"/>
  <c r="H70" i="213"/>
  <c r="R70" i="213" s="1"/>
  <c r="R5" i="213"/>
  <c r="I76" i="213"/>
  <c r="I78" i="213" s="1"/>
  <c r="J37" i="213"/>
  <c r="N37" i="213"/>
  <c r="O73" i="213"/>
  <c r="R73" i="213" s="1"/>
  <c r="R94" i="213"/>
  <c r="Q45" i="213"/>
  <c r="R45" i="213" s="1"/>
  <c r="N93" i="213"/>
  <c r="H93" i="213"/>
  <c r="M93" i="213"/>
  <c r="G93" i="213"/>
  <c r="K93" i="213"/>
  <c r="F93" i="213"/>
  <c r="P93" i="213"/>
  <c r="O93" i="213"/>
  <c r="L93" i="213"/>
  <c r="J93" i="213"/>
  <c r="I93" i="213"/>
  <c r="I91" i="213" s="1"/>
  <c r="I25" i="213"/>
  <c r="I48" i="213" s="1"/>
  <c r="I2" i="213" s="1"/>
  <c r="I95" i="213" s="1"/>
  <c r="F25" i="213"/>
  <c r="F48" i="213" s="1"/>
  <c r="F2" i="213" s="1"/>
  <c r="L70" i="213"/>
  <c r="J70" i="213"/>
  <c r="J78" i="213" s="1"/>
  <c r="R88" i="213"/>
  <c r="L78" i="213"/>
  <c r="Q37" i="213"/>
  <c r="R42" i="213"/>
  <c r="R71" i="213"/>
  <c r="H25" i="213"/>
  <c r="H48" i="213" s="1"/>
  <c r="P25" i="213"/>
  <c r="L25" i="213"/>
  <c r="L48" i="213" s="1"/>
  <c r="L2" i="213" s="1"/>
  <c r="L95" i="213" s="1"/>
  <c r="J91" i="213"/>
  <c r="L91" i="213"/>
  <c r="L109" i="213" s="1"/>
  <c r="G70" i="213"/>
  <c r="R49" i="213"/>
  <c r="F83" i="213"/>
  <c r="R83" i="213" s="1"/>
  <c r="R46" i="213"/>
  <c r="K76" i="213"/>
  <c r="K78" i="213" s="1"/>
  <c r="G76" i="213"/>
  <c r="G78" i="213" s="1"/>
  <c r="O37" i="213"/>
  <c r="M37" i="213"/>
  <c r="D78" i="213"/>
  <c r="O25" i="213"/>
  <c r="O48" i="213" s="1"/>
  <c r="K25" i="213"/>
  <c r="K48" i="213" s="1"/>
  <c r="R3" i="213"/>
  <c r="R51" i="212"/>
  <c r="R59" i="212"/>
  <c r="R6" i="212"/>
  <c r="R73" i="212"/>
  <c r="R58" i="212"/>
  <c r="R16" i="212"/>
  <c r="R3" i="212"/>
  <c r="R5" i="212"/>
  <c r="R12" i="212"/>
  <c r="R52" i="212"/>
  <c r="R75" i="212"/>
  <c r="H70" i="212"/>
  <c r="H25" i="212"/>
  <c r="H48" i="212" s="1"/>
  <c r="O73" i="212"/>
  <c r="L37" i="212"/>
  <c r="Q10" i="212"/>
  <c r="R10" i="212" s="1"/>
  <c r="F83" i="212"/>
  <c r="R13" i="212"/>
  <c r="I70" i="212"/>
  <c r="O66" i="212"/>
  <c r="R66" i="212" s="1"/>
  <c r="F76" i="212"/>
  <c r="L76" i="212"/>
  <c r="M76" i="212"/>
  <c r="M78" i="212" s="1"/>
  <c r="N37" i="212"/>
  <c r="I37" i="212"/>
  <c r="R24" i="212"/>
  <c r="O25" i="212"/>
  <c r="R31" i="212"/>
  <c r="O64" i="212"/>
  <c r="R64" i="212" s="1"/>
  <c r="J37" i="212"/>
  <c r="R7" i="212"/>
  <c r="M70" i="212"/>
  <c r="J70" i="212"/>
  <c r="D78" i="212"/>
  <c r="Q5" i="212"/>
  <c r="Q56" i="212"/>
  <c r="R56" i="212" s="1"/>
  <c r="O72" i="212"/>
  <c r="R72" i="212" s="1"/>
  <c r="R54" i="212"/>
  <c r="K37" i="212"/>
  <c r="F25" i="212"/>
  <c r="F48" i="212" s="1"/>
  <c r="F2" i="212" s="1"/>
  <c r="I25" i="212"/>
  <c r="I48" i="212" s="1"/>
  <c r="I2" i="212" s="1"/>
  <c r="I95" i="212" s="1"/>
  <c r="N93" i="212"/>
  <c r="H93" i="212"/>
  <c r="L93" i="212"/>
  <c r="P93" i="212"/>
  <c r="G93" i="212"/>
  <c r="Q93" i="212" s="1"/>
  <c r="K93" i="212"/>
  <c r="F93" i="212"/>
  <c r="J93" i="212"/>
  <c r="O93" i="212"/>
  <c r="M93" i="212"/>
  <c r="I93" i="212"/>
  <c r="R26" i="212"/>
  <c r="J25" i="212"/>
  <c r="J48" i="212" s="1"/>
  <c r="R57" i="212"/>
  <c r="R50" i="212"/>
  <c r="Q47" i="212"/>
  <c r="R47" i="212" s="1"/>
  <c r="R36" i="212"/>
  <c r="R83" i="212"/>
  <c r="O52" i="212"/>
  <c r="L70" i="212"/>
  <c r="Q17" i="212"/>
  <c r="R17" i="212" s="1"/>
  <c r="N76" i="212"/>
  <c r="N78" i="212" s="1"/>
  <c r="P70" i="212"/>
  <c r="P78" i="212" s="1"/>
  <c r="O37" i="212"/>
  <c r="Q37" i="212" s="1"/>
  <c r="H37" i="212"/>
  <c r="Q16" i="212"/>
  <c r="R65" i="212"/>
  <c r="M25" i="212"/>
  <c r="P25" i="212"/>
  <c r="G37" i="212"/>
  <c r="R42" i="212"/>
  <c r="G92" i="212"/>
  <c r="I92" i="212"/>
  <c r="J92" i="212"/>
  <c r="H92" i="212"/>
  <c r="L92" i="212"/>
  <c r="K92" i="212"/>
  <c r="F92" i="212"/>
  <c r="N70" i="212"/>
  <c r="G70" i="212"/>
  <c r="H76" i="212"/>
  <c r="H78" i="212" s="1"/>
  <c r="I76" i="212"/>
  <c r="P37" i="212"/>
  <c r="R29" i="212"/>
  <c r="R43" i="212"/>
  <c r="L89" i="212"/>
  <c r="D48" i="212"/>
  <c r="Q25" i="212"/>
  <c r="G25" i="212"/>
  <c r="G48" i="212" s="1"/>
  <c r="K25" i="212"/>
  <c r="K48" i="212" s="1"/>
  <c r="K2" i="212" s="1"/>
  <c r="K95" i="212" s="1"/>
  <c r="R27" i="212"/>
  <c r="R45" i="212"/>
  <c r="Q45" i="212"/>
  <c r="R44" i="212"/>
  <c r="F70" i="212"/>
  <c r="O49" i="212"/>
  <c r="R49" i="212" s="1"/>
  <c r="D86" i="212"/>
  <c r="F86" i="212" s="1"/>
  <c r="K76" i="212"/>
  <c r="K78" i="212" s="1"/>
  <c r="J76" i="212"/>
  <c r="J78" i="212" s="1"/>
  <c r="F37" i="212"/>
  <c r="R37" i="212" s="1"/>
  <c r="M37" i="212"/>
  <c r="L25" i="212"/>
  <c r="L48" i="212" s="1"/>
  <c r="L2" i="212" s="1"/>
  <c r="N25" i="212"/>
  <c r="N48" i="212" s="1"/>
  <c r="N2" i="212" s="1"/>
  <c r="Q3" i="212"/>
  <c r="R53" i="211"/>
  <c r="J48" i="211"/>
  <c r="J2" i="211" s="1"/>
  <c r="J95" i="211" s="1"/>
  <c r="R56" i="211"/>
  <c r="R10" i="211"/>
  <c r="F78" i="211"/>
  <c r="R55" i="211"/>
  <c r="R30" i="211"/>
  <c r="R64" i="211"/>
  <c r="R33" i="211"/>
  <c r="G48" i="211"/>
  <c r="R75" i="211"/>
  <c r="R29" i="211"/>
  <c r="R24" i="211"/>
  <c r="R42" i="211"/>
  <c r="R15" i="211"/>
  <c r="Q33" i="211"/>
  <c r="F70" i="211"/>
  <c r="P37" i="211"/>
  <c r="P48" i="211" s="1"/>
  <c r="P2" i="211" s="1"/>
  <c r="P95" i="211" s="1"/>
  <c r="P91" i="211" s="1"/>
  <c r="R79" i="211"/>
  <c r="R46" i="211"/>
  <c r="R27" i="211"/>
  <c r="R44" i="211"/>
  <c r="O72" i="211"/>
  <c r="R72" i="211" s="1"/>
  <c r="M76" i="211"/>
  <c r="M78" i="211" s="1"/>
  <c r="R36" i="211"/>
  <c r="R7" i="211"/>
  <c r="R31" i="211"/>
  <c r="G70" i="211"/>
  <c r="G78" i="211" s="1"/>
  <c r="J70" i="211"/>
  <c r="Q93" i="211"/>
  <c r="R94" i="211"/>
  <c r="I37" i="211"/>
  <c r="H37" i="211"/>
  <c r="H48" i="211" s="1"/>
  <c r="H2" i="211" s="1"/>
  <c r="H95" i="211" s="1"/>
  <c r="R54" i="211"/>
  <c r="P70" i="211"/>
  <c r="P78" i="211" s="1"/>
  <c r="R83" i="211"/>
  <c r="Q47" i="211"/>
  <c r="R47" i="211" s="1"/>
  <c r="G37" i="211"/>
  <c r="H76" i="211"/>
  <c r="H78" i="211" s="1"/>
  <c r="L70" i="211"/>
  <c r="L78" i="211" s="1"/>
  <c r="J37" i="211"/>
  <c r="O75" i="211"/>
  <c r="L37" i="211"/>
  <c r="Q37" i="211" s="1"/>
  <c r="Q55" i="211"/>
  <c r="I76" i="211"/>
  <c r="I78" i="211" s="1"/>
  <c r="D48" i="211"/>
  <c r="Q25" i="211"/>
  <c r="F25" i="211"/>
  <c r="F48" i="211" s="1"/>
  <c r="K70" i="211"/>
  <c r="K78" i="211" s="1"/>
  <c r="M70" i="211"/>
  <c r="M2" i="211" s="1"/>
  <c r="M95" i="211" s="1"/>
  <c r="N37" i="211"/>
  <c r="N48" i="211" s="1"/>
  <c r="N2" i="211" s="1"/>
  <c r="N95" i="211" s="1"/>
  <c r="K37" i="211"/>
  <c r="J78" i="211"/>
  <c r="L25" i="211"/>
  <c r="I48" i="211"/>
  <c r="I2" i="211" s="1"/>
  <c r="H70" i="211"/>
  <c r="I70" i="211"/>
  <c r="K48" i="211"/>
  <c r="O37" i="211"/>
  <c r="O48" i="211" s="1"/>
  <c r="R26" i="211"/>
  <c r="M92" i="211"/>
  <c r="G92" i="211"/>
  <c r="L92" i="211"/>
  <c r="F92" i="211"/>
  <c r="N92" i="211" s="1"/>
  <c r="K92" i="211"/>
  <c r="J92" i="211"/>
  <c r="I92" i="211"/>
  <c r="H92" i="211"/>
  <c r="R45" i="211"/>
  <c r="Q45" i="211"/>
  <c r="R4" i="211"/>
  <c r="N70" i="211"/>
  <c r="O49" i="211"/>
  <c r="O70" i="211" s="1"/>
  <c r="F37" i="211"/>
  <c r="R37" i="211" s="1"/>
  <c r="N76" i="211"/>
  <c r="N78" i="211" s="1"/>
  <c r="R30" i="210"/>
  <c r="R14" i="210"/>
  <c r="I48" i="210"/>
  <c r="R13" i="210"/>
  <c r="O48" i="210"/>
  <c r="P2" i="210"/>
  <c r="R55" i="210"/>
  <c r="R17" i="210"/>
  <c r="R28" i="210"/>
  <c r="R7" i="210"/>
  <c r="G78" i="210"/>
  <c r="G25" i="210"/>
  <c r="I70" i="210"/>
  <c r="I78" i="210" s="1"/>
  <c r="G70" i="210"/>
  <c r="R27" i="210"/>
  <c r="Q45" i="210"/>
  <c r="R45" i="210"/>
  <c r="H37" i="210"/>
  <c r="P70" i="210"/>
  <c r="P78" i="210" s="1"/>
  <c r="O73" i="210"/>
  <c r="R73" i="210" s="1"/>
  <c r="N78" i="210"/>
  <c r="R77" i="210"/>
  <c r="H48" i="210"/>
  <c r="M70" i="210"/>
  <c r="M78" i="210" s="1"/>
  <c r="R46" i="210"/>
  <c r="Q5" i="210"/>
  <c r="R5" i="210" s="1"/>
  <c r="N25" i="210"/>
  <c r="O66" i="210"/>
  <c r="R66" i="210" s="1"/>
  <c r="R51" i="210"/>
  <c r="K37" i="210"/>
  <c r="K48" i="210" s="1"/>
  <c r="K2" i="210" s="1"/>
  <c r="K95" i="210" s="1"/>
  <c r="O37" i="210"/>
  <c r="R29" i="210"/>
  <c r="R54" i="210"/>
  <c r="H76" i="210"/>
  <c r="H78" i="210" s="1"/>
  <c r="D78" i="210"/>
  <c r="Q9" i="210"/>
  <c r="R9" i="210" s="1"/>
  <c r="M92" i="210"/>
  <c r="L88" i="210"/>
  <c r="L70" i="210"/>
  <c r="L2" i="210" s="1"/>
  <c r="L95" i="210" s="1"/>
  <c r="L91" i="210" s="1"/>
  <c r="L109" i="210" s="1"/>
  <c r="O52" i="210"/>
  <c r="O70" i="210" s="1"/>
  <c r="N37" i="210"/>
  <c r="R64" i="210"/>
  <c r="D48" i="210"/>
  <c r="L76" i="210"/>
  <c r="R72" i="210"/>
  <c r="F76" i="210"/>
  <c r="O76" i="210" s="1"/>
  <c r="O78" i="210" s="1"/>
  <c r="R59" i="210"/>
  <c r="D86" i="210"/>
  <c r="F86" i="210" s="1"/>
  <c r="K70" i="210"/>
  <c r="J70" i="210"/>
  <c r="J2" i="210" s="1"/>
  <c r="J95" i="210" s="1"/>
  <c r="Q47" i="210"/>
  <c r="R47" i="210" s="1"/>
  <c r="Q30" i="210"/>
  <c r="F37" i="210"/>
  <c r="I37" i="210"/>
  <c r="F83" i="210"/>
  <c r="R83" i="210" s="1"/>
  <c r="N70" i="210"/>
  <c r="N93" i="210"/>
  <c r="H93" i="210"/>
  <c r="M93" i="210"/>
  <c r="F93" i="210"/>
  <c r="I93" i="210"/>
  <c r="P93" i="210"/>
  <c r="G93" i="210"/>
  <c r="O93" i="210"/>
  <c r="L93" i="210"/>
  <c r="K93" i="210"/>
  <c r="K91" i="210" s="1"/>
  <c r="J93" i="210"/>
  <c r="M37" i="210"/>
  <c r="F70" i="210"/>
  <c r="R49" i="210"/>
  <c r="G37" i="210"/>
  <c r="Q26" i="210"/>
  <c r="R26" i="210" s="1"/>
  <c r="Q58" i="210"/>
  <c r="R58" i="210" s="1"/>
  <c r="K78" i="210"/>
  <c r="M25" i="210"/>
  <c r="M48" i="210" s="1"/>
  <c r="R51" i="209"/>
  <c r="R7" i="209"/>
  <c r="R8" i="209"/>
  <c r="R65" i="209"/>
  <c r="R30" i="209"/>
  <c r="R4" i="209"/>
  <c r="R5" i="209"/>
  <c r="R17" i="209"/>
  <c r="R66" i="209"/>
  <c r="R32" i="209"/>
  <c r="J25" i="209"/>
  <c r="J48" i="209" s="1"/>
  <c r="N25" i="209"/>
  <c r="M70" i="209"/>
  <c r="L70" i="209"/>
  <c r="Q56" i="209"/>
  <c r="R56" i="209" s="1"/>
  <c r="R27" i="209"/>
  <c r="O53" i="209"/>
  <c r="R53" i="209" s="1"/>
  <c r="H37" i="209"/>
  <c r="P37" i="209"/>
  <c r="P48" i="209" s="1"/>
  <c r="P2" i="209" s="1"/>
  <c r="P95" i="209" s="1"/>
  <c r="R83" i="209"/>
  <c r="R73" i="209"/>
  <c r="M76" i="209"/>
  <c r="Q26" i="209"/>
  <c r="R26" i="209" s="1"/>
  <c r="O66" i="209"/>
  <c r="Q3" i="209"/>
  <c r="R3" i="209" s="1"/>
  <c r="F25" i="209"/>
  <c r="N92" i="209"/>
  <c r="J70" i="209"/>
  <c r="O37" i="209"/>
  <c r="R6" i="209"/>
  <c r="R72" i="209"/>
  <c r="R54" i="209"/>
  <c r="I37" i="209"/>
  <c r="R77" i="209"/>
  <c r="I25" i="209"/>
  <c r="I48" i="209" s="1"/>
  <c r="K25" i="209"/>
  <c r="D86" i="209"/>
  <c r="F86" i="209" s="1"/>
  <c r="N70" i="209"/>
  <c r="Q5" i="209"/>
  <c r="R15" i="209"/>
  <c r="Q33" i="209"/>
  <c r="R33" i="209" s="1"/>
  <c r="N93" i="209"/>
  <c r="H93" i="209"/>
  <c r="M93" i="209"/>
  <c r="F93" i="209"/>
  <c r="I93" i="209"/>
  <c r="L93" i="209"/>
  <c r="G93" i="209"/>
  <c r="K93" i="209"/>
  <c r="P93" i="209"/>
  <c r="O93" i="209"/>
  <c r="J93" i="209"/>
  <c r="J37" i="209"/>
  <c r="L24" i="209"/>
  <c r="R24" i="209" s="1"/>
  <c r="N76" i="209"/>
  <c r="O25" i="209"/>
  <c r="O48" i="209" s="1"/>
  <c r="M25" i="209"/>
  <c r="R94" i="209"/>
  <c r="F70" i="209"/>
  <c r="K70" i="209"/>
  <c r="Q45" i="209"/>
  <c r="R45" i="209" s="1"/>
  <c r="N37" i="209"/>
  <c r="K37" i="209"/>
  <c r="D78" i="209"/>
  <c r="H76" i="209"/>
  <c r="I76" i="209"/>
  <c r="I78" i="209" s="1"/>
  <c r="P70" i="209"/>
  <c r="P78" i="209" s="1"/>
  <c r="O49" i="209"/>
  <c r="R49" i="209" s="1"/>
  <c r="L76" i="209"/>
  <c r="L78" i="209" s="1"/>
  <c r="H25" i="209"/>
  <c r="D48" i="209"/>
  <c r="R43" i="209"/>
  <c r="R92" i="209"/>
  <c r="H70" i="209"/>
  <c r="G70" i="209"/>
  <c r="G78" i="209" s="1"/>
  <c r="R42" i="209"/>
  <c r="F37" i="209"/>
  <c r="M37" i="209"/>
  <c r="F83" i="209"/>
  <c r="F76" i="209"/>
  <c r="F78" i="209" s="1"/>
  <c r="J76" i="209"/>
  <c r="K76" i="209"/>
  <c r="R61" i="208"/>
  <c r="R74" i="208"/>
  <c r="R55" i="208"/>
  <c r="R56" i="208"/>
  <c r="R51" i="208"/>
  <c r="R93" i="208"/>
  <c r="N92" i="208"/>
  <c r="R53" i="208"/>
  <c r="R54" i="208"/>
  <c r="R27" i="208"/>
  <c r="R45" i="208"/>
  <c r="F37" i="208"/>
  <c r="F48" i="208" s="1"/>
  <c r="F2" i="208" s="1"/>
  <c r="K76" i="208"/>
  <c r="K78" i="208" s="1"/>
  <c r="D86" i="208"/>
  <c r="F86" i="208" s="1"/>
  <c r="I25" i="208"/>
  <c r="Q3" i="208"/>
  <c r="R3" i="208" s="1"/>
  <c r="J70" i="208"/>
  <c r="H70" i="208"/>
  <c r="R43" i="208"/>
  <c r="O64" i="208"/>
  <c r="O70" i="208" s="1"/>
  <c r="Q32" i="208"/>
  <c r="R32" i="208" s="1"/>
  <c r="R14" i="208"/>
  <c r="Q56" i="208"/>
  <c r="H37" i="208"/>
  <c r="K37" i="208"/>
  <c r="N76" i="208"/>
  <c r="N78" i="208" s="1"/>
  <c r="F76" i="208"/>
  <c r="Q9" i="208"/>
  <c r="R9" i="208" s="1"/>
  <c r="R52" i="208"/>
  <c r="G37" i="208"/>
  <c r="L25" i="208"/>
  <c r="L48" i="208" s="1"/>
  <c r="L2" i="208" s="1"/>
  <c r="L95" i="208" s="1"/>
  <c r="L91" i="208" s="1"/>
  <c r="L109" i="208" s="1"/>
  <c r="O25" i="208"/>
  <c r="R49" i="208"/>
  <c r="N70" i="208"/>
  <c r="R31" i="208"/>
  <c r="P70" i="208"/>
  <c r="P78" i="208" s="1"/>
  <c r="R5" i="208"/>
  <c r="I37" i="208"/>
  <c r="Q27" i="208"/>
  <c r="I76" i="208"/>
  <c r="I78" i="208" s="1"/>
  <c r="R17" i="208"/>
  <c r="R28" i="208"/>
  <c r="K48" i="208"/>
  <c r="Q26" i="208"/>
  <c r="R26" i="208" s="1"/>
  <c r="H76" i="208"/>
  <c r="H91" i="208"/>
  <c r="L88" i="208"/>
  <c r="N25" i="208"/>
  <c r="N48" i="208" s="1"/>
  <c r="N2" i="208" s="1"/>
  <c r="N95" i="208" s="1"/>
  <c r="J25" i="208"/>
  <c r="F70" i="208"/>
  <c r="R65" i="208"/>
  <c r="M37" i="208"/>
  <c r="P37" i="208"/>
  <c r="L37" i="208"/>
  <c r="L76" i="208"/>
  <c r="L78" i="208" s="1"/>
  <c r="D78" i="208"/>
  <c r="H48" i="208"/>
  <c r="H2" i="208" s="1"/>
  <c r="H95" i="208" s="1"/>
  <c r="K70" i="208"/>
  <c r="R10" i="208"/>
  <c r="G25" i="208"/>
  <c r="P48" i="208"/>
  <c r="P2" i="208" s="1"/>
  <c r="P95" i="208" s="1"/>
  <c r="P91" i="208" s="1"/>
  <c r="L70" i="208"/>
  <c r="N37" i="208"/>
  <c r="F83" i="208"/>
  <c r="R83" i="208" s="1"/>
  <c r="Q45" i="208"/>
  <c r="G76" i="208"/>
  <c r="G78" i="208" s="1"/>
  <c r="J76" i="208"/>
  <c r="J78" i="208" s="1"/>
  <c r="L90" i="208"/>
  <c r="R90" i="208" s="1"/>
  <c r="M25" i="208"/>
  <c r="D48" i="208"/>
  <c r="I70" i="208"/>
  <c r="G70" i="208"/>
  <c r="Q47" i="208"/>
  <c r="R47" i="208" s="1"/>
  <c r="Q54" i="208"/>
  <c r="O37" i="208"/>
  <c r="J37" i="208"/>
  <c r="R79" i="208"/>
  <c r="M76" i="208"/>
  <c r="M78" i="208" s="1"/>
  <c r="R72" i="208"/>
  <c r="M92" i="208"/>
  <c r="R92" i="208" s="1"/>
  <c r="R64" i="207"/>
  <c r="R50" i="207"/>
  <c r="R53" i="207"/>
  <c r="R17" i="207"/>
  <c r="R73" i="207"/>
  <c r="R9" i="207"/>
  <c r="R4" i="207"/>
  <c r="R14" i="207"/>
  <c r="R28" i="207"/>
  <c r="R42" i="207"/>
  <c r="Q57" i="207"/>
  <c r="R57" i="207" s="1"/>
  <c r="R55" i="207"/>
  <c r="J37" i="207"/>
  <c r="K37" i="207"/>
  <c r="H70" i="207"/>
  <c r="H78" i="207" s="1"/>
  <c r="G70" i="207"/>
  <c r="Q47" i="207"/>
  <c r="R47" i="207" s="1"/>
  <c r="L25" i="207"/>
  <c r="D48" i="207"/>
  <c r="R54" i="207"/>
  <c r="R44" i="207"/>
  <c r="G76" i="207"/>
  <c r="R75" i="207"/>
  <c r="L37" i="207"/>
  <c r="D78" i="207"/>
  <c r="R12" i="207"/>
  <c r="Q59" i="207"/>
  <c r="R59" i="207" s="1"/>
  <c r="R45" i="207"/>
  <c r="Q45" i="207"/>
  <c r="R74" i="207"/>
  <c r="R31" i="207"/>
  <c r="R32" i="207"/>
  <c r="N37" i="207"/>
  <c r="F37" i="207"/>
  <c r="Q37" i="207" s="1"/>
  <c r="I70" i="207"/>
  <c r="D86" i="207"/>
  <c r="F86" i="207" s="1"/>
  <c r="R10" i="207"/>
  <c r="M25" i="207"/>
  <c r="I25" i="207"/>
  <c r="K25" i="207"/>
  <c r="K48" i="207" s="1"/>
  <c r="K2" i="207" s="1"/>
  <c r="F76" i="207"/>
  <c r="R43" i="207"/>
  <c r="N76" i="207"/>
  <c r="M76" i="207"/>
  <c r="M78" i="207" s="1"/>
  <c r="R5" i="207"/>
  <c r="Q7" i="207"/>
  <c r="R7" i="207" s="1"/>
  <c r="K70" i="207"/>
  <c r="G25" i="207"/>
  <c r="R30" i="207"/>
  <c r="I37" i="207"/>
  <c r="H37" i="207"/>
  <c r="R46" i="207"/>
  <c r="N25" i="207"/>
  <c r="N48" i="207" s="1"/>
  <c r="N2" i="207" s="1"/>
  <c r="F25" i="207"/>
  <c r="F48" i="207" s="1"/>
  <c r="P70" i="207"/>
  <c r="P78" i="207" s="1"/>
  <c r="R58" i="207"/>
  <c r="L69" i="207"/>
  <c r="R69" i="207" s="1"/>
  <c r="L76" i="207"/>
  <c r="R65" i="207"/>
  <c r="Q17" i="207"/>
  <c r="G37" i="207"/>
  <c r="R37" i="207" s="1"/>
  <c r="R26" i="207"/>
  <c r="P37" i="207"/>
  <c r="P48" i="207" s="1"/>
  <c r="P2" i="207" s="1"/>
  <c r="P95" i="207" s="1"/>
  <c r="F70" i="207"/>
  <c r="J70" i="207"/>
  <c r="N93" i="207"/>
  <c r="H93" i="207"/>
  <c r="R93" i="207" s="1"/>
  <c r="L93" i="207"/>
  <c r="P93" i="207"/>
  <c r="G93" i="207"/>
  <c r="Q93" i="207" s="1"/>
  <c r="O93" i="207"/>
  <c r="F93" i="207"/>
  <c r="M93" i="207"/>
  <c r="K93" i="207"/>
  <c r="J93" i="207"/>
  <c r="I93" i="207"/>
  <c r="H25" i="207"/>
  <c r="J25" i="207"/>
  <c r="J48" i="207" s="1"/>
  <c r="R33" i="207"/>
  <c r="O72" i="207"/>
  <c r="R72" i="207" s="1"/>
  <c r="I76" i="207"/>
  <c r="Q56" i="207"/>
  <c r="R56" i="207" s="1"/>
  <c r="O53" i="207"/>
  <c r="Q27" i="207"/>
  <c r="R27" i="207" s="1"/>
  <c r="O66" i="207"/>
  <c r="R66" i="207" s="1"/>
  <c r="Q3" i="207"/>
  <c r="G92" i="207"/>
  <c r="I92" i="207"/>
  <c r="J92" i="207"/>
  <c r="H92" i="207"/>
  <c r="F92" i="207"/>
  <c r="L92" i="207"/>
  <c r="K92" i="207"/>
  <c r="R16" i="207"/>
  <c r="M37" i="207"/>
  <c r="N70" i="207"/>
  <c r="R49" i="207"/>
  <c r="F83" i="207"/>
  <c r="R83" i="207" s="1"/>
  <c r="R88" i="207"/>
  <c r="O25" i="207"/>
  <c r="O48" i="207" s="1"/>
  <c r="R3" i="207"/>
  <c r="K76" i="207"/>
  <c r="K78" i="207" s="1"/>
  <c r="J76" i="207"/>
  <c r="J78" i="207" s="1"/>
  <c r="R69" i="206"/>
  <c r="R58" i="206"/>
  <c r="R57" i="206"/>
  <c r="R50" i="206"/>
  <c r="R75" i="206"/>
  <c r="R14" i="206"/>
  <c r="R10" i="206"/>
  <c r="F25" i="206"/>
  <c r="I25" i="206"/>
  <c r="R33" i="206"/>
  <c r="L76" i="206"/>
  <c r="F70" i="206"/>
  <c r="O49" i="206"/>
  <c r="O70" i="206" s="1"/>
  <c r="R51" i="206"/>
  <c r="Q13" i="206"/>
  <c r="R13" i="206" s="1"/>
  <c r="L69" i="206"/>
  <c r="R16" i="206"/>
  <c r="R73" i="206"/>
  <c r="Q26" i="206"/>
  <c r="P37" i="206"/>
  <c r="F76" i="206"/>
  <c r="F78" i="206" s="1"/>
  <c r="Q61" i="206"/>
  <c r="R61" i="206" s="1"/>
  <c r="Q30" i="206"/>
  <c r="R30" i="206" s="1"/>
  <c r="M25" i="206"/>
  <c r="P25" i="206"/>
  <c r="P48" i="206" s="1"/>
  <c r="L37" i="206"/>
  <c r="Q56" i="206"/>
  <c r="R56" i="206" s="1"/>
  <c r="O72" i="206"/>
  <c r="R72" i="206" s="1"/>
  <c r="R54" i="206"/>
  <c r="H70" i="206"/>
  <c r="K70" i="206"/>
  <c r="O12" i="206"/>
  <c r="R12" i="206" s="1"/>
  <c r="R64" i="206"/>
  <c r="Q31" i="206"/>
  <c r="R31" i="206" s="1"/>
  <c r="N93" i="206"/>
  <c r="H93" i="206"/>
  <c r="L93" i="206"/>
  <c r="P93" i="206"/>
  <c r="G93" i="206"/>
  <c r="K93" i="206"/>
  <c r="F93" i="206"/>
  <c r="R93" i="206" s="1"/>
  <c r="J93" i="206"/>
  <c r="Q93" i="206"/>
  <c r="O93" i="206"/>
  <c r="M93" i="206"/>
  <c r="I93" i="206"/>
  <c r="R65" i="206"/>
  <c r="Q58" i="206"/>
  <c r="F37" i="206"/>
  <c r="M37" i="206"/>
  <c r="R88" i="206"/>
  <c r="R9" i="206"/>
  <c r="D78" i="206"/>
  <c r="G25" i="206"/>
  <c r="G48" i="206" s="1"/>
  <c r="G2" i="206" s="1"/>
  <c r="G95" i="206" s="1"/>
  <c r="K25" i="206"/>
  <c r="R29" i="206"/>
  <c r="N76" i="206"/>
  <c r="P70" i="206"/>
  <c r="P78" i="206" s="1"/>
  <c r="I70" i="206"/>
  <c r="Q59" i="206"/>
  <c r="R59" i="206" s="1"/>
  <c r="F83" i="206"/>
  <c r="R83" i="206" s="1"/>
  <c r="Q14" i="206"/>
  <c r="G92" i="206"/>
  <c r="I92" i="206"/>
  <c r="J92" i="206"/>
  <c r="L92" i="206"/>
  <c r="H92" i="206"/>
  <c r="K92" i="206"/>
  <c r="F92" i="206"/>
  <c r="J37" i="206"/>
  <c r="R26" i="206"/>
  <c r="J25" i="206"/>
  <c r="N25" i="206"/>
  <c r="Q3" i="206"/>
  <c r="R3" i="206" s="1"/>
  <c r="H76" i="206"/>
  <c r="H78" i="206" s="1"/>
  <c r="I76" i="206"/>
  <c r="I78" i="206" s="1"/>
  <c r="M70" i="206"/>
  <c r="M78" i="206" s="1"/>
  <c r="J70" i="206"/>
  <c r="R42" i="206"/>
  <c r="N37" i="206"/>
  <c r="I37" i="206"/>
  <c r="D86" i="206"/>
  <c r="F86" i="206" s="1"/>
  <c r="D48" i="206"/>
  <c r="H25" i="206"/>
  <c r="H48" i="206" s="1"/>
  <c r="H2" i="206" s="1"/>
  <c r="H95" i="206" s="1"/>
  <c r="G37" i="206"/>
  <c r="J78" i="206"/>
  <c r="L70" i="206"/>
  <c r="R49" i="206"/>
  <c r="R45" i="206"/>
  <c r="Q45" i="206"/>
  <c r="K37" i="206"/>
  <c r="L25" i="206"/>
  <c r="O25" i="206"/>
  <c r="O48" i="206" s="1"/>
  <c r="R27" i="206"/>
  <c r="K76" i="206"/>
  <c r="K78" i="206" s="1"/>
  <c r="G76" i="206"/>
  <c r="O76" i="206" s="1"/>
  <c r="O78" i="206" s="1"/>
  <c r="N70" i="206"/>
  <c r="G70" i="206"/>
  <c r="Q70" i="206" s="1"/>
  <c r="Q78" i="206" s="1"/>
  <c r="R62" i="205"/>
  <c r="R56" i="205"/>
  <c r="R32" i="205"/>
  <c r="R7" i="205"/>
  <c r="R29" i="205"/>
  <c r="R5" i="205"/>
  <c r="N93" i="205"/>
  <c r="H93" i="205"/>
  <c r="M93" i="205"/>
  <c r="F93" i="205"/>
  <c r="R93" i="205" s="1"/>
  <c r="Q93" i="205"/>
  <c r="I93" i="205"/>
  <c r="L93" i="205"/>
  <c r="G93" i="205"/>
  <c r="K93" i="205"/>
  <c r="P93" i="205"/>
  <c r="O93" i="205"/>
  <c r="J93" i="205"/>
  <c r="J91" i="205" s="1"/>
  <c r="J37" i="205"/>
  <c r="R49" i="205"/>
  <c r="R9" i="205"/>
  <c r="G25" i="205"/>
  <c r="R53" i="205"/>
  <c r="R30" i="205"/>
  <c r="Q45" i="205"/>
  <c r="R45" i="205" s="1"/>
  <c r="K37" i="205"/>
  <c r="D86" i="205"/>
  <c r="F86" i="205" s="1"/>
  <c r="R77" i="205"/>
  <c r="O52" i="205"/>
  <c r="R52" i="205" s="1"/>
  <c r="F70" i="205"/>
  <c r="K70" i="205"/>
  <c r="R89" i="205"/>
  <c r="D78" i="205"/>
  <c r="H76" i="205"/>
  <c r="I76" i="205"/>
  <c r="H25" i="205"/>
  <c r="J25" i="205"/>
  <c r="J48" i="205" s="1"/>
  <c r="J2" i="205" s="1"/>
  <c r="J95" i="205" s="1"/>
  <c r="L25" i="205"/>
  <c r="Q32" i="205"/>
  <c r="R42" i="205"/>
  <c r="F37" i="205"/>
  <c r="F48" i="205" s="1"/>
  <c r="F2" i="205" s="1"/>
  <c r="R15" i="205"/>
  <c r="H70" i="205"/>
  <c r="G70" i="205"/>
  <c r="R27" i="205"/>
  <c r="G37" i="205"/>
  <c r="Q7" i="205"/>
  <c r="F76" i="205"/>
  <c r="F78" i="205" s="1"/>
  <c r="Q8" i="205"/>
  <c r="R8" i="205" s="1"/>
  <c r="J76" i="205"/>
  <c r="J78" i="205" s="1"/>
  <c r="K76" i="205"/>
  <c r="K78" i="205" s="1"/>
  <c r="Q61" i="205"/>
  <c r="R61" i="205" s="1"/>
  <c r="O25" i="205"/>
  <c r="O48" i="205" s="1"/>
  <c r="Q3" i="205"/>
  <c r="R3" i="205" s="1"/>
  <c r="O66" i="205"/>
  <c r="R66" i="205" s="1"/>
  <c r="Q26" i="205"/>
  <c r="Q57" i="205"/>
  <c r="R57" i="205" s="1"/>
  <c r="Q55" i="205"/>
  <c r="R55" i="205" s="1"/>
  <c r="R4" i="205"/>
  <c r="I70" i="205"/>
  <c r="O49" i="205"/>
  <c r="L76" i="205"/>
  <c r="G76" i="205"/>
  <c r="G78" i="205" s="1"/>
  <c r="N25" i="205"/>
  <c r="N48" i="205" s="1"/>
  <c r="K25" i="205"/>
  <c r="K48" i="205" s="1"/>
  <c r="K2" i="205" s="1"/>
  <c r="K95" i="205" s="1"/>
  <c r="K91" i="205" s="1"/>
  <c r="F83" i="205"/>
  <c r="H37" i="205"/>
  <c r="R54" i="205"/>
  <c r="R88" i="205"/>
  <c r="N62" i="205"/>
  <c r="N70" i="205" s="1"/>
  <c r="M70" i="205"/>
  <c r="L70" i="205"/>
  <c r="L37" i="205"/>
  <c r="O72" i="205"/>
  <c r="R72" i="205" s="1"/>
  <c r="M76" i="205"/>
  <c r="M78" i="205" s="1"/>
  <c r="P25" i="205"/>
  <c r="P48" i="205" s="1"/>
  <c r="P2" i="205" s="1"/>
  <c r="M25" i="205"/>
  <c r="M48" i="205" s="1"/>
  <c r="M2" i="205" s="1"/>
  <c r="R75" i="205"/>
  <c r="R79" i="205"/>
  <c r="R26" i="205"/>
  <c r="J70" i="205"/>
  <c r="I25" i="205"/>
  <c r="I48" i="205" s="1"/>
  <c r="I2" i="205" s="1"/>
  <c r="I95" i="205" s="1"/>
  <c r="I91" i="205" s="1"/>
  <c r="D48" i="205"/>
  <c r="R83" i="205"/>
  <c r="D109" i="205"/>
  <c r="M92" i="205"/>
  <c r="N92" i="205" s="1"/>
  <c r="K48" i="204"/>
  <c r="I48" i="204"/>
  <c r="M48" i="204"/>
  <c r="R17" i="204"/>
  <c r="R9" i="204"/>
  <c r="R36" i="204"/>
  <c r="O48" i="204"/>
  <c r="R65" i="204"/>
  <c r="H48" i="204"/>
  <c r="H2" i="204" s="1"/>
  <c r="H95" i="204" s="1"/>
  <c r="R72" i="204"/>
  <c r="R44" i="204"/>
  <c r="R54" i="204"/>
  <c r="F25" i="204"/>
  <c r="F48" i="204" s="1"/>
  <c r="K70" i="204"/>
  <c r="N70" i="204"/>
  <c r="N2" i="204" s="1"/>
  <c r="O37" i="204"/>
  <c r="Q17" i="204"/>
  <c r="J76" i="204"/>
  <c r="L76" i="204"/>
  <c r="L78" i="204" s="1"/>
  <c r="D48" i="204"/>
  <c r="M70" i="204"/>
  <c r="R27" i="204"/>
  <c r="R89" i="204"/>
  <c r="Q10" i="204"/>
  <c r="R10" i="204" s="1"/>
  <c r="D86" i="204"/>
  <c r="F86" i="204" s="1"/>
  <c r="H70" i="204"/>
  <c r="L15" i="204"/>
  <c r="L25" i="204" s="1"/>
  <c r="D78" i="204"/>
  <c r="Q45" i="204"/>
  <c r="R45" i="204" s="1"/>
  <c r="Q13" i="204"/>
  <c r="R13" i="204" s="1"/>
  <c r="I76" i="204"/>
  <c r="K76" i="204"/>
  <c r="R49" i="204"/>
  <c r="N78" i="204"/>
  <c r="O74" i="204"/>
  <c r="R74" i="204" s="1"/>
  <c r="F70" i="204"/>
  <c r="I70" i="204"/>
  <c r="F76" i="204"/>
  <c r="G76" i="204"/>
  <c r="O64" i="204"/>
  <c r="R64" i="204" s="1"/>
  <c r="P91" i="204"/>
  <c r="J25" i="204"/>
  <c r="J48" i="204" s="1"/>
  <c r="R52" i="204"/>
  <c r="R32" i="204"/>
  <c r="L70" i="204"/>
  <c r="L36" i="204"/>
  <c r="L37" i="204" s="1"/>
  <c r="R46" i="204"/>
  <c r="H76" i="204"/>
  <c r="H78" i="204" s="1"/>
  <c r="M76" i="204"/>
  <c r="H37" i="204"/>
  <c r="G92" i="204"/>
  <c r="L92" i="204"/>
  <c r="K92" i="204"/>
  <c r="J92" i="204"/>
  <c r="H92" i="204"/>
  <c r="F92" i="204"/>
  <c r="I92" i="204"/>
  <c r="O53" i="204"/>
  <c r="R53" i="204" s="1"/>
  <c r="G70" i="204"/>
  <c r="G2" i="204" s="1"/>
  <c r="G95" i="204" s="1"/>
  <c r="J70" i="204"/>
  <c r="Q47" i="204"/>
  <c r="R47" i="204" s="1"/>
  <c r="I48" i="203"/>
  <c r="H2" i="203"/>
  <c r="H95" i="203" s="1"/>
  <c r="H91" i="203" s="1"/>
  <c r="R93" i="203"/>
  <c r="G48" i="203"/>
  <c r="G2" i="203" s="1"/>
  <c r="G95" i="203" s="1"/>
  <c r="J48" i="203"/>
  <c r="R66" i="203"/>
  <c r="L37" i="203"/>
  <c r="R36" i="203"/>
  <c r="M70" i="203"/>
  <c r="M2" i="203" s="1"/>
  <c r="M95" i="203" s="1"/>
  <c r="P91" i="203"/>
  <c r="I70" i="203"/>
  <c r="H70" i="203"/>
  <c r="P25" i="203"/>
  <c r="P48" i="203" s="1"/>
  <c r="P2" i="203" s="1"/>
  <c r="P95" i="203" s="1"/>
  <c r="R74" i="203"/>
  <c r="R46" i="203"/>
  <c r="D78" i="203"/>
  <c r="L76" i="203"/>
  <c r="L78" i="203" s="1"/>
  <c r="F83" i="203"/>
  <c r="F25" i="203"/>
  <c r="Q47" i="203"/>
  <c r="R47" i="203" s="1"/>
  <c r="P70" i="203"/>
  <c r="P78" i="203" s="1"/>
  <c r="K2" i="203"/>
  <c r="K95" i="203" s="1"/>
  <c r="K91" i="203" s="1"/>
  <c r="L48" i="203"/>
  <c r="H76" i="203"/>
  <c r="H78" i="203" s="1"/>
  <c r="J70" i="203"/>
  <c r="N70" i="203"/>
  <c r="N2" i="203" s="1"/>
  <c r="N95" i="203" s="1"/>
  <c r="N92" i="203"/>
  <c r="R55" i="203"/>
  <c r="R73" i="203"/>
  <c r="G76" i="203"/>
  <c r="G78" i="203" s="1"/>
  <c r="J76" i="203"/>
  <c r="J78" i="203" s="1"/>
  <c r="R79" i="203"/>
  <c r="R54" i="203"/>
  <c r="L88" i="203"/>
  <c r="R61" i="203"/>
  <c r="O49" i="203"/>
  <c r="R49" i="203" s="1"/>
  <c r="F70" i="203"/>
  <c r="G91" i="203"/>
  <c r="F76" i="203"/>
  <c r="F37" i="203"/>
  <c r="N76" i="203"/>
  <c r="R62" i="203"/>
  <c r="N77" i="203"/>
  <c r="R77" i="203" s="1"/>
  <c r="R37" i="203"/>
  <c r="Q37" i="203"/>
  <c r="R88" i="203"/>
  <c r="M76" i="203"/>
  <c r="M78" i="203" s="1"/>
  <c r="D48" i="203"/>
  <c r="K70" i="203"/>
  <c r="O64" i="203"/>
  <c r="R64" i="203" s="1"/>
  <c r="K76" i="203"/>
  <c r="K78" i="203" s="1"/>
  <c r="L70" i="203"/>
  <c r="M92" i="203"/>
  <c r="I76" i="203"/>
  <c r="I78" i="203" s="1"/>
  <c r="R83" i="203"/>
  <c r="Q14" i="203"/>
  <c r="R14" i="203" s="1"/>
  <c r="D86" i="203"/>
  <c r="F86" i="203" s="1"/>
  <c r="R24" i="202"/>
  <c r="R66" i="202"/>
  <c r="R9" i="202"/>
  <c r="R56" i="202"/>
  <c r="R7" i="202"/>
  <c r="R73" i="202"/>
  <c r="R26" i="202"/>
  <c r="P70" i="202"/>
  <c r="P78" i="202" s="1"/>
  <c r="Q3" i="202"/>
  <c r="Q30" i="202"/>
  <c r="R30" i="202" s="1"/>
  <c r="R53" i="202"/>
  <c r="L15" i="202"/>
  <c r="R15" i="202" s="1"/>
  <c r="N76" i="202"/>
  <c r="K37" i="202"/>
  <c r="F83" i="202"/>
  <c r="L69" i="202"/>
  <c r="R69" i="202" s="1"/>
  <c r="R57" i="202"/>
  <c r="R12" i="202"/>
  <c r="R6" i="202"/>
  <c r="R8" i="202"/>
  <c r="R94" i="202"/>
  <c r="H70" i="202"/>
  <c r="K70" i="202"/>
  <c r="K78" i="202" s="1"/>
  <c r="H25" i="202"/>
  <c r="Q25" i="202" s="1"/>
  <c r="G25" i="202"/>
  <c r="G48" i="202" s="1"/>
  <c r="R65" i="202"/>
  <c r="D86" i="202"/>
  <c r="F86" i="202" s="1"/>
  <c r="O72" i="202"/>
  <c r="R72" i="202" s="1"/>
  <c r="O37" i="202"/>
  <c r="D78" i="202"/>
  <c r="L37" i="202"/>
  <c r="O25" i="202"/>
  <c r="O48" i="202" s="1"/>
  <c r="L25" i="202"/>
  <c r="L48" i="202" s="1"/>
  <c r="L90" i="202"/>
  <c r="R90" i="202" s="1"/>
  <c r="Q45" i="202"/>
  <c r="R45" i="202"/>
  <c r="O73" i="202"/>
  <c r="J76" i="202"/>
  <c r="I76" i="202"/>
  <c r="I78" i="202" s="1"/>
  <c r="H37" i="202"/>
  <c r="M37" i="202"/>
  <c r="Q93" i="202"/>
  <c r="R93" i="202" s="1"/>
  <c r="I70" i="202"/>
  <c r="G70" i="202"/>
  <c r="G78" i="202" s="1"/>
  <c r="R5" i="202"/>
  <c r="J25" i="202"/>
  <c r="N25" i="202"/>
  <c r="N48" i="202" s="1"/>
  <c r="R83" i="202"/>
  <c r="M70" i="202"/>
  <c r="O49" i="202"/>
  <c r="O70" i="202" s="1"/>
  <c r="R27" i="202"/>
  <c r="P37" i="202"/>
  <c r="K25" i="202"/>
  <c r="L24" i="202"/>
  <c r="D109" i="202"/>
  <c r="H78" i="202"/>
  <c r="M76" i="202"/>
  <c r="M78" i="202" s="1"/>
  <c r="N37" i="202"/>
  <c r="O52" i="202"/>
  <c r="R52" i="202" s="1"/>
  <c r="R43" i="202"/>
  <c r="F76" i="202"/>
  <c r="F78" i="202" s="1"/>
  <c r="F70" i="202"/>
  <c r="J70" i="202"/>
  <c r="P25" i="202"/>
  <c r="M25" i="202"/>
  <c r="M48" i="202" s="1"/>
  <c r="R3" i="202"/>
  <c r="R13" i="202"/>
  <c r="F37" i="202"/>
  <c r="F48" i="202" s="1"/>
  <c r="F2" i="202" s="1"/>
  <c r="J37" i="202"/>
  <c r="Q9" i="202"/>
  <c r="N70" i="202"/>
  <c r="I25" i="202"/>
  <c r="I48" i="202" s="1"/>
  <c r="D48" i="202"/>
  <c r="N92" i="202"/>
  <c r="M92" i="202"/>
  <c r="R28" i="201"/>
  <c r="R27" i="201"/>
  <c r="R66" i="201"/>
  <c r="M48" i="201"/>
  <c r="R14" i="201"/>
  <c r="R93" i="201"/>
  <c r="R49" i="201"/>
  <c r="R17" i="201"/>
  <c r="R29" i="201"/>
  <c r="R72" i="201"/>
  <c r="F37" i="201"/>
  <c r="F48" i="201" s="1"/>
  <c r="F2" i="201" s="1"/>
  <c r="J25" i="201"/>
  <c r="J48" i="201" s="1"/>
  <c r="Q28" i="201"/>
  <c r="R44" i="201"/>
  <c r="R64" i="201"/>
  <c r="F83" i="201"/>
  <c r="L76" i="201"/>
  <c r="N76" i="201"/>
  <c r="M70" i="201"/>
  <c r="I25" i="201"/>
  <c r="I48" i="201" s="1"/>
  <c r="L25" i="201"/>
  <c r="L48" i="201" s="1"/>
  <c r="R77" i="201"/>
  <c r="R7" i="201"/>
  <c r="O73" i="201"/>
  <c r="R73" i="201" s="1"/>
  <c r="R57" i="201"/>
  <c r="R31" i="201"/>
  <c r="R79" i="201"/>
  <c r="M76" i="201"/>
  <c r="M78" i="201" s="1"/>
  <c r="I76" i="201"/>
  <c r="G70" i="201"/>
  <c r="Q27" i="201"/>
  <c r="R4" i="201"/>
  <c r="N48" i="201"/>
  <c r="O75" i="201"/>
  <c r="R75" i="201" s="1"/>
  <c r="O72" i="201"/>
  <c r="F70" i="201"/>
  <c r="Q47" i="201"/>
  <c r="R47" i="201" s="1"/>
  <c r="P25" i="201"/>
  <c r="Q16" i="201"/>
  <c r="R16" i="201" s="1"/>
  <c r="L90" i="201"/>
  <c r="R90" i="201" s="1"/>
  <c r="L15" i="201"/>
  <c r="R15" i="201" s="1"/>
  <c r="H70" i="201"/>
  <c r="L70" i="201"/>
  <c r="Q45" i="201"/>
  <c r="R45" i="201"/>
  <c r="P70" i="201"/>
  <c r="P78" i="201" s="1"/>
  <c r="L37" i="201"/>
  <c r="O53" i="201"/>
  <c r="O70" i="201" s="1"/>
  <c r="K25" i="201"/>
  <c r="K48" i="201" s="1"/>
  <c r="N92" i="201"/>
  <c r="R92" i="201" s="1"/>
  <c r="R5" i="201"/>
  <c r="D86" i="201"/>
  <c r="F86" i="201" s="1"/>
  <c r="D78" i="201"/>
  <c r="J76" i="201"/>
  <c r="G76" i="201"/>
  <c r="J70" i="201"/>
  <c r="I70" i="201"/>
  <c r="R83" i="201"/>
  <c r="F76" i="201"/>
  <c r="F78" i="201" s="1"/>
  <c r="K76" i="201"/>
  <c r="K78" i="201" s="1"/>
  <c r="H76" i="201"/>
  <c r="H78" i="201" s="1"/>
  <c r="N70" i="201"/>
  <c r="K70" i="201"/>
  <c r="P37" i="201"/>
  <c r="G37" i="201"/>
  <c r="R8" i="200"/>
  <c r="R32" i="200"/>
  <c r="R57" i="200"/>
  <c r="R64" i="200"/>
  <c r="R31" i="200"/>
  <c r="R7" i="200"/>
  <c r="R58" i="200"/>
  <c r="R30" i="200"/>
  <c r="R16" i="200"/>
  <c r="R69" i="200"/>
  <c r="R72" i="200"/>
  <c r="R14" i="200"/>
  <c r="R55" i="200"/>
  <c r="R29" i="200"/>
  <c r="O65" i="200"/>
  <c r="R65" i="200" s="1"/>
  <c r="L37" i="200"/>
  <c r="Q10" i="200"/>
  <c r="R10" i="200" s="1"/>
  <c r="Q59" i="200"/>
  <c r="R59" i="200" s="1"/>
  <c r="N37" i="200"/>
  <c r="Q61" i="200"/>
  <c r="R61" i="200" s="1"/>
  <c r="Q8" i="200"/>
  <c r="F70" i="200"/>
  <c r="L76" i="200"/>
  <c r="M76" i="200"/>
  <c r="R62" i="200"/>
  <c r="F76" i="200"/>
  <c r="F78" i="200" s="1"/>
  <c r="F25" i="200"/>
  <c r="F48" i="200" s="1"/>
  <c r="G25" i="200"/>
  <c r="G48" i="200" s="1"/>
  <c r="O74" i="200"/>
  <c r="R74" i="200" s="1"/>
  <c r="P70" i="200"/>
  <c r="P78" i="200" s="1"/>
  <c r="J70" i="200"/>
  <c r="Q9" i="200"/>
  <c r="R9" i="200" s="1"/>
  <c r="O51" i="200"/>
  <c r="R51" i="200" s="1"/>
  <c r="O64" i="200"/>
  <c r="Q6" i="200"/>
  <c r="R6" i="200" s="1"/>
  <c r="L69" i="200"/>
  <c r="F37" i="200"/>
  <c r="R46" i="200"/>
  <c r="Q57" i="200"/>
  <c r="O73" i="200"/>
  <c r="R73" i="200" s="1"/>
  <c r="Q45" i="200"/>
  <c r="R45" i="200"/>
  <c r="O52" i="200"/>
  <c r="R52" i="200" s="1"/>
  <c r="I70" i="200"/>
  <c r="L70" i="200"/>
  <c r="I76" i="200"/>
  <c r="R33" i="200"/>
  <c r="D78" i="200"/>
  <c r="H25" i="200"/>
  <c r="H48" i="200" s="1"/>
  <c r="P25" i="200"/>
  <c r="M25" i="200"/>
  <c r="M37" i="200"/>
  <c r="N76" i="200"/>
  <c r="N78" i="200" s="1"/>
  <c r="O25" i="200"/>
  <c r="Q17" i="200"/>
  <c r="R17" i="200" s="1"/>
  <c r="O50" i="200"/>
  <c r="R50" i="200" s="1"/>
  <c r="H37" i="200"/>
  <c r="J37" i="200"/>
  <c r="Q37" i="200" s="1"/>
  <c r="R37" i="200" s="1"/>
  <c r="O53" i="200"/>
  <c r="R53" i="200" s="1"/>
  <c r="K70" i="200"/>
  <c r="H70" i="200"/>
  <c r="N25" i="200"/>
  <c r="K25" i="200"/>
  <c r="K48" i="200" s="1"/>
  <c r="D48" i="200"/>
  <c r="R27" i="200"/>
  <c r="O49" i="200"/>
  <c r="L93" i="200"/>
  <c r="F93" i="200"/>
  <c r="Q93" i="200" s="1"/>
  <c r="P93" i="200"/>
  <c r="J93" i="200"/>
  <c r="N93" i="200"/>
  <c r="K93" i="200"/>
  <c r="O93" i="200"/>
  <c r="M93" i="200"/>
  <c r="H93" i="200"/>
  <c r="G93" i="200"/>
  <c r="I93" i="200"/>
  <c r="D86" i="200"/>
  <c r="F86" i="200" s="1"/>
  <c r="P37" i="200"/>
  <c r="Q26" i="200"/>
  <c r="Q32" i="200"/>
  <c r="R24" i="200"/>
  <c r="R77" i="200"/>
  <c r="G70" i="200"/>
  <c r="N70" i="200"/>
  <c r="G76" i="200"/>
  <c r="K76" i="200"/>
  <c r="K78" i="200" s="1"/>
  <c r="J25" i="200"/>
  <c r="J48" i="200" s="1"/>
  <c r="J2" i="200" s="1"/>
  <c r="J95" i="200" s="1"/>
  <c r="Q3" i="200"/>
  <c r="R3" i="200" s="1"/>
  <c r="R26" i="200"/>
  <c r="R47" i="200"/>
  <c r="Q47" i="200"/>
  <c r="J76" i="200"/>
  <c r="J78" i="200" s="1"/>
  <c r="F83" i="200"/>
  <c r="R83" i="200" s="1"/>
  <c r="K92" i="200"/>
  <c r="I92" i="200"/>
  <c r="G92" i="200"/>
  <c r="M92" i="200"/>
  <c r="N92" i="200"/>
  <c r="L92" i="200"/>
  <c r="J92" i="200"/>
  <c r="H92" i="200"/>
  <c r="F92" i="200"/>
  <c r="R88" i="200"/>
  <c r="O66" i="200"/>
  <c r="R66" i="200" s="1"/>
  <c r="O37" i="200"/>
  <c r="I37" i="200"/>
  <c r="M70" i="200"/>
  <c r="R49" i="200"/>
  <c r="Q58" i="200"/>
  <c r="H76" i="200"/>
  <c r="H78" i="200" s="1"/>
  <c r="I25" i="200"/>
  <c r="L25" i="200"/>
  <c r="L48" i="200" s="1"/>
  <c r="L2" i="200" s="1"/>
  <c r="R6" i="199"/>
  <c r="R65" i="199"/>
  <c r="R16" i="199"/>
  <c r="R45" i="199"/>
  <c r="R55" i="199"/>
  <c r="R74" i="199"/>
  <c r="R52" i="199"/>
  <c r="R5" i="199"/>
  <c r="K25" i="199"/>
  <c r="K48" i="199" s="1"/>
  <c r="K2" i="199" s="1"/>
  <c r="K95" i="199" s="1"/>
  <c r="R27" i="199"/>
  <c r="R59" i="199"/>
  <c r="K76" i="199"/>
  <c r="G70" i="199"/>
  <c r="R9" i="199"/>
  <c r="L37" i="199"/>
  <c r="O37" i="199"/>
  <c r="Q93" i="199"/>
  <c r="N62" i="199"/>
  <c r="N70" i="199" s="1"/>
  <c r="R30" i="199"/>
  <c r="N76" i="199"/>
  <c r="I70" i="199"/>
  <c r="D48" i="199"/>
  <c r="G25" i="199"/>
  <c r="O74" i="199"/>
  <c r="F37" i="199"/>
  <c r="J37" i="199"/>
  <c r="R53" i="199"/>
  <c r="Q29" i="199"/>
  <c r="R29" i="199" s="1"/>
  <c r="R43" i="199"/>
  <c r="Q45" i="199"/>
  <c r="R13" i="199"/>
  <c r="H48" i="199"/>
  <c r="H2" i="199" s="1"/>
  <c r="Q17" i="199"/>
  <c r="R17" i="199" s="1"/>
  <c r="R10" i="199"/>
  <c r="R58" i="199"/>
  <c r="R46" i="199"/>
  <c r="O25" i="199"/>
  <c r="O48" i="199" s="1"/>
  <c r="Q61" i="199"/>
  <c r="R61" i="199" s="1"/>
  <c r="R56" i="199"/>
  <c r="F76" i="199"/>
  <c r="F78" i="199" s="1"/>
  <c r="R77" i="199"/>
  <c r="O94" i="199"/>
  <c r="R94" i="199" s="1"/>
  <c r="R50" i="199"/>
  <c r="L24" i="199"/>
  <c r="R24" i="199" s="1"/>
  <c r="Q47" i="199"/>
  <c r="R47" i="199" s="1"/>
  <c r="K70" i="199"/>
  <c r="F70" i="199"/>
  <c r="I25" i="199"/>
  <c r="N25" i="199"/>
  <c r="N48" i="199" s="1"/>
  <c r="P37" i="199"/>
  <c r="M37" i="199"/>
  <c r="R33" i="199"/>
  <c r="Q6" i="199"/>
  <c r="D86" i="199"/>
  <c r="F86" i="199" s="1"/>
  <c r="D78" i="199"/>
  <c r="R64" i="199"/>
  <c r="J78" i="199"/>
  <c r="P25" i="199"/>
  <c r="P48" i="199" s="1"/>
  <c r="P2" i="199" s="1"/>
  <c r="P95" i="199" s="1"/>
  <c r="P91" i="199" s="1"/>
  <c r="R83" i="199"/>
  <c r="L76" i="199"/>
  <c r="H70" i="199"/>
  <c r="R3" i="199"/>
  <c r="R73" i="199"/>
  <c r="H76" i="199"/>
  <c r="H78" i="199" s="1"/>
  <c r="I76" i="199"/>
  <c r="I78" i="199" s="1"/>
  <c r="L70" i="199"/>
  <c r="O49" i="199"/>
  <c r="L25" i="199"/>
  <c r="G37" i="199"/>
  <c r="H37" i="199"/>
  <c r="N37" i="199"/>
  <c r="F83" i="199"/>
  <c r="L88" i="199"/>
  <c r="R72" i="199"/>
  <c r="G76" i="199"/>
  <c r="J70" i="199"/>
  <c r="M25" i="199"/>
  <c r="F25" i="199"/>
  <c r="F48" i="199" s="1"/>
  <c r="J25" i="199"/>
  <c r="J48" i="199" s="1"/>
  <c r="J2" i="199" s="1"/>
  <c r="J95" i="199" s="1"/>
  <c r="I37" i="199"/>
  <c r="K37" i="199"/>
  <c r="K92" i="199"/>
  <c r="G92" i="199"/>
  <c r="L92" i="199"/>
  <c r="F92" i="199"/>
  <c r="J92" i="199"/>
  <c r="I92" i="199"/>
  <c r="H92" i="199"/>
  <c r="R50" i="198"/>
  <c r="R59" i="198"/>
  <c r="R5" i="198"/>
  <c r="R66" i="198"/>
  <c r="R53" i="198"/>
  <c r="R9" i="198"/>
  <c r="R54" i="198"/>
  <c r="R52" i="198"/>
  <c r="R56" i="198"/>
  <c r="R65" i="198"/>
  <c r="R64" i="198"/>
  <c r="R14" i="198"/>
  <c r="R49" i="198"/>
  <c r="R58" i="198"/>
  <c r="R93" i="198"/>
  <c r="H78" i="198"/>
  <c r="O25" i="198"/>
  <c r="O48" i="198" s="1"/>
  <c r="J76" i="198"/>
  <c r="N70" i="198"/>
  <c r="O49" i="198"/>
  <c r="R4" i="198"/>
  <c r="R46" i="198"/>
  <c r="F83" i="198"/>
  <c r="O51" i="198"/>
  <c r="R51" i="198" s="1"/>
  <c r="P37" i="198"/>
  <c r="J37" i="198"/>
  <c r="I25" i="198"/>
  <c r="K25" i="198"/>
  <c r="K48" i="198" s="1"/>
  <c r="K2" i="198" s="1"/>
  <c r="K95" i="198" s="1"/>
  <c r="R7" i="198"/>
  <c r="R12" i="198"/>
  <c r="F48" i="198"/>
  <c r="F2" i="198" s="1"/>
  <c r="K76" i="198"/>
  <c r="K78" i="198" s="1"/>
  <c r="F78" i="198"/>
  <c r="L89" i="198"/>
  <c r="R89" i="198" s="1"/>
  <c r="H70" i="198"/>
  <c r="R79" i="198"/>
  <c r="Q26" i="198"/>
  <c r="R26" i="198" s="1"/>
  <c r="P25" i="198"/>
  <c r="R3" i="198"/>
  <c r="Q8" i="198"/>
  <c r="R8" i="198" s="1"/>
  <c r="Q45" i="198"/>
  <c r="R45" i="198" s="1"/>
  <c r="O72" i="198"/>
  <c r="R72" i="198" s="1"/>
  <c r="L70" i="198"/>
  <c r="L78" i="198" s="1"/>
  <c r="J70" i="198"/>
  <c r="Q47" i="198"/>
  <c r="R47" i="198" s="1"/>
  <c r="G37" i="198"/>
  <c r="R83" i="198"/>
  <c r="K37" i="198"/>
  <c r="H37" i="198"/>
  <c r="R36" i="198"/>
  <c r="R44" i="198"/>
  <c r="H25" i="198"/>
  <c r="H48" i="198" s="1"/>
  <c r="H2" i="198" s="1"/>
  <c r="L25" i="198"/>
  <c r="Q33" i="198"/>
  <c r="R33" i="198" s="1"/>
  <c r="D78" i="198"/>
  <c r="I78" i="198"/>
  <c r="G78" i="198"/>
  <c r="G92" i="198"/>
  <c r="L92" i="198"/>
  <c r="F92" i="198"/>
  <c r="H92" i="198"/>
  <c r="K92" i="198"/>
  <c r="J92" i="198"/>
  <c r="I92" i="198"/>
  <c r="G70" i="198"/>
  <c r="Q61" i="198"/>
  <c r="R61" i="198" s="1"/>
  <c r="F37" i="198"/>
  <c r="O37" i="198"/>
  <c r="J25" i="198"/>
  <c r="J48" i="198" s="1"/>
  <c r="G25" i="198"/>
  <c r="R88" i="198"/>
  <c r="D48" i="198"/>
  <c r="N76" i="198"/>
  <c r="N78" i="198" s="1"/>
  <c r="F70" i="198"/>
  <c r="M70" i="198"/>
  <c r="M78" i="198" s="1"/>
  <c r="P70" i="198"/>
  <c r="P78" i="198" s="1"/>
  <c r="L37" i="198"/>
  <c r="I37" i="198"/>
  <c r="N25" i="198"/>
  <c r="N48" i="198" s="1"/>
  <c r="Q3" i="198"/>
  <c r="M25" i="198"/>
  <c r="M48" i="198" s="1"/>
  <c r="M2" i="198" s="1"/>
  <c r="L78" i="197"/>
  <c r="J78" i="197"/>
  <c r="R59" i="197"/>
  <c r="R52" i="197"/>
  <c r="R4" i="197"/>
  <c r="I70" i="197"/>
  <c r="G70" i="197"/>
  <c r="G78" i="197" s="1"/>
  <c r="R8" i="197"/>
  <c r="O52" i="197"/>
  <c r="Q45" i="197"/>
  <c r="R45" i="197"/>
  <c r="L25" i="197"/>
  <c r="L48" i="197" s="1"/>
  <c r="L2" i="197" s="1"/>
  <c r="L95" i="197" s="1"/>
  <c r="J92" i="197"/>
  <c r="G92" i="197"/>
  <c r="H92" i="197"/>
  <c r="K92" i="197"/>
  <c r="L92" i="197"/>
  <c r="I92" i="197"/>
  <c r="F92" i="197"/>
  <c r="M92" i="197" s="1"/>
  <c r="F76" i="197"/>
  <c r="F78" i="197" s="1"/>
  <c r="Q55" i="197"/>
  <c r="R55" i="197" s="1"/>
  <c r="K78" i="197"/>
  <c r="N25" i="197"/>
  <c r="N48" i="197" s="1"/>
  <c r="F70" i="197"/>
  <c r="N70" i="197"/>
  <c r="N78" i="197" s="1"/>
  <c r="P91" i="197"/>
  <c r="I76" i="197"/>
  <c r="I78" i="197" s="1"/>
  <c r="M25" i="197"/>
  <c r="M48" i="197" s="1"/>
  <c r="M2" i="197" s="1"/>
  <c r="G25" i="197"/>
  <c r="G48" i="197" s="1"/>
  <c r="I25" i="197"/>
  <c r="I48" i="197" s="1"/>
  <c r="Q56" i="197"/>
  <c r="R56" i="197" s="1"/>
  <c r="R62" i="197"/>
  <c r="R71" i="197"/>
  <c r="R89" i="197"/>
  <c r="K70" i="197"/>
  <c r="L70" i="197"/>
  <c r="O51" i="197"/>
  <c r="R51" i="197" s="1"/>
  <c r="D86" i="197"/>
  <c r="F86" i="197" s="1"/>
  <c r="R93" i="197"/>
  <c r="H78" i="197"/>
  <c r="H25" i="197"/>
  <c r="H48" i="197" s="1"/>
  <c r="H2" i="197" s="1"/>
  <c r="R5" i="197"/>
  <c r="F37" i="197"/>
  <c r="O25" i="197"/>
  <c r="O48" i="197" s="1"/>
  <c r="F83" i="197"/>
  <c r="M70" i="197"/>
  <c r="M78" i="197" s="1"/>
  <c r="J70" i="197"/>
  <c r="R46" i="197"/>
  <c r="F25" i="197"/>
  <c r="F48" i="197" s="1"/>
  <c r="F2" i="197" s="1"/>
  <c r="P25" i="197"/>
  <c r="P48" i="197" s="1"/>
  <c r="P2" i="197" s="1"/>
  <c r="P95" i="197" s="1"/>
  <c r="R31" i="197"/>
  <c r="K25" i="197"/>
  <c r="K48" i="197" s="1"/>
  <c r="K2" i="197" s="1"/>
  <c r="R83" i="197"/>
  <c r="O49" i="197"/>
  <c r="O70" i="197" s="1"/>
  <c r="R49" i="197"/>
  <c r="R42" i="197"/>
  <c r="Q47" i="197"/>
  <c r="R47" i="197" s="1"/>
  <c r="D48" i="197"/>
  <c r="J25" i="197"/>
  <c r="J48" i="197" s="1"/>
  <c r="D78" i="197"/>
  <c r="D109" i="197"/>
  <c r="R30" i="196"/>
  <c r="J48" i="196"/>
  <c r="R27" i="196"/>
  <c r="R31" i="196"/>
  <c r="R66" i="196"/>
  <c r="R93" i="196"/>
  <c r="H48" i="196"/>
  <c r="R55" i="196"/>
  <c r="R88" i="196"/>
  <c r="R12" i="196"/>
  <c r="R32" i="196"/>
  <c r="R51" i="196"/>
  <c r="M2" i="196"/>
  <c r="R74" i="196"/>
  <c r="R10" i="196"/>
  <c r="R57" i="196"/>
  <c r="Q10" i="196"/>
  <c r="R59" i="196"/>
  <c r="K78" i="196"/>
  <c r="M78" i="196"/>
  <c r="R56" i="196"/>
  <c r="R54" i="196"/>
  <c r="D86" i="196"/>
  <c r="F86" i="196" s="1"/>
  <c r="I70" i="196"/>
  <c r="I78" i="196" s="1"/>
  <c r="F70" i="196"/>
  <c r="I37" i="196"/>
  <c r="I48" i="196" s="1"/>
  <c r="I2" i="196" s="1"/>
  <c r="I95" i="196" s="1"/>
  <c r="R33" i="196"/>
  <c r="M70" i="196"/>
  <c r="N25" i="196"/>
  <c r="N48" i="196" s="1"/>
  <c r="L76" i="196"/>
  <c r="L78" i="196" s="1"/>
  <c r="H76" i="196"/>
  <c r="D78" i="196"/>
  <c r="D109" i="196"/>
  <c r="R50" i="196"/>
  <c r="R43" i="196"/>
  <c r="G37" i="196"/>
  <c r="G48" i="196" s="1"/>
  <c r="G2" i="196" s="1"/>
  <c r="G95" i="196" s="1"/>
  <c r="Q6" i="196"/>
  <c r="R6" i="196" s="1"/>
  <c r="R42" i="196"/>
  <c r="O53" i="196"/>
  <c r="R53" i="196" s="1"/>
  <c r="H92" i="196"/>
  <c r="G92" i="196"/>
  <c r="F92" i="196"/>
  <c r="L92" i="196"/>
  <c r="K92" i="196"/>
  <c r="J92" i="196"/>
  <c r="I92" i="196"/>
  <c r="G70" i="196"/>
  <c r="N70" i="196"/>
  <c r="O37" i="196"/>
  <c r="O48" i="196" s="1"/>
  <c r="J37" i="196"/>
  <c r="R65" i="196"/>
  <c r="R9" i="196"/>
  <c r="N76" i="196"/>
  <c r="L37" i="196"/>
  <c r="P70" i="196"/>
  <c r="P78" i="196" s="1"/>
  <c r="L70" i="196"/>
  <c r="J70" i="196"/>
  <c r="J78" i="196" s="1"/>
  <c r="Q47" i="196"/>
  <c r="R47" i="196" s="1"/>
  <c r="Q26" i="196"/>
  <c r="R26" i="196" s="1"/>
  <c r="R62" i="196"/>
  <c r="L15" i="196"/>
  <c r="R15" i="196" s="1"/>
  <c r="R13" i="196"/>
  <c r="K70" i="196"/>
  <c r="D48" i="196"/>
  <c r="F25" i="196"/>
  <c r="R72" i="196"/>
  <c r="O49" i="196"/>
  <c r="R49" i="196" s="1"/>
  <c r="R46" i="196"/>
  <c r="K37" i="196"/>
  <c r="K48" i="196" s="1"/>
  <c r="K2" i="196" s="1"/>
  <c r="K95" i="196" s="1"/>
  <c r="Q32" i="196"/>
  <c r="R83" i="196"/>
  <c r="H37" i="196"/>
  <c r="G76" i="196"/>
  <c r="G78" i="196" s="1"/>
  <c r="F76" i="196"/>
  <c r="F78" i="196" s="1"/>
  <c r="F83" i="196"/>
  <c r="Q45" i="196"/>
  <c r="R45" i="196" s="1"/>
  <c r="H70" i="196"/>
  <c r="P37" i="196"/>
  <c r="P48" i="196" s="1"/>
  <c r="P2" i="196" s="1"/>
  <c r="P95" i="196" s="1"/>
  <c r="P91" i="196" s="1"/>
  <c r="F37" i="196"/>
  <c r="O66" i="196"/>
  <c r="R28" i="195"/>
  <c r="R8" i="195"/>
  <c r="R55" i="195"/>
  <c r="R57" i="195"/>
  <c r="O49" i="195"/>
  <c r="F76" i="195"/>
  <c r="Q28" i="195"/>
  <c r="H25" i="195"/>
  <c r="M25" i="195"/>
  <c r="L25" i="195"/>
  <c r="M70" i="195"/>
  <c r="L70" i="195"/>
  <c r="L78" i="195" s="1"/>
  <c r="R54" i="195"/>
  <c r="H37" i="195"/>
  <c r="P37" i="195"/>
  <c r="L88" i="195"/>
  <c r="R43" i="195"/>
  <c r="R71" i="195"/>
  <c r="O72" i="195"/>
  <c r="M76" i="195"/>
  <c r="M78" i="195" s="1"/>
  <c r="D48" i="195"/>
  <c r="R3" i="195"/>
  <c r="R53" i="195"/>
  <c r="O74" i="195"/>
  <c r="R74" i="195" s="1"/>
  <c r="R59" i="195"/>
  <c r="J70" i="195"/>
  <c r="L37" i="195"/>
  <c r="Q5" i="195"/>
  <c r="R5" i="195" s="1"/>
  <c r="N37" i="195"/>
  <c r="R6" i="195"/>
  <c r="D86" i="195"/>
  <c r="F86" i="195" s="1"/>
  <c r="G92" i="195"/>
  <c r="J92" i="195"/>
  <c r="K92" i="195"/>
  <c r="F92" i="195"/>
  <c r="L92" i="195"/>
  <c r="I92" i="195"/>
  <c r="H92" i="195"/>
  <c r="F83" i="195"/>
  <c r="R83" i="195" s="1"/>
  <c r="R73" i="195"/>
  <c r="R72" i="195"/>
  <c r="Q13" i="195"/>
  <c r="R13" i="195" s="1"/>
  <c r="J25" i="195"/>
  <c r="P25" i="195"/>
  <c r="Q4" i="195"/>
  <c r="R4" i="195" s="1"/>
  <c r="N70" i="195"/>
  <c r="Q27" i="195"/>
  <c r="R27" i="195" s="1"/>
  <c r="Q61" i="195"/>
  <c r="R61" i="195" s="1"/>
  <c r="R75" i="195"/>
  <c r="P70" i="195"/>
  <c r="P78" i="195" s="1"/>
  <c r="N93" i="195"/>
  <c r="H93" i="195"/>
  <c r="M93" i="195"/>
  <c r="F93" i="195"/>
  <c r="I93" i="195"/>
  <c r="L93" i="195"/>
  <c r="G93" i="195"/>
  <c r="P93" i="195"/>
  <c r="O93" i="195"/>
  <c r="K93" i="195"/>
  <c r="J93" i="195"/>
  <c r="O37" i="195"/>
  <c r="J37" i="195"/>
  <c r="R46" i="195"/>
  <c r="R79" i="195"/>
  <c r="N76" i="195"/>
  <c r="N78" i="195" s="1"/>
  <c r="G25" i="195"/>
  <c r="G48" i="195" s="1"/>
  <c r="G2" i="195" s="1"/>
  <c r="G95" i="195" s="1"/>
  <c r="Q8" i="195"/>
  <c r="R94" i="195"/>
  <c r="F70" i="195"/>
  <c r="K70" i="195"/>
  <c r="Q45" i="195"/>
  <c r="R45" i="195"/>
  <c r="K37" i="195"/>
  <c r="R65" i="195"/>
  <c r="O66" i="195"/>
  <c r="R66" i="195" s="1"/>
  <c r="H76" i="195"/>
  <c r="H78" i="195" s="1"/>
  <c r="I76" i="195"/>
  <c r="I78" i="195" s="1"/>
  <c r="I25" i="195"/>
  <c r="I48" i="195" s="1"/>
  <c r="I2" i="195" s="1"/>
  <c r="I95" i="195" s="1"/>
  <c r="N25" i="195"/>
  <c r="N48" i="195" s="1"/>
  <c r="N2" i="195" s="1"/>
  <c r="G70" i="195"/>
  <c r="G78" i="195" s="1"/>
  <c r="O12" i="195"/>
  <c r="O25" i="195" s="1"/>
  <c r="O48" i="195" s="1"/>
  <c r="R42" i="195"/>
  <c r="F37" i="195"/>
  <c r="M37" i="195"/>
  <c r="R88" i="195"/>
  <c r="Q47" i="195"/>
  <c r="R47" i="195" s="1"/>
  <c r="O52" i="195"/>
  <c r="R52" i="195" s="1"/>
  <c r="O76" i="195"/>
  <c r="D78" i="195"/>
  <c r="J76" i="195"/>
  <c r="J78" i="195" s="1"/>
  <c r="K76" i="195"/>
  <c r="K78" i="195" s="1"/>
  <c r="K25" i="195"/>
  <c r="F25" i="195"/>
  <c r="F48" i="195" s="1"/>
  <c r="F2" i="195" s="1"/>
  <c r="I48" i="194"/>
  <c r="I2" i="194" s="1"/>
  <c r="I95" i="194" s="1"/>
  <c r="K48" i="194"/>
  <c r="R15" i="194"/>
  <c r="R17" i="194"/>
  <c r="H48" i="194"/>
  <c r="O48" i="194"/>
  <c r="R30" i="194"/>
  <c r="P2" i="194"/>
  <c r="P95" i="194" s="1"/>
  <c r="L25" i="194"/>
  <c r="L48" i="194" s="1"/>
  <c r="R62" i="194"/>
  <c r="N48" i="194"/>
  <c r="R56" i="194"/>
  <c r="R65" i="194"/>
  <c r="F48" i="194"/>
  <c r="F2" i="194" s="1"/>
  <c r="Q25" i="194"/>
  <c r="R58" i="194"/>
  <c r="R8" i="194"/>
  <c r="O52" i="194"/>
  <c r="R52" i="194" s="1"/>
  <c r="I70" i="194"/>
  <c r="F70" i="194"/>
  <c r="R64" i="194"/>
  <c r="O53" i="194"/>
  <c r="R53" i="194" s="1"/>
  <c r="R74" i="194"/>
  <c r="R72" i="194"/>
  <c r="K76" i="194"/>
  <c r="K78" i="194" s="1"/>
  <c r="Q32" i="194"/>
  <c r="R32" i="194" s="1"/>
  <c r="F76" i="194"/>
  <c r="L88" i="194"/>
  <c r="R88" i="194" s="1"/>
  <c r="R29" i="194"/>
  <c r="R31" i="194"/>
  <c r="R57" i="194"/>
  <c r="R51" i="194"/>
  <c r="R75" i="194"/>
  <c r="N70" i="194"/>
  <c r="N78" i="194" s="1"/>
  <c r="M70" i="194"/>
  <c r="M2" i="194" s="1"/>
  <c r="M95" i="194" s="1"/>
  <c r="R79" i="194"/>
  <c r="R4" i="194"/>
  <c r="L15" i="194"/>
  <c r="R59" i="194"/>
  <c r="M92" i="194"/>
  <c r="Q47" i="194"/>
  <c r="R47" i="194" s="1"/>
  <c r="L76" i="194"/>
  <c r="D78" i="194"/>
  <c r="R7" i="194"/>
  <c r="R10" i="194"/>
  <c r="K70" i="194"/>
  <c r="J70" i="194"/>
  <c r="J78" i="194" s="1"/>
  <c r="Q13" i="194"/>
  <c r="R13" i="194" s="1"/>
  <c r="R42" i="194"/>
  <c r="G76" i="194"/>
  <c r="G78" i="194" s="1"/>
  <c r="R71" i="194"/>
  <c r="D86" i="194"/>
  <c r="F86" i="194" s="1"/>
  <c r="O49" i="194"/>
  <c r="R49" i="194"/>
  <c r="R45" i="194"/>
  <c r="Q45" i="194"/>
  <c r="N92" i="194"/>
  <c r="R61" i="194"/>
  <c r="Q93" i="194"/>
  <c r="P91" i="194"/>
  <c r="I76" i="194"/>
  <c r="I78" i="194" s="1"/>
  <c r="M76" i="194"/>
  <c r="M78" i="194" s="1"/>
  <c r="N62" i="194"/>
  <c r="G70" i="194"/>
  <c r="G25" i="194"/>
  <c r="G48" i="194" s="1"/>
  <c r="J37" i="194"/>
  <c r="Q37" i="194" s="1"/>
  <c r="R83" i="194"/>
  <c r="O65" i="194"/>
  <c r="I91" i="194"/>
  <c r="R46" i="194"/>
  <c r="Q5" i="194"/>
  <c r="R5" i="194" s="1"/>
  <c r="H76" i="194"/>
  <c r="H78" i="194" s="1"/>
  <c r="H70" i="194"/>
  <c r="L70" i="194"/>
  <c r="R17" i="193"/>
  <c r="R75" i="193"/>
  <c r="R33" i="193"/>
  <c r="R7" i="193"/>
  <c r="R74" i="193"/>
  <c r="R65" i="193"/>
  <c r="R50" i="193"/>
  <c r="R4" i="193"/>
  <c r="Q10" i="193"/>
  <c r="R10" i="193" s="1"/>
  <c r="Q45" i="193"/>
  <c r="R45" i="193" s="1"/>
  <c r="O65" i="193"/>
  <c r="O64" i="193"/>
  <c r="R64" i="193" s="1"/>
  <c r="R28" i="193"/>
  <c r="R5" i="193"/>
  <c r="J37" i="193"/>
  <c r="H37" i="193"/>
  <c r="R66" i="193"/>
  <c r="M70" i="193"/>
  <c r="O73" i="193"/>
  <c r="R73" i="193" s="1"/>
  <c r="N76" i="193"/>
  <c r="R72" i="193"/>
  <c r="R8" i="193"/>
  <c r="R58" i="193"/>
  <c r="Q27" i="193"/>
  <c r="R27" i="193" s="1"/>
  <c r="L25" i="193"/>
  <c r="L48" i="193" s="1"/>
  <c r="L2" i="193" s="1"/>
  <c r="M25" i="193"/>
  <c r="M48" i="193" s="1"/>
  <c r="J25" i="193"/>
  <c r="L76" i="193"/>
  <c r="L78" i="193" s="1"/>
  <c r="L37" i="193"/>
  <c r="O37" i="193"/>
  <c r="N62" i="193"/>
  <c r="N70" i="193" s="1"/>
  <c r="L70" i="193"/>
  <c r="G70" i="193"/>
  <c r="L88" i="193"/>
  <c r="K76" i="193"/>
  <c r="K78" i="193" s="1"/>
  <c r="R93" i="193"/>
  <c r="R55" i="193"/>
  <c r="R42" i="193"/>
  <c r="R83" i="193"/>
  <c r="G25" i="193"/>
  <c r="I25" i="193"/>
  <c r="I48" i="193" s="1"/>
  <c r="P25" i="193"/>
  <c r="H48" i="193"/>
  <c r="N37" i="193"/>
  <c r="Q6" i="193"/>
  <c r="R6" i="193" s="1"/>
  <c r="O49" i="193"/>
  <c r="O70" i="193" s="1"/>
  <c r="J70" i="193"/>
  <c r="G76" i="193"/>
  <c r="L15" i="193"/>
  <c r="R15" i="193" s="1"/>
  <c r="D78" i="193"/>
  <c r="Q3" i="193"/>
  <c r="R3" i="193" s="1"/>
  <c r="K25" i="193"/>
  <c r="P37" i="193"/>
  <c r="K37" i="193"/>
  <c r="K92" i="193"/>
  <c r="J92" i="193"/>
  <c r="G92" i="193"/>
  <c r="H92" i="193"/>
  <c r="F92" i="193"/>
  <c r="M92" i="193" s="1"/>
  <c r="L92" i="193"/>
  <c r="I92" i="193"/>
  <c r="H70" i="193"/>
  <c r="R49" i="193"/>
  <c r="R88" i="193"/>
  <c r="H76" i="193"/>
  <c r="M76" i="193"/>
  <c r="M78" i="193" s="1"/>
  <c r="Q47" i="193"/>
  <c r="R47" i="193" s="1"/>
  <c r="F76" i="193"/>
  <c r="N25" i="193"/>
  <c r="D48" i="193"/>
  <c r="R94" i="193"/>
  <c r="R9" i="193"/>
  <c r="L90" i="193"/>
  <c r="R90" i="193" s="1"/>
  <c r="Q26" i="193"/>
  <c r="R26" i="193" s="1"/>
  <c r="M37" i="193"/>
  <c r="I70" i="193"/>
  <c r="F70" i="193"/>
  <c r="D86" i="193"/>
  <c r="F86" i="193" s="1"/>
  <c r="I76" i="193"/>
  <c r="J76" i="193"/>
  <c r="F83" i="193"/>
  <c r="Q54" i="193"/>
  <c r="R54" i="193" s="1"/>
  <c r="R71" i="193"/>
  <c r="O75" i="193"/>
  <c r="G37" i="193"/>
  <c r="F25" i="193"/>
  <c r="F48" i="193" s="1"/>
  <c r="O25" i="193"/>
  <c r="O48" i="193" s="1"/>
  <c r="N48" i="192"/>
  <c r="P2" i="192"/>
  <c r="L48" i="192"/>
  <c r="R51" i="192"/>
  <c r="R62" i="192"/>
  <c r="F78" i="192"/>
  <c r="J48" i="192"/>
  <c r="J2" i="192" s="1"/>
  <c r="H48" i="192"/>
  <c r="R52" i="192"/>
  <c r="R74" i="192"/>
  <c r="R8" i="192"/>
  <c r="H76" i="192"/>
  <c r="Q28" i="192"/>
  <c r="R28" i="192" s="1"/>
  <c r="L69" i="192"/>
  <c r="R69" i="192" s="1"/>
  <c r="R46" i="192"/>
  <c r="R72" i="192"/>
  <c r="I76" i="192"/>
  <c r="G37" i="192"/>
  <c r="G48" i="192" s="1"/>
  <c r="G2" i="192" s="1"/>
  <c r="G95" i="192" s="1"/>
  <c r="G70" i="192"/>
  <c r="Q17" i="192"/>
  <c r="R17" i="192" s="1"/>
  <c r="L88" i="192"/>
  <c r="G92" i="192"/>
  <c r="K92" i="192"/>
  <c r="J92" i="192"/>
  <c r="L92" i="192"/>
  <c r="F92" i="192"/>
  <c r="I92" i="192"/>
  <c r="H92" i="192"/>
  <c r="N62" i="192"/>
  <c r="N70" i="192" s="1"/>
  <c r="R58" i="192"/>
  <c r="K70" i="192"/>
  <c r="K2" i="192" s="1"/>
  <c r="K95" i="192" s="1"/>
  <c r="O74" i="192"/>
  <c r="M48" i="192"/>
  <c r="M2" i="192" s="1"/>
  <c r="R61" i="192"/>
  <c r="R57" i="192"/>
  <c r="K76" i="192"/>
  <c r="F37" i="192"/>
  <c r="Q37" i="192" s="1"/>
  <c r="R37" i="192" s="1"/>
  <c r="H70" i="192"/>
  <c r="L70" i="192"/>
  <c r="R56" i="192"/>
  <c r="N93" i="192"/>
  <c r="H93" i="192"/>
  <c r="O93" i="192"/>
  <c r="G93" i="192"/>
  <c r="Q93" i="192" s="1"/>
  <c r="M93" i="192"/>
  <c r="F93" i="192"/>
  <c r="R93" i="192" s="1"/>
  <c r="L93" i="192"/>
  <c r="K93" i="192"/>
  <c r="J93" i="192"/>
  <c r="I93" i="192"/>
  <c r="P93" i="192"/>
  <c r="I37" i="192"/>
  <c r="I48" i="192" s="1"/>
  <c r="I2" i="192" s="1"/>
  <c r="I95" i="192" s="1"/>
  <c r="Q47" i="192"/>
  <c r="R47" i="192" s="1"/>
  <c r="O75" i="192"/>
  <c r="R75" i="192" s="1"/>
  <c r="O49" i="192"/>
  <c r="O70" i="192" s="1"/>
  <c r="R49" i="192"/>
  <c r="F25" i="192"/>
  <c r="J78" i="192"/>
  <c r="L76" i="192"/>
  <c r="F70" i="192"/>
  <c r="D86" i="192"/>
  <c r="F86" i="192" s="1"/>
  <c r="R31" i="192"/>
  <c r="F83" i="192"/>
  <c r="R42" i="192"/>
  <c r="N76" i="192"/>
  <c r="G76" i="192"/>
  <c r="L37" i="192"/>
  <c r="I70" i="192"/>
  <c r="M70" i="192"/>
  <c r="M78" i="192" s="1"/>
  <c r="R83" i="192"/>
  <c r="Q45" i="192"/>
  <c r="R45" i="192" s="1"/>
  <c r="R50" i="191"/>
  <c r="R56" i="191"/>
  <c r="R15" i="191"/>
  <c r="R8" i="191"/>
  <c r="R55" i="191"/>
  <c r="R10" i="191"/>
  <c r="R28" i="191"/>
  <c r="R75" i="191"/>
  <c r="R57" i="191"/>
  <c r="R13" i="191"/>
  <c r="O70" i="191"/>
  <c r="J37" i="191"/>
  <c r="P70" i="191"/>
  <c r="P78" i="191" s="1"/>
  <c r="J76" i="191"/>
  <c r="H70" i="191"/>
  <c r="K70" i="191"/>
  <c r="R17" i="191"/>
  <c r="R6" i="191"/>
  <c r="M25" i="191"/>
  <c r="M48" i="191" s="1"/>
  <c r="M2" i="191" s="1"/>
  <c r="O25" i="191"/>
  <c r="Q13" i="191"/>
  <c r="Q7" i="191"/>
  <c r="R7" i="191" s="1"/>
  <c r="L15" i="191"/>
  <c r="R32" i="191"/>
  <c r="Q26" i="191"/>
  <c r="P37" i="191"/>
  <c r="L37" i="191"/>
  <c r="Q5" i="191"/>
  <c r="R5" i="191" s="1"/>
  <c r="N76" i="191"/>
  <c r="G76" i="191"/>
  <c r="O53" i="191"/>
  <c r="R53" i="191" s="1"/>
  <c r="F83" i="191"/>
  <c r="I70" i="191"/>
  <c r="O74" i="191"/>
  <c r="R74" i="191" s="1"/>
  <c r="Q16" i="191"/>
  <c r="R16" i="191" s="1"/>
  <c r="Q55" i="191"/>
  <c r="Q10" i="191"/>
  <c r="F25" i="191"/>
  <c r="F48" i="191" s="1"/>
  <c r="F2" i="191" s="1"/>
  <c r="I25" i="191"/>
  <c r="R26" i="191"/>
  <c r="O64" i="191"/>
  <c r="R64" i="191" s="1"/>
  <c r="Q4" i="191"/>
  <c r="R4" i="191" s="1"/>
  <c r="R83" i="191"/>
  <c r="P25" i="191"/>
  <c r="P48" i="191" s="1"/>
  <c r="N37" i="191"/>
  <c r="F76" i="191"/>
  <c r="F78" i="191" s="1"/>
  <c r="M70" i="191"/>
  <c r="O50" i="191"/>
  <c r="R31" i="191"/>
  <c r="H37" i="191"/>
  <c r="F37" i="191"/>
  <c r="R37" i="191" s="1"/>
  <c r="Q33" i="191"/>
  <c r="R33" i="191" s="1"/>
  <c r="R27" i="191"/>
  <c r="R54" i="191"/>
  <c r="R76" i="191"/>
  <c r="D78" i="191"/>
  <c r="O76" i="191"/>
  <c r="I76" i="191"/>
  <c r="I78" i="191" s="1"/>
  <c r="H76" i="191"/>
  <c r="H78" i="191" s="1"/>
  <c r="F70" i="191"/>
  <c r="M92" i="191"/>
  <c r="G92" i="191"/>
  <c r="I92" i="191"/>
  <c r="H92" i="191"/>
  <c r="F92" i="191"/>
  <c r="N92" i="191"/>
  <c r="L92" i="191"/>
  <c r="K92" i="191"/>
  <c r="J92" i="191"/>
  <c r="Q47" i="191"/>
  <c r="R47" i="191"/>
  <c r="N25" i="191"/>
  <c r="R3" i="191"/>
  <c r="O66" i="191"/>
  <c r="R66" i="191" s="1"/>
  <c r="K37" i="191"/>
  <c r="M76" i="191"/>
  <c r="M78" i="191" s="1"/>
  <c r="J70" i="191"/>
  <c r="Q58" i="191"/>
  <c r="R58" i="191" s="1"/>
  <c r="D48" i="191"/>
  <c r="Q37" i="191"/>
  <c r="O72" i="191"/>
  <c r="R72" i="191" s="1"/>
  <c r="R49" i="191"/>
  <c r="R88" i="191"/>
  <c r="G25" i="191"/>
  <c r="J25" i="191"/>
  <c r="J48" i="191" s="1"/>
  <c r="L90" i="191"/>
  <c r="R90" i="191" s="1"/>
  <c r="N93" i="191"/>
  <c r="H93" i="191"/>
  <c r="L93" i="191"/>
  <c r="O93" i="191"/>
  <c r="F93" i="191"/>
  <c r="M93" i="191"/>
  <c r="K93" i="191"/>
  <c r="G93" i="191"/>
  <c r="P93" i="191"/>
  <c r="J93" i="191"/>
  <c r="I93" i="191"/>
  <c r="I37" i="191"/>
  <c r="O37" i="191"/>
  <c r="G37" i="191"/>
  <c r="K76" i="191"/>
  <c r="K78" i="191" s="1"/>
  <c r="G70" i="191"/>
  <c r="Q70" i="191" s="1"/>
  <c r="Q78" i="191" s="1"/>
  <c r="N70" i="191"/>
  <c r="R45" i="191"/>
  <c r="Q45" i="191"/>
  <c r="D86" i="191"/>
  <c r="F86" i="191" s="1"/>
  <c r="L25" i="191"/>
  <c r="L48" i="191" s="1"/>
  <c r="L2" i="191" s="1"/>
  <c r="L95" i="191" s="1"/>
  <c r="H25" i="191"/>
  <c r="H48" i="191" s="1"/>
  <c r="H2" i="191" s="1"/>
  <c r="K25" i="191"/>
  <c r="K48" i="191" s="1"/>
  <c r="K2" i="191" s="1"/>
  <c r="K95" i="191" s="1"/>
  <c r="N92" i="190"/>
  <c r="N91" i="190" s="1"/>
  <c r="R73" i="190"/>
  <c r="R56" i="190"/>
  <c r="R17" i="190"/>
  <c r="R69" i="190"/>
  <c r="R10" i="190"/>
  <c r="R33" i="190"/>
  <c r="R62" i="190"/>
  <c r="R7" i="190"/>
  <c r="R29" i="190"/>
  <c r="L93" i="190"/>
  <c r="F93" i="190"/>
  <c r="R93" i="190" s="1"/>
  <c r="K93" i="190"/>
  <c r="Q93" i="190" s="1"/>
  <c r="P93" i="190"/>
  <c r="J93" i="190"/>
  <c r="O93" i="190"/>
  <c r="I93" i="190"/>
  <c r="N93" i="190"/>
  <c r="M93" i="190"/>
  <c r="H93" i="190"/>
  <c r="G93" i="190"/>
  <c r="D86" i="190"/>
  <c r="F86" i="190" s="1"/>
  <c r="G78" i="190"/>
  <c r="J78" i="190"/>
  <c r="I25" i="190"/>
  <c r="O25" i="190"/>
  <c r="F70" i="190"/>
  <c r="R28" i="190"/>
  <c r="R54" i="190"/>
  <c r="F37" i="190"/>
  <c r="Q37" i="190" s="1"/>
  <c r="M37" i="190"/>
  <c r="R83" i="190"/>
  <c r="M76" i="190"/>
  <c r="R72" i="190"/>
  <c r="Q59" i="190"/>
  <c r="R59" i="190" s="1"/>
  <c r="N77" i="190"/>
  <c r="R77" i="190" s="1"/>
  <c r="R53" i="190"/>
  <c r="L24" i="190"/>
  <c r="R24" i="190" s="1"/>
  <c r="R75" i="190"/>
  <c r="Q55" i="190"/>
  <c r="R55" i="190" s="1"/>
  <c r="N62" i="190"/>
  <c r="Q13" i="190"/>
  <c r="R13" i="190" s="1"/>
  <c r="M25" i="190"/>
  <c r="M48" i="190" s="1"/>
  <c r="M2" i="190" s="1"/>
  <c r="M95" i="190" s="1"/>
  <c r="K25" i="190"/>
  <c r="R71" i="190"/>
  <c r="M92" i="190"/>
  <c r="N70" i="190"/>
  <c r="L70" i="190"/>
  <c r="R8" i="190"/>
  <c r="P70" i="190"/>
  <c r="P78" i="190" s="1"/>
  <c r="H37" i="190"/>
  <c r="R9" i="190"/>
  <c r="O50" i="190"/>
  <c r="R50" i="190" s="1"/>
  <c r="Q57" i="190"/>
  <c r="R57" i="190" s="1"/>
  <c r="Q27" i="190"/>
  <c r="R27" i="190" s="1"/>
  <c r="R58" i="190"/>
  <c r="G70" i="190"/>
  <c r="R32" i="190"/>
  <c r="R12" i="190"/>
  <c r="Q4" i="190"/>
  <c r="R4" i="190" s="1"/>
  <c r="I37" i="190"/>
  <c r="O37" i="190"/>
  <c r="R79" i="190"/>
  <c r="N76" i="190"/>
  <c r="G37" i="190"/>
  <c r="R43" i="190"/>
  <c r="L69" i="190"/>
  <c r="H25" i="190"/>
  <c r="H48" i="190" s="1"/>
  <c r="F25" i="190"/>
  <c r="O49" i="190"/>
  <c r="M70" i="190"/>
  <c r="O64" i="190"/>
  <c r="R64" i="190" s="1"/>
  <c r="R51" i="190"/>
  <c r="R46" i="190"/>
  <c r="R66" i="190"/>
  <c r="D48" i="190"/>
  <c r="D78" i="190"/>
  <c r="P37" i="190"/>
  <c r="L76" i="190"/>
  <c r="O76" i="190" s="1"/>
  <c r="I78" i="190"/>
  <c r="P25" i="190"/>
  <c r="P48" i="190" s="1"/>
  <c r="P2" i="190" s="1"/>
  <c r="P95" i="190" s="1"/>
  <c r="N25" i="190"/>
  <c r="N48" i="190" s="1"/>
  <c r="N2" i="190" s="1"/>
  <c r="N95" i="190" s="1"/>
  <c r="L25" i="190"/>
  <c r="L48" i="190" s="1"/>
  <c r="I70" i="190"/>
  <c r="H70" i="190"/>
  <c r="H78" i="190" s="1"/>
  <c r="R74" i="190"/>
  <c r="Q47" i="190"/>
  <c r="R47" i="190" s="1"/>
  <c r="R6" i="190"/>
  <c r="Q3" i="190"/>
  <c r="R88" i="190"/>
  <c r="Q26" i="190"/>
  <c r="R26" i="190" s="1"/>
  <c r="K37" i="190"/>
  <c r="R16" i="190"/>
  <c r="R45" i="190"/>
  <c r="Q45" i="190"/>
  <c r="J25" i="190"/>
  <c r="J48" i="190" s="1"/>
  <c r="G25" i="190"/>
  <c r="G48" i="190" s="1"/>
  <c r="G2" i="190" s="1"/>
  <c r="G95" i="190" s="1"/>
  <c r="G91" i="190" s="1"/>
  <c r="R3" i="190"/>
  <c r="J70" i="190"/>
  <c r="K70" i="190"/>
  <c r="K78" i="190" s="1"/>
  <c r="R50" i="189"/>
  <c r="R4" i="189"/>
  <c r="R7" i="189"/>
  <c r="R30" i="189"/>
  <c r="R92" i="189"/>
  <c r="R61" i="189"/>
  <c r="R74" i="189"/>
  <c r="R73" i="189"/>
  <c r="R33" i="189"/>
  <c r="R15" i="189"/>
  <c r="R14" i="189"/>
  <c r="R29" i="189"/>
  <c r="R64" i="189"/>
  <c r="R9" i="189"/>
  <c r="D86" i="189"/>
  <c r="F86" i="189" s="1"/>
  <c r="R65" i="189"/>
  <c r="I70" i="189"/>
  <c r="I78" i="189" s="1"/>
  <c r="F83" i="189"/>
  <c r="I25" i="189"/>
  <c r="I48" i="189" s="1"/>
  <c r="K25" i="189"/>
  <c r="K48" i="189" s="1"/>
  <c r="Q58" i="189"/>
  <c r="R58" i="189" s="1"/>
  <c r="Q47" i="189"/>
  <c r="R47" i="189" s="1"/>
  <c r="N76" i="189"/>
  <c r="K76" i="189"/>
  <c r="K78" i="189" s="1"/>
  <c r="R55" i="189"/>
  <c r="O25" i="189"/>
  <c r="O48" i="189" s="1"/>
  <c r="D48" i="189"/>
  <c r="N93" i="189"/>
  <c r="H93" i="189"/>
  <c r="Q93" i="189" s="1"/>
  <c r="O93" i="189"/>
  <c r="G93" i="189"/>
  <c r="G91" i="189" s="1"/>
  <c r="M93" i="189"/>
  <c r="F93" i="189"/>
  <c r="R93" i="189" s="1"/>
  <c r="J93" i="189"/>
  <c r="P93" i="189"/>
  <c r="L93" i="189"/>
  <c r="K93" i="189"/>
  <c r="I93" i="189"/>
  <c r="Q17" i="189"/>
  <c r="R17" i="189" s="1"/>
  <c r="O50" i="189"/>
  <c r="G70" i="189"/>
  <c r="L70" i="189"/>
  <c r="R79" i="189"/>
  <c r="L15" i="189"/>
  <c r="Q10" i="189"/>
  <c r="R10" i="189" s="1"/>
  <c r="P25" i="189"/>
  <c r="P48" i="189" s="1"/>
  <c r="P2" i="189" s="1"/>
  <c r="R3" i="189"/>
  <c r="Q54" i="189"/>
  <c r="R54" i="189" s="1"/>
  <c r="N92" i="189"/>
  <c r="M92" i="189"/>
  <c r="O64" i="189"/>
  <c r="Q27" i="189"/>
  <c r="R27" i="189"/>
  <c r="O72" i="189"/>
  <c r="R72" i="189" s="1"/>
  <c r="L76" i="189"/>
  <c r="K70" i="189"/>
  <c r="F70" i="189"/>
  <c r="O74" i="189"/>
  <c r="R83" i="189"/>
  <c r="Q16" i="189"/>
  <c r="R16" i="189" s="1"/>
  <c r="J25" i="189"/>
  <c r="J48" i="189" s="1"/>
  <c r="L25" i="189"/>
  <c r="O66" i="189"/>
  <c r="R66" i="189" s="1"/>
  <c r="R57" i="189"/>
  <c r="F76" i="189"/>
  <c r="H76" i="189"/>
  <c r="G76" i="189"/>
  <c r="N25" i="189"/>
  <c r="N48" i="189" s="1"/>
  <c r="Q45" i="189"/>
  <c r="R45" i="189" s="1"/>
  <c r="N62" i="189"/>
  <c r="R62" i="189" s="1"/>
  <c r="L90" i="189"/>
  <c r="R90" i="189" s="1"/>
  <c r="Q3" i="189"/>
  <c r="G25" i="189"/>
  <c r="G48" i="189" s="1"/>
  <c r="G2" i="189" s="1"/>
  <c r="G95" i="189" s="1"/>
  <c r="R46" i="189"/>
  <c r="G37" i="189"/>
  <c r="Q37" i="189" s="1"/>
  <c r="R37" i="189" s="1"/>
  <c r="D78" i="189"/>
  <c r="J76" i="189"/>
  <c r="J78" i="189" s="1"/>
  <c r="M76" i="189"/>
  <c r="M78" i="189" s="1"/>
  <c r="R28" i="189"/>
  <c r="H70" i="189"/>
  <c r="M70" i="189"/>
  <c r="Q33" i="189"/>
  <c r="Q31" i="189"/>
  <c r="R31" i="189" s="1"/>
  <c r="O49" i="189"/>
  <c r="J70" i="189"/>
  <c r="H25" i="189"/>
  <c r="H48" i="189" s="1"/>
  <c r="H2" i="189" s="1"/>
  <c r="H95" i="189" s="1"/>
  <c r="H91" i="189" s="1"/>
  <c r="F25" i="189"/>
  <c r="F48" i="189" s="1"/>
  <c r="M25" i="189"/>
  <c r="M48" i="189" s="1"/>
  <c r="M2" i="189" s="1"/>
  <c r="M95" i="189" s="1"/>
  <c r="L37" i="189"/>
  <c r="R42" i="189"/>
  <c r="O76" i="188"/>
  <c r="O78" i="188" s="1"/>
  <c r="R17" i="188"/>
  <c r="R29" i="188"/>
  <c r="R58" i="188"/>
  <c r="R57" i="188"/>
  <c r="R75" i="188"/>
  <c r="N76" i="188"/>
  <c r="N78" i="188" s="1"/>
  <c r="F37" i="188"/>
  <c r="I76" i="188"/>
  <c r="I78" i="188" s="1"/>
  <c r="G76" i="188"/>
  <c r="R52" i="188"/>
  <c r="K25" i="188"/>
  <c r="K48" i="188" s="1"/>
  <c r="K2" i="188" s="1"/>
  <c r="Q47" i="188"/>
  <c r="R47" i="188" s="1"/>
  <c r="R55" i="188"/>
  <c r="R33" i="188"/>
  <c r="Q58" i="188"/>
  <c r="L78" i="188"/>
  <c r="G70" i="188"/>
  <c r="R70" i="188" s="1"/>
  <c r="O12" i="188"/>
  <c r="R12" i="188" s="1"/>
  <c r="F70" i="188"/>
  <c r="F78" i="188" s="1"/>
  <c r="Q31" i="188"/>
  <c r="R31" i="188" s="1"/>
  <c r="Q54" i="188"/>
  <c r="R54" i="188" s="1"/>
  <c r="K78" i="188"/>
  <c r="M78" i="188"/>
  <c r="Q29" i="188"/>
  <c r="R64" i="188"/>
  <c r="F25" i="188"/>
  <c r="Q45" i="188"/>
  <c r="R45" i="188" s="1"/>
  <c r="J92" i="188"/>
  <c r="G92" i="188"/>
  <c r="K92" i="188"/>
  <c r="I92" i="188"/>
  <c r="H92" i="188"/>
  <c r="F92" i="188"/>
  <c r="M92" i="188" s="1"/>
  <c r="L92" i="188"/>
  <c r="Q70" i="188"/>
  <c r="Q78" i="188" s="1"/>
  <c r="R51" i="188"/>
  <c r="R43" i="188"/>
  <c r="J78" i="188"/>
  <c r="L37" i="188"/>
  <c r="L48" i="188" s="1"/>
  <c r="L2" i="188" s="1"/>
  <c r="L95" i="188" s="1"/>
  <c r="G25" i="188"/>
  <c r="G48" i="188" s="1"/>
  <c r="H25" i="188"/>
  <c r="H48" i="188" s="1"/>
  <c r="H2" i="188" s="1"/>
  <c r="N25" i="188"/>
  <c r="N48" i="188" s="1"/>
  <c r="N2" i="188" s="1"/>
  <c r="P25" i="188"/>
  <c r="P48" i="188" s="1"/>
  <c r="R56" i="188"/>
  <c r="R88" i="188"/>
  <c r="R46" i="188"/>
  <c r="F83" i="188"/>
  <c r="K93" i="188"/>
  <c r="N93" i="188"/>
  <c r="H93" i="188"/>
  <c r="Q93" i="188" s="1"/>
  <c r="I93" i="188"/>
  <c r="P93" i="188"/>
  <c r="G93" i="188"/>
  <c r="L93" i="188"/>
  <c r="J93" i="188"/>
  <c r="F93" i="188"/>
  <c r="R93" i="188" s="1"/>
  <c r="O93" i="188"/>
  <c r="M93" i="188"/>
  <c r="R5" i="188"/>
  <c r="M48" i="188"/>
  <c r="M2" i="188" s="1"/>
  <c r="J48" i="188"/>
  <c r="J2" i="188" s="1"/>
  <c r="J95" i="188" s="1"/>
  <c r="O70" i="188"/>
  <c r="H78" i="188"/>
  <c r="O72" i="188"/>
  <c r="R72" i="188" s="1"/>
  <c r="O25" i="188"/>
  <c r="O48" i="188" s="1"/>
  <c r="I48" i="188"/>
  <c r="I2" i="188" s="1"/>
  <c r="I95" i="188" s="1"/>
  <c r="D48" i="188"/>
  <c r="D86" i="188"/>
  <c r="F86" i="188" s="1"/>
  <c r="P70" i="188"/>
  <c r="P78" i="188" s="1"/>
  <c r="R83" i="188"/>
  <c r="R59" i="187"/>
  <c r="R52" i="187"/>
  <c r="R4" i="187"/>
  <c r="R75" i="187"/>
  <c r="R6" i="187"/>
  <c r="R5" i="187"/>
  <c r="R74" i="187"/>
  <c r="R33" i="187"/>
  <c r="R53" i="187"/>
  <c r="R66" i="187"/>
  <c r="R51" i="187"/>
  <c r="G25" i="187"/>
  <c r="G48" i="187" s="1"/>
  <c r="D48" i="187"/>
  <c r="Q33" i="187"/>
  <c r="R64" i="187"/>
  <c r="R54" i="187"/>
  <c r="R12" i="187"/>
  <c r="H78" i="187"/>
  <c r="K70" i="187"/>
  <c r="R29" i="187"/>
  <c r="R58" i="187"/>
  <c r="J25" i="187"/>
  <c r="J48" i="187" s="1"/>
  <c r="N37" i="187"/>
  <c r="Q45" i="187"/>
  <c r="R45" i="187" s="1"/>
  <c r="R16" i="187"/>
  <c r="R47" i="187"/>
  <c r="Q47" i="187"/>
  <c r="R72" i="187"/>
  <c r="H70" i="187"/>
  <c r="L88" i="187"/>
  <c r="H25" i="187"/>
  <c r="K37" i="187"/>
  <c r="R30" i="187"/>
  <c r="N62" i="187"/>
  <c r="R62" i="187" s="1"/>
  <c r="R14" i="187"/>
  <c r="L25" i="187"/>
  <c r="O25" i="187"/>
  <c r="O48" i="187" s="1"/>
  <c r="K25" i="187"/>
  <c r="F37" i="187"/>
  <c r="O53" i="187"/>
  <c r="R44" i="187"/>
  <c r="I76" i="187"/>
  <c r="I78" i="187" s="1"/>
  <c r="L76" i="187"/>
  <c r="L78" i="187" s="1"/>
  <c r="F70" i="187"/>
  <c r="D86" i="187"/>
  <c r="F86" i="187" s="1"/>
  <c r="R27" i="187"/>
  <c r="R36" i="187"/>
  <c r="Q5" i="187"/>
  <c r="Q9" i="187"/>
  <c r="R9" i="187" s="1"/>
  <c r="R3" i="187"/>
  <c r="P37" i="187"/>
  <c r="O65" i="187"/>
  <c r="R65" i="187" s="1"/>
  <c r="Q6" i="187"/>
  <c r="K76" i="187"/>
  <c r="K78" i="187" s="1"/>
  <c r="I70" i="187"/>
  <c r="F83" i="187"/>
  <c r="R83" i="187" s="1"/>
  <c r="O94" i="187"/>
  <c r="R94" i="187" s="1"/>
  <c r="F25" i="187"/>
  <c r="F48" i="187" s="1"/>
  <c r="F2" i="187" s="1"/>
  <c r="I25" i="187"/>
  <c r="Q3" i="187"/>
  <c r="Q26" i="187"/>
  <c r="R26" i="187" s="1"/>
  <c r="R13" i="187"/>
  <c r="F76" i="187"/>
  <c r="R32" i="187"/>
  <c r="R7" i="187"/>
  <c r="N93" i="187"/>
  <c r="H93" i="187"/>
  <c r="Q93" i="187" s="1"/>
  <c r="O93" i="187"/>
  <c r="G93" i="187"/>
  <c r="M93" i="187"/>
  <c r="F93" i="187"/>
  <c r="R93" i="187" s="1"/>
  <c r="K93" i="187"/>
  <c r="J93" i="187"/>
  <c r="I93" i="187"/>
  <c r="P93" i="187"/>
  <c r="L93" i="187"/>
  <c r="J76" i="187"/>
  <c r="J78" i="187" s="1"/>
  <c r="G76" i="187"/>
  <c r="G78" i="187" s="1"/>
  <c r="N70" i="187"/>
  <c r="M70" i="187"/>
  <c r="N25" i="187"/>
  <c r="N48" i="187" s="1"/>
  <c r="R24" i="187"/>
  <c r="N76" i="187"/>
  <c r="N78" i="187" s="1"/>
  <c r="G70" i="187"/>
  <c r="G37" i="187"/>
  <c r="P70" i="187"/>
  <c r="P78" i="187" s="1"/>
  <c r="L70" i="187"/>
  <c r="M25" i="187"/>
  <c r="M48" i="187" s="1"/>
  <c r="M2" i="187" s="1"/>
  <c r="P25" i="187"/>
  <c r="G92" i="187"/>
  <c r="K92" i="187"/>
  <c r="J92" i="187"/>
  <c r="F92" i="187"/>
  <c r="L92" i="187"/>
  <c r="I92" i="187"/>
  <c r="H92" i="187"/>
  <c r="I37" i="187"/>
  <c r="H37" i="187"/>
  <c r="Q37" i="187" s="1"/>
  <c r="D78" i="187"/>
  <c r="R61" i="187"/>
  <c r="Q10" i="187"/>
  <c r="R10" i="187" s="1"/>
  <c r="M76" i="187"/>
  <c r="O49" i="187"/>
  <c r="J70" i="187"/>
  <c r="L37" i="187"/>
  <c r="R16" i="186"/>
  <c r="L2" i="186"/>
  <c r="R58" i="186"/>
  <c r="R93" i="186"/>
  <c r="R73" i="186"/>
  <c r="R8" i="186"/>
  <c r="R57" i="186"/>
  <c r="R4" i="186"/>
  <c r="R64" i="186"/>
  <c r="R53" i="186"/>
  <c r="R50" i="186"/>
  <c r="R44" i="186"/>
  <c r="R33" i="186"/>
  <c r="G37" i="186"/>
  <c r="G48" i="186" s="1"/>
  <c r="G2" i="186" s="1"/>
  <c r="G95" i="186" s="1"/>
  <c r="O65" i="186"/>
  <c r="R65" i="186" s="1"/>
  <c r="K92" i="186"/>
  <c r="J92" i="186"/>
  <c r="I92" i="186"/>
  <c r="G92" i="186"/>
  <c r="F92" i="186"/>
  <c r="M92" i="186" s="1"/>
  <c r="L92" i="186"/>
  <c r="H92" i="186"/>
  <c r="O73" i="186"/>
  <c r="M76" i="186"/>
  <c r="M78" i="186" s="1"/>
  <c r="K76" i="186"/>
  <c r="K78" i="186" s="1"/>
  <c r="F76" i="186"/>
  <c r="F78" i="186" s="1"/>
  <c r="Q8" i="186"/>
  <c r="R9" i="186"/>
  <c r="P25" i="186"/>
  <c r="P48" i="186" s="1"/>
  <c r="Q14" i="186"/>
  <c r="R14" i="186" s="1"/>
  <c r="Q28" i="186"/>
  <c r="R28" i="186" s="1"/>
  <c r="G78" i="186"/>
  <c r="O72" i="186"/>
  <c r="Q7" i="186"/>
  <c r="R7" i="186" s="1"/>
  <c r="Q45" i="186"/>
  <c r="R45" i="186" s="1"/>
  <c r="Q4" i="186"/>
  <c r="Q57" i="186"/>
  <c r="R83" i="186"/>
  <c r="O52" i="186"/>
  <c r="O70" i="186" s="1"/>
  <c r="N76" i="186"/>
  <c r="N78" i="186" s="1"/>
  <c r="R66" i="186"/>
  <c r="D78" i="186"/>
  <c r="R31" i="186"/>
  <c r="R72" i="186"/>
  <c r="J78" i="186"/>
  <c r="R43" i="186"/>
  <c r="H70" i="186"/>
  <c r="Q70" i="186" s="1"/>
  <c r="Q78" i="186" s="1"/>
  <c r="R29" i="186"/>
  <c r="F83" i="186"/>
  <c r="F25" i="186"/>
  <c r="F48" i="186" s="1"/>
  <c r="F2" i="186" s="1"/>
  <c r="R79" i="186"/>
  <c r="N37" i="186"/>
  <c r="N48" i="186" s="1"/>
  <c r="N2" i="186" s="1"/>
  <c r="Q37" i="186"/>
  <c r="H76" i="186"/>
  <c r="L76" i="186"/>
  <c r="L78" i="186" s="1"/>
  <c r="D48" i="186"/>
  <c r="R47" i="186"/>
  <c r="Q47" i="186"/>
  <c r="D86" i="186"/>
  <c r="F86" i="186" s="1"/>
  <c r="J25" i="186"/>
  <c r="J48" i="186" s="1"/>
  <c r="J2" i="186" s="1"/>
  <c r="J95" i="186" s="1"/>
  <c r="Q58" i="186"/>
  <c r="R13" i="186"/>
  <c r="D109" i="186"/>
  <c r="I76" i="186"/>
  <c r="I78" i="186" s="1"/>
  <c r="R46" i="186"/>
  <c r="R42" i="186"/>
  <c r="P70" i="186"/>
  <c r="P78" i="186" s="1"/>
  <c r="R88" i="186"/>
  <c r="K25" i="186"/>
  <c r="K48" i="186" s="1"/>
  <c r="K2" i="186" s="1"/>
  <c r="K95" i="186" s="1"/>
  <c r="R8" i="185"/>
  <c r="R51" i="185"/>
  <c r="R27" i="185"/>
  <c r="R50" i="185"/>
  <c r="R13" i="185"/>
  <c r="R73" i="185"/>
  <c r="R52" i="185"/>
  <c r="R74" i="185"/>
  <c r="R53" i="185"/>
  <c r="R9" i="185"/>
  <c r="R55" i="185"/>
  <c r="R65" i="185"/>
  <c r="Q8" i="185"/>
  <c r="L76" i="185"/>
  <c r="R72" i="185"/>
  <c r="L70" i="185"/>
  <c r="K70" i="185"/>
  <c r="R31" i="185"/>
  <c r="K25" i="185"/>
  <c r="K48" i="185" s="1"/>
  <c r="R3" i="185"/>
  <c r="G37" i="185"/>
  <c r="Q28" i="185"/>
  <c r="R28" i="185" s="1"/>
  <c r="Q55" i="185"/>
  <c r="R14" i="185"/>
  <c r="J37" i="185"/>
  <c r="N37" i="185"/>
  <c r="R64" i="185"/>
  <c r="R44" i="185"/>
  <c r="R24" i="185"/>
  <c r="G76" i="185"/>
  <c r="J92" i="185"/>
  <c r="H92" i="185"/>
  <c r="G92" i="185"/>
  <c r="F92" i="185"/>
  <c r="L92" i="185"/>
  <c r="K92" i="185"/>
  <c r="I92" i="185"/>
  <c r="Q16" i="185"/>
  <c r="R16" i="185" s="1"/>
  <c r="N70" i="185"/>
  <c r="G70" i="185"/>
  <c r="R46" i="185"/>
  <c r="Q33" i="185"/>
  <c r="R33" i="185" s="1"/>
  <c r="N25" i="185"/>
  <c r="Q3" i="185"/>
  <c r="G25" i="185"/>
  <c r="R58" i="185"/>
  <c r="P70" i="185"/>
  <c r="P78" i="185" s="1"/>
  <c r="R10" i="185"/>
  <c r="R75" i="185"/>
  <c r="O73" i="185"/>
  <c r="R59" i="185"/>
  <c r="R83" i="185"/>
  <c r="O49" i="185"/>
  <c r="O70" i="185" s="1"/>
  <c r="O25" i="185"/>
  <c r="O48" i="185" s="1"/>
  <c r="M25" i="185"/>
  <c r="O37" i="185"/>
  <c r="L88" i="185"/>
  <c r="R88" i="185" s="1"/>
  <c r="D78" i="185"/>
  <c r="F83" i="185"/>
  <c r="H76" i="185"/>
  <c r="H78" i="185" s="1"/>
  <c r="Q56" i="185"/>
  <c r="R56" i="185" s="1"/>
  <c r="I70" i="185"/>
  <c r="J25" i="185"/>
  <c r="J48" i="185" s="1"/>
  <c r="H25" i="185"/>
  <c r="H48" i="185" s="1"/>
  <c r="H2" i="185" s="1"/>
  <c r="Q54" i="185"/>
  <c r="R54" i="185" s="1"/>
  <c r="M76" i="185"/>
  <c r="M78" i="185" s="1"/>
  <c r="M70" i="185"/>
  <c r="L25" i="185"/>
  <c r="Q27" i="185"/>
  <c r="R7" i="185"/>
  <c r="Q26" i="185"/>
  <c r="P37" i="185"/>
  <c r="Q9" i="185"/>
  <c r="Q45" i="185"/>
  <c r="R45" i="185" s="1"/>
  <c r="Q17" i="185"/>
  <c r="R17" i="185" s="1"/>
  <c r="F76" i="185"/>
  <c r="F78" i="185" s="1"/>
  <c r="I76" i="185"/>
  <c r="N76" i="185"/>
  <c r="F70" i="185"/>
  <c r="J70" i="185"/>
  <c r="O12" i="185"/>
  <c r="R12" i="185" s="1"/>
  <c r="P25" i="185"/>
  <c r="P48" i="185" s="1"/>
  <c r="P2" i="185" s="1"/>
  <c r="P95" i="185" s="1"/>
  <c r="D48" i="185"/>
  <c r="L37" i="185"/>
  <c r="K93" i="185"/>
  <c r="O93" i="185"/>
  <c r="I93" i="185"/>
  <c r="N93" i="185"/>
  <c r="H93" i="185"/>
  <c r="G93" i="185"/>
  <c r="Q93" i="185" s="1"/>
  <c r="F93" i="185"/>
  <c r="P93" i="185"/>
  <c r="L93" i="185"/>
  <c r="J93" i="185"/>
  <c r="M93" i="185"/>
  <c r="R26" i="185"/>
  <c r="M37" i="185"/>
  <c r="D86" i="185"/>
  <c r="F86" i="185" s="1"/>
  <c r="R71" i="185"/>
  <c r="K76" i="185"/>
  <c r="K78" i="185" s="1"/>
  <c r="J76" i="185"/>
  <c r="J78" i="185" s="1"/>
  <c r="H70" i="185"/>
  <c r="Q47" i="185"/>
  <c r="R47" i="185"/>
  <c r="I25" i="185"/>
  <c r="I48" i="185" s="1"/>
  <c r="F25" i="185"/>
  <c r="F48" i="185" s="1"/>
  <c r="F2" i="185" s="1"/>
  <c r="R55" i="184"/>
  <c r="R59" i="184"/>
  <c r="R93" i="184"/>
  <c r="R61" i="184"/>
  <c r="R52" i="184"/>
  <c r="R31" i="184"/>
  <c r="R53" i="184"/>
  <c r="R51" i="184"/>
  <c r="R65" i="184"/>
  <c r="R12" i="184"/>
  <c r="R50" i="184"/>
  <c r="N37" i="184"/>
  <c r="F76" i="184"/>
  <c r="F78" i="184" s="1"/>
  <c r="O25" i="184"/>
  <c r="P25" i="184"/>
  <c r="R3" i="184"/>
  <c r="R14" i="184"/>
  <c r="H70" i="184"/>
  <c r="G70" i="184"/>
  <c r="Q58" i="184"/>
  <c r="R58" i="184" s="1"/>
  <c r="L36" i="184"/>
  <c r="L37" i="184" s="1"/>
  <c r="R45" i="184"/>
  <c r="Q45" i="184"/>
  <c r="R29" i="184"/>
  <c r="H37" i="184"/>
  <c r="I37" i="184"/>
  <c r="D78" i="184"/>
  <c r="O76" i="184"/>
  <c r="R28" i="184"/>
  <c r="Q9" i="184"/>
  <c r="R9" i="184" s="1"/>
  <c r="O52" i="184"/>
  <c r="G76" i="184"/>
  <c r="G78" i="184" s="1"/>
  <c r="G25" i="184"/>
  <c r="G48" i="184" s="1"/>
  <c r="G2" i="184" s="1"/>
  <c r="G95" i="184" s="1"/>
  <c r="D48" i="184"/>
  <c r="D86" i="184"/>
  <c r="F86" i="184" s="1"/>
  <c r="G37" i="184"/>
  <c r="R64" i="184"/>
  <c r="P70" i="184"/>
  <c r="P78" i="184" s="1"/>
  <c r="J70" i="184"/>
  <c r="N70" i="184"/>
  <c r="R30" i="184"/>
  <c r="R54" i="184"/>
  <c r="R42" i="184"/>
  <c r="Q56" i="184"/>
  <c r="R56" i="184" s="1"/>
  <c r="R16" i="184"/>
  <c r="O37" i="184"/>
  <c r="P37" i="184"/>
  <c r="Q6" i="184"/>
  <c r="R6" i="184" s="1"/>
  <c r="R71" i="184"/>
  <c r="I76" i="184"/>
  <c r="M76" i="184"/>
  <c r="M78" i="184" s="1"/>
  <c r="M25" i="184"/>
  <c r="M48" i="184" s="1"/>
  <c r="M2" i="184" s="1"/>
  <c r="K25" i="184"/>
  <c r="K48" i="184" s="1"/>
  <c r="K2" i="184" s="1"/>
  <c r="K95" i="184" s="1"/>
  <c r="O50" i="184"/>
  <c r="Q57" i="184"/>
  <c r="R57" i="184" s="1"/>
  <c r="R46" i="184"/>
  <c r="O75" i="184"/>
  <c r="R75" i="184" s="1"/>
  <c r="O73" i="184"/>
  <c r="R73" i="184" s="1"/>
  <c r="H76" i="184"/>
  <c r="H78" i="184" s="1"/>
  <c r="I70" i="184"/>
  <c r="L70" i="184"/>
  <c r="L78" i="184" s="1"/>
  <c r="Q47" i="184"/>
  <c r="R47" i="184" s="1"/>
  <c r="Q13" i="184"/>
  <c r="R13" i="184" s="1"/>
  <c r="R44" i="184"/>
  <c r="F83" i="184"/>
  <c r="R83" i="184" s="1"/>
  <c r="Q26" i="184"/>
  <c r="R26" i="184" s="1"/>
  <c r="H92" i="184"/>
  <c r="F92" i="184"/>
  <c r="L92" i="184"/>
  <c r="K92" i="184"/>
  <c r="J92" i="184"/>
  <c r="I92" i="184"/>
  <c r="G92" i="184"/>
  <c r="R94" i="184"/>
  <c r="J76" i="184"/>
  <c r="N76" i="184"/>
  <c r="N25" i="184"/>
  <c r="N48" i="184" s="1"/>
  <c r="N2" i="184" s="1"/>
  <c r="F25" i="184"/>
  <c r="F48" i="184" s="1"/>
  <c r="F2" i="184" s="1"/>
  <c r="Q27" i="184"/>
  <c r="R27" i="184" s="1"/>
  <c r="K70" i="184"/>
  <c r="O72" i="184"/>
  <c r="R72" i="184" s="1"/>
  <c r="H25" i="184"/>
  <c r="H48" i="184" s="1"/>
  <c r="H2" i="184" s="1"/>
  <c r="H95" i="184" s="1"/>
  <c r="O49" i="184"/>
  <c r="F70" i="184"/>
  <c r="F37" i="184"/>
  <c r="K37" i="184"/>
  <c r="K76" i="184"/>
  <c r="K78" i="184" s="1"/>
  <c r="I25" i="184"/>
  <c r="I48" i="184" s="1"/>
  <c r="I2" i="184" s="1"/>
  <c r="I95" i="184" s="1"/>
  <c r="J25" i="184"/>
  <c r="J48" i="184" s="1"/>
  <c r="J2" i="184" s="1"/>
  <c r="J95" i="184" s="1"/>
  <c r="L25" i="184"/>
  <c r="R50" i="183"/>
  <c r="R31" i="183"/>
  <c r="R55" i="183"/>
  <c r="R5" i="183"/>
  <c r="R61" i="183"/>
  <c r="R57" i="183"/>
  <c r="R54" i="183"/>
  <c r="O48" i="183"/>
  <c r="I48" i="183"/>
  <c r="M48" i="183"/>
  <c r="M2" i="183" s="1"/>
  <c r="R26" i="183"/>
  <c r="R75" i="183"/>
  <c r="R8" i="183"/>
  <c r="L89" i="183"/>
  <c r="R89" i="183" s="1"/>
  <c r="R64" i="183"/>
  <c r="Q54" i="183"/>
  <c r="O74" i="183"/>
  <c r="R74" i="183" s="1"/>
  <c r="N37" i="183"/>
  <c r="N48" i="183" s="1"/>
  <c r="N2" i="183" s="1"/>
  <c r="J37" i="183"/>
  <c r="J48" i="183" s="1"/>
  <c r="J2" i="183" s="1"/>
  <c r="J95" i="183" s="1"/>
  <c r="O53" i="183"/>
  <c r="R53" i="183" s="1"/>
  <c r="F76" i="183"/>
  <c r="G76" i="183"/>
  <c r="G78" i="183" s="1"/>
  <c r="O75" i="183"/>
  <c r="F25" i="183"/>
  <c r="R52" i="183"/>
  <c r="K92" i="183"/>
  <c r="G92" i="183"/>
  <c r="L92" i="183"/>
  <c r="F92" i="183"/>
  <c r="J92" i="183"/>
  <c r="I92" i="183"/>
  <c r="H92" i="183"/>
  <c r="M37" i="183"/>
  <c r="R71" i="183"/>
  <c r="M76" i="183"/>
  <c r="O73" i="183"/>
  <c r="R73" i="183" s="1"/>
  <c r="L24" i="183"/>
  <c r="L25" i="183" s="1"/>
  <c r="L48" i="183" s="1"/>
  <c r="L2" i="183" s="1"/>
  <c r="L95" i="183" s="1"/>
  <c r="R47" i="183"/>
  <c r="Q47" i="183"/>
  <c r="Q31" i="183"/>
  <c r="Q14" i="183"/>
  <c r="R14" i="183" s="1"/>
  <c r="F70" i="183"/>
  <c r="R27" i="183"/>
  <c r="L70" i="183"/>
  <c r="N70" i="183"/>
  <c r="Q45" i="183"/>
  <c r="R45" i="183"/>
  <c r="D86" i="183"/>
  <c r="F86" i="183" s="1"/>
  <c r="I37" i="183"/>
  <c r="H76" i="183"/>
  <c r="H78" i="183" s="1"/>
  <c r="O66" i="183"/>
  <c r="R66" i="183" s="1"/>
  <c r="H70" i="183"/>
  <c r="G70" i="183"/>
  <c r="R51" i="183"/>
  <c r="R65" i="183"/>
  <c r="D78" i="183"/>
  <c r="R42" i="183"/>
  <c r="L88" i="183"/>
  <c r="O37" i="183"/>
  <c r="P37" i="183"/>
  <c r="P48" i="183" s="1"/>
  <c r="P2" i="183" s="1"/>
  <c r="P95" i="183" s="1"/>
  <c r="Q58" i="183"/>
  <c r="R58" i="183" s="1"/>
  <c r="L93" i="183"/>
  <c r="F93" i="183"/>
  <c r="Q93" i="183" s="1"/>
  <c r="N93" i="183"/>
  <c r="H93" i="183"/>
  <c r="J93" i="183"/>
  <c r="P93" i="183"/>
  <c r="K93" i="183"/>
  <c r="I93" i="183"/>
  <c r="G93" i="183"/>
  <c r="O93" i="183"/>
  <c r="M93" i="183"/>
  <c r="J76" i="183"/>
  <c r="I76" i="183"/>
  <c r="I78" i="183" s="1"/>
  <c r="R43" i="183"/>
  <c r="Q29" i="183"/>
  <c r="R29" i="183" s="1"/>
  <c r="O94" i="183"/>
  <c r="R94" i="183" s="1"/>
  <c r="I70" i="183"/>
  <c r="O49" i="183"/>
  <c r="O70" i="183" s="1"/>
  <c r="Q26" i="183"/>
  <c r="O72" i="183"/>
  <c r="R72" i="183" s="1"/>
  <c r="J70" i="183"/>
  <c r="G37" i="183"/>
  <c r="G48" i="183" s="1"/>
  <c r="G2" i="183" s="1"/>
  <c r="G95" i="183" s="1"/>
  <c r="L37" i="183"/>
  <c r="H37" i="183"/>
  <c r="H48" i="183" s="1"/>
  <c r="H2" i="183" s="1"/>
  <c r="H95" i="183" s="1"/>
  <c r="F37" i="183"/>
  <c r="Q7" i="183"/>
  <c r="R7" i="183" s="1"/>
  <c r="F83" i="183"/>
  <c r="R83" i="183" s="1"/>
  <c r="L76" i="183"/>
  <c r="L78" i="183" s="1"/>
  <c r="N76" i="183"/>
  <c r="M70" i="183"/>
  <c r="K70" i="183"/>
  <c r="K2" i="183" s="1"/>
  <c r="K95" i="183" s="1"/>
  <c r="O70" i="182"/>
  <c r="R31" i="182"/>
  <c r="R59" i="182"/>
  <c r="N48" i="182"/>
  <c r="N2" i="182" s="1"/>
  <c r="R51" i="182"/>
  <c r="H48" i="182"/>
  <c r="R7" i="182"/>
  <c r="R66" i="182"/>
  <c r="R57" i="182"/>
  <c r="O25" i="182"/>
  <c r="O48" i="182" s="1"/>
  <c r="R27" i="182"/>
  <c r="R52" i="182"/>
  <c r="M48" i="182"/>
  <c r="I48" i="182"/>
  <c r="I2" i="182" s="1"/>
  <c r="R32" i="182"/>
  <c r="R56" i="182"/>
  <c r="R8" i="182"/>
  <c r="P70" i="182"/>
  <c r="P78" i="182" s="1"/>
  <c r="F48" i="182"/>
  <c r="K70" i="182"/>
  <c r="N70" i="182"/>
  <c r="K78" i="182"/>
  <c r="I37" i="182"/>
  <c r="G92" i="182"/>
  <c r="L92" i="182"/>
  <c r="J92" i="182"/>
  <c r="F92" i="182"/>
  <c r="I92" i="182"/>
  <c r="H92" i="182"/>
  <c r="K92" i="182"/>
  <c r="R54" i="182"/>
  <c r="D86" i="182"/>
  <c r="F86" i="182" s="1"/>
  <c r="J70" i="182"/>
  <c r="J78" i="182" s="1"/>
  <c r="Q29" i="182"/>
  <c r="R29" i="182" s="1"/>
  <c r="Q61" i="182"/>
  <c r="R61" i="182" s="1"/>
  <c r="F37" i="182"/>
  <c r="R89" i="182"/>
  <c r="O64" i="182"/>
  <c r="R64" i="182" s="1"/>
  <c r="O73" i="182"/>
  <c r="R73" i="182" s="1"/>
  <c r="O53" i="182"/>
  <c r="R53" i="182" s="1"/>
  <c r="R17" i="182"/>
  <c r="R43" i="182"/>
  <c r="F76" i="182"/>
  <c r="R88" i="182"/>
  <c r="M70" i="182"/>
  <c r="H70" i="182"/>
  <c r="R33" i="182"/>
  <c r="Q10" i="182"/>
  <c r="R10" i="182" s="1"/>
  <c r="H76" i="182"/>
  <c r="R76" i="182" s="1"/>
  <c r="G78" i="182"/>
  <c r="N37" i="182"/>
  <c r="J37" i="182"/>
  <c r="J48" i="182" s="1"/>
  <c r="J2" i="182" s="1"/>
  <c r="J95" i="182" s="1"/>
  <c r="O52" i="182"/>
  <c r="Q47" i="182"/>
  <c r="R47" i="182" s="1"/>
  <c r="F83" i="182"/>
  <c r="R83" i="182" s="1"/>
  <c r="R12" i="182"/>
  <c r="I78" i="182"/>
  <c r="R49" i="182"/>
  <c r="R72" i="182"/>
  <c r="P37" i="182"/>
  <c r="P48" i="182" s="1"/>
  <c r="P2" i="182" s="1"/>
  <c r="P95" i="182" s="1"/>
  <c r="R46" i="182"/>
  <c r="R71" i="182"/>
  <c r="Q55" i="182"/>
  <c r="R55" i="182" s="1"/>
  <c r="Q59" i="182"/>
  <c r="Q57" i="182"/>
  <c r="K25" i="182"/>
  <c r="K48" i="182" s="1"/>
  <c r="F70" i="182"/>
  <c r="L70" i="182"/>
  <c r="L2" i="182" s="1"/>
  <c r="L95" i="182" s="1"/>
  <c r="R13" i="182"/>
  <c r="Q27" i="182"/>
  <c r="M76" i="182"/>
  <c r="M78" i="182" s="1"/>
  <c r="Q26" i="182"/>
  <c r="R26" i="182" s="1"/>
  <c r="R42" i="182"/>
  <c r="N93" i="182"/>
  <c r="H93" i="182"/>
  <c r="P93" i="182"/>
  <c r="I93" i="182"/>
  <c r="M93" i="182"/>
  <c r="F93" i="182"/>
  <c r="L93" i="182"/>
  <c r="O93" i="182"/>
  <c r="G93" i="182"/>
  <c r="Q93" i="182" s="1"/>
  <c r="K93" i="182"/>
  <c r="J93" i="182"/>
  <c r="D78" i="182"/>
  <c r="O76" i="182"/>
  <c r="O78" i="182" s="1"/>
  <c r="Q58" i="182"/>
  <c r="R58" i="182" s="1"/>
  <c r="N78" i="182"/>
  <c r="H37" i="182"/>
  <c r="Q25" i="182"/>
  <c r="D48" i="182"/>
  <c r="I70" i="182"/>
  <c r="G70" i="182"/>
  <c r="G37" i="182"/>
  <c r="G48" i="182" s="1"/>
  <c r="G2" i="182" s="1"/>
  <c r="G95" i="182" s="1"/>
  <c r="K37" i="182"/>
  <c r="M37" i="182"/>
  <c r="Q45" i="182"/>
  <c r="R45" i="182"/>
  <c r="R4" i="181"/>
  <c r="R9" i="181"/>
  <c r="R5" i="181"/>
  <c r="R30" i="181"/>
  <c r="N92" i="181"/>
  <c r="R92" i="181" s="1"/>
  <c r="F25" i="181"/>
  <c r="F48" i="181" s="1"/>
  <c r="F2" i="181" s="1"/>
  <c r="R36" i="181"/>
  <c r="Q45" i="181"/>
  <c r="R45" i="181" s="1"/>
  <c r="O72" i="181"/>
  <c r="R72" i="181" s="1"/>
  <c r="K37" i="181"/>
  <c r="R16" i="181"/>
  <c r="R65" i="181"/>
  <c r="P25" i="181"/>
  <c r="P48" i="181" s="1"/>
  <c r="P2" i="181" s="1"/>
  <c r="P95" i="181" s="1"/>
  <c r="M25" i="181"/>
  <c r="M48" i="181" s="1"/>
  <c r="F70" i="181"/>
  <c r="F78" i="181" s="1"/>
  <c r="G37" i="181"/>
  <c r="R50" i="181"/>
  <c r="R59" i="181"/>
  <c r="L88" i="181"/>
  <c r="J76" i="181"/>
  <c r="D48" i="181"/>
  <c r="H25" i="181"/>
  <c r="H48" i="181" s="1"/>
  <c r="H2" i="181" s="1"/>
  <c r="H95" i="181" s="1"/>
  <c r="H91" i="181" s="1"/>
  <c r="K25" i="181"/>
  <c r="K48" i="181" s="1"/>
  <c r="H70" i="181"/>
  <c r="J70" i="181"/>
  <c r="I37" i="181"/>
  <c r="G25" i="181"/>
  <c r="G48" i="181" s="1"/>
  <c r="K70" i="181"/>
  <c r="F37" i="181"/>
  <c r="Q37" i="181" s="1"/>
  <c r="N62" i="181"/>
  <c r="N70" i="181" s="1"/>
  <c r="N78" i="181" s="1"/>
  <c r="Q5" i="181"/>
  <c r="G78" i="181"/>
  <c r="R6" i="181"/>
  <c r="N93" i="181"/>
  <c r="H93" i="181"/>
  <c r="L93" i="181"/>
  <c r="P93" i="181"/>
  <c r="G93" i="181"/>
  <c r="K93" i="181"/>
  <c r="F93" i="181"/>
  <c r="O93" i="181"/>
  <c r="M93" i="181"/>
  <c r="J93" i="181"/>
  <c r="I93" i="181"/>
  <c r="N25" i="181"/>
  <c r="N48" i="181" s="1"/>
  <c r="R3" i="181"/>
  <c r="Q3" i="181"/>
  <c r="L70" i="181"/>
  <c r="L78" i="181" s="1"/>
  <c r="R49" i="181"/>
  <c r="J37" i="181"/>
  <c r="R57" i="181"/>
  <c r="F83" i="181"/>
  <c r="R83" i="181" s="1"/>
  <c r="Q33" i="181"/>
  <c r="R33" i="181" s="1"/>
  <c r="H76" i="181"/>
  <c r="H78" i="181" s="1"/>
  <c r="R32" i="181"/>
  <c r="O25" i="181"/>
  <c r="O48" i="181" s="1"/>
  <c r="I25" i="181"/>
  <c r="I70" i="181"/>
  <c r="I78" i="181" s="1"/>
  <c r="G70" i="181"/>
  <c r="O37" i="181"/>
  <c r="L37" i="181"/>
  <c r="D78" i="181"/>
  <c r="D86" i="181"/>
  <c r="F86" i="181" s="1"/>
  <c r="K76" i="181"/>
  <c r="K78" i="181" s="1"/>
  <c r="L90" i="181"/>
  <c r="R90" i="181" s="1"/>
  <c r="J25" i="181"/>
  <c r="J48" i="181" s="1"/>
  <c r="J2" i="181" s="1"/>
  <c r="J95" i="181" s="1"/>
  <c r="J91" i="181" s="1"/>
  <c r="L25" i="181"/>
  <c r="L48" i="181" s="1"/>
  <c r="M70" i="181"/>
  <c r="M78" i="181" s="1"/>
  <c r="O49" i="181"/>
  <c r="O70" i="181" s="1"/>
  <c r="R27" i="181"/>
  <c r="Q27" i="181"/>
  <c r="O76" i="181"/>
  <c r="O78" i="181" s="1"/>
  <c r="G2" i="180"/>
  <c r="G95" i="180" s="1"/>
  <c r="J2" i="180"/>
  <c r="J95" i="180" s="1"/>
  <c r="J91" i="180" s="1"/>
  <c r="M95" i="180"/>
  <c r="R75" i="180"/>
  <c r="R93" i="180"/>
  <c r="L76" i="180"/>
  <c r="L78" i="180" s="1"/>
  <c r="N92" i="180"/>
  <c r="R92" i="180" s="1"/>
  <c r="K91" i="180"/>
  <c r="D48" i="180"/>
  <c r="Q14" i="180"/>
  <c r="R14" i="180" s="1"/>
  <c r="R79" i="180"/>
  <c r="R77" i="180"/>
  <c r="O72" i="180"/>
  <c r="R72" i="180" s="1"/>
  <c r="N76" i="180"/>
  <c r="N78" i="180" s="1"/>
  <c r="R88" i="180"/>
  <c r="P70" i="180"/>
  <c r="P78" i="180" s="1"/>
  <c r="L37" i="180"/>
  <c r="L48" i="180" s="1"/>
  <c r="L2" i="180" s="1"/>
  <c r="L95" i="180" s="1"/>
  <c r="L91" i="180" s="1"/>
  <c r="L109" i="180" s="1"/>
  <c r="R83" i="180"/>
  <c r="Q47" i="180"/>
  <c r="R47" i="180" s="1"/>
  <c r="M92" i="180"/>
  <c r="R45" i="180"/>
  <c r="Q45" i="180"/>
  <c r="P91" i="180"/>
  <c r="I48" i="180"/>
  <c r="I2" i="180" s="1"/>
  <c r="I95" i="180" s="1"/>
  <c r="I91" i="180" s="1"/>
  <c r="H76" i="180"/>
  <c r="H2" i="180" s="1"/>
  <c r="H95" i="180" s="1"/>
  <c r="H91" i="180" s="1"/>
  <c r="G78" i="180"/>
  <c r="D86" i="180"/>
  <c r="F86" i="180" s="1"/>
  <c r="Q37" i="180"/>
  <c r="R37" i="180" s="1"/>
  <c r="R51" i="180"/>
  <c r="K78" i="180"/>
  <c r="Q55" i="180"/>
  <c r="R55" i="180" s="1"/>
  <c r="M78" i="180"/>
  <c r="L88" i="180"/>
  <c r="O70" i="180"/>
  <c r="R54" i="180"/>
  <c r="F70" i="180"/>
  <c r="J78" i="180"/>
  <c r="R16" i="180"/>
  <c r="I76" i="180"/>
  <c r="I78" i="180" s="1"/>
  <c r="F48" i="180"/>
  <c r="F2" i="180" s="1"/>
  <c r="G91" i="180"/>
  <c r="R42" i="180"/>
  <c r="R43" i="180"/>
  <c r="P25" i="180"/>
  <c r="P48" i="180" s="1"/>
  <c r="P2" i="180" s="1"/>
  <c r="P95" i="180" s="1"/>
  <c r="R54" i="179"/>
  <c r="R14" i="179"/>
  <c r="R13" i="179"/>
  <c r="R93" i="179"/>
  <c r="R56" i="179"/>
  <c r="R55" i="179"/>
  <c r="R66" i="179"/>
  <c r="R12" i="179"/>
  <c r="P70" i="179"/>
  <c r="P78" i="179" s="1"/>
  <c r="R64" i="179"/>
  <c r="N25" i="179"/>
  <c r="O25" i="179"/>
  <c r="O48" i="179" s="1"/>
  <c r="J76" i="179"/>
  <c r="F37" i="179"/>
  <c r="F48" i="179" s="1"/>
  <c r="F2" i="179" s="1"/>
  <c r="R26" i="179"/>
  <c r="F70" i="179"/>
  <c r="R61" i="179"/>
  <c r="L36" i="179"/>
  <c r="R36" i="179" s="1"/>
  <c r="R75" i="179"/>
  <c r="Q47" i="179"/>
  <c r="R47" i="179" s="1"/>
  <c r="Q54" i="179"/>
  <c r="D48" i="179"/>
  <c r="Q25" i="179"/>
  <c r="I25" i="179"/>
  <c r="N76" i="179"/>
  <c r="N78" i="179" s="1"/>
  <c r="I76" i="179"/>
  <c r="Q26" i="179"/>
  <c r="H37" i="179"/>
  <c r="H70" i="179"/>
  <c r="N70" i="179"/>
  <c r="R83" i="179"/>
  <c r="R57" i="179"/>
  <c r="R89" i="179"/>
  <c r="Q16" i="179"/>
  <c r="R16" i="179" s="1"/>
  <c r="K76" i="179"/>
  <c r="K78" i="179" s="1"/>
  <c r="G25" i="179"/>
  <c r="G48" i="179" s="1"/>
  <c r="K25" i="179"/>
  <c r="Q14" i="179"/>
  <c r="O49" i="179"/>
  <c r="O70" i="179" s="1"/>
  <c r="R51" i="179"/>
  <c r="L25" i="179"/>
  <c r="Q3" i="179"/>
  <c r="R3" i="179" s="1"/>
  <c r="L76" i="179"/>
  <c r="M76" i="179"/>
  <c r="M78" i="179" s="1"/>
  <c r="N37" i="179"/>
  <c r="I37" i="179"/>
  <c r="L70" i="179"/>
  <c r="Q45" i="179"/>
  <c r="R45" i="179"/>
  <c r="D86" i="179"/>
  <c r="F86" i="179" s="1"/>
  <c r="R77" i="179"/>
  <c r="R59" i="179"/>
  <c r="R46" i="179"/>
  <c r="D78" i="179"/>
  <c r="D109" i="179"/>
  <c r="O72" i="179"/>
  <c r="R72" i="179" s="1"/>
  <c r="G76" i="179"/>
  <c r="G78" i="179" s="1"/>
  <c r="M37" i="179"/>
  <c r="R73" i="179"/>
  <c r="M25" i="179"/>
  <c r="M48" i="179" s="1"/>
  <c r="M2" i="179" s="1"/>
  <c r="H25" i="179"/>
  <c r="H76" i="179"/>
  <c r="K37" i="179"/>
  <c r="P37" i="179"/>
  <c r="P48" i="179" s="1"/>
  <c r="P2" i="179" s="1"/>
  <c r="P95" i="179" s="1"/>
  <c r="P91" i="179" s="1"/>
  <c r="I70" i="179"/>
  <c r="J70" i="179"/>
  <c r="J2" i="179" s="1"/>
  <c r="J95" i="179" s="1"/>
  <c r="F83" i="179"/>
  <c r="R42" i="179"/>
  <c r="R44" i="179"/>
  <c r="G92" i="179"/>
  <c r="J92" i="179"/>
  <c r="K92" i="179"/>
  <c r="I92" i="179"/>
  <c r="F92" i="179"/>
  <c r="L92" i="179"/>
  <c r="H92" i="179"/>
  <c r="F76" i="179"/>
  <c r="R12" i="178"/>
  <c r="R26" i="178"/>
  <c r="I48" i="178"/>
  <c r="R53" i="178"/>
  <c r="R16" i="178"/>
  <c r="R29" i="178"/>
  <c r="R5" i="178"/>
  <c r="R32" i="178"/>
  <c r="R50" i="178"/>
  <c r="G48" i="178"/>
  <c r="R7" i="178"/>
  <c r="R58" i="178"/>
  <c r="R66" i="178"/>
  <c r="R65" i="178"/>
  <c r="H78" i="178"/>
  <c r="R31" i="178"/>
  <c r="F25" i="178"/>
  <c r="N70" i="178"/>
  <c r="O12" i="178"/>
  <c r="O25" i="178" s="1"/>
  <c r="O48" i="178" s="1"/>
  <c r="R15" i="178"/>
  <c r="N76" i="178"/>
  <c r="N78" i="178" s="1"/>
  <c r="R44" i="178"/>
  <c r="O51" i="178"/>
  <c r="R51" i="178" s="1"/>
  <c r="F70" i="178"/>
  <c r="F78" i="178" s="1"/>
  <c r="R83" i="178"/>
  <c r="Q26" i="178"/>
  <c r="H37" i="178"/>
  <c r="R54" i="178"/>
  <c r="L36" i="178"/>
  <c r="R36" i="178" s="1"/>
  <c r="I76" i="178"/>
  <c r="Q58" i="178"/>
  <c r="O53" i="178"/>
  <c r="R94" i="178"/>
  <c r="R13" i="178"/>
  <c r="R64" i="178"/>
  <c r="D78" i="178"/>
  <c r="O74" i="178"/>
  <c r="R74" i="178" s="1"/>
  <c r="Q55" i="178"/>
  <c r="R55" i="178" s="1"/>
  <c r="Q56" i="178"/>
  <c r="R56" i="178" s="1"/>
  <c r="G37" i="178"/>
  <c r="K70" i="178"/>
  <c r="K78" i="178" s="1"/>
  <c r="D86" i="178"/>
  <c r="F86" i="178" s="1"/>
  <c r="R27" i="178"/>
  <c r="R43" i="178"/>
  <c r="R14" i="178"/>
  <c r="R71" i="178"/>
  <c r="L93" i="178"/>
  <c r="F93" i="178"/>
  <c r="Q93" i="178" s="1"/>
  <c r="K93" i="178"/>
  <c r="P93" i="178"/>
  <c r="J93" i="178"/>
  <c r="O93" i="178"/>
  <c r="I93" i="178"/>
  <c r="N93" i="178"/>
  <c r="H93" i="178"/>
  <c r="G93" i="178"/>
  <c r="M93" i="178"/>
  <c r="I70" i="178"/>
  <c r="L70" i="178"/>
  <c r="F83" i="178"/>
  <c r="R4" i="178"/>
  <c r="P37" i="178"/>
  <c r="P48" i="178" s="1"/>
  <c r="P2" i="178" s="1"/>
  <c r="P95" i="178" s="1"/>
  <c r="P70" i="178"/>
  <c r="P78" i="178" s="1"/>
  <c r="L76" i="178"/>
  <c r="L78" i="178" s="1"/>
  <c r="Q7" i="178"/>
  <c r="O66" i="178"/>
  <c r="R46" i="178"/>
  <c r="R33" i="178"/>
  <c r="Q9" i="178"/>
  <c r="R9" i="178" s="1"/>
  <c r="O73" i="178"/>
  <c r="R73" i="178" s="1"/>
  <c r="O50" i="178"/>
  <c r="Q47" i="178"/>
  <c r="R47" i="178" s="1"/>
  <c r="K92" i="178"/>
  <c r="J92" i="178"/>
  <c r="I92" i="178"/>
  <c r="H92" i="178"/>
  <c r="G92" i="178"/>
  <c r="L92" i="178"/>
  <c r="F92" i="178"/>
  <c r="O49" i="178"/>
  <c r="O70" i="178" s="1"/>
  <c r="G70" i="178"/>
  <c r="I37" i="178"/>
  <c r="F37" i="178"/>
  <c r="Q6" i="178"/>
  <c r="R6" i="178" s="1"/>
  <c r="Q45" i="178"/>
  <c r="R45" i="178" s="1"/>
  <c r="G76" i="178"/>
  <c r="G78" i="178" s="1"/>
  <c r="J76" i="178"/>
  <c r="H25" i="178"/>
  <c r="H48" i="178" s="1"/>
  <c r="H2" i="178" s="1"/>
  <c r="J70" i="178"/>
  <c r="M70" i="178"/>
  <c r="M2" i="178" s="1"/>
  <c r="J37" i="178"/>
  <c r="N37" i="178"/>
  <c r="N48" i="178" s="1"/>
  <c r="N2" i="178" s="1"/>
  <c r="L90" i="178"/>
  <c r="R90" i="178" s="1"/>
  <c r="Q27" i="178"/>
  <c r="M76" i="178"/>
  <c r="R72" i="178"/>
  <c r="R59" i="177"/>
  <c r="R65" i="177"/>
  <c r="R66" i="177"/>
  <c r="R14" i="177"/>
  <c r="R69" i="177"/>
  <c r="R74" i="177"/>
  <c r="R5" i="177"/>
  <c r="R64" i="177"/>
  <c r="R75" i="177"/>
  <c r="R16" i="177"/>
  <c r="R30" i="177"/>
  <c r="R51" i="177"/>
  <c r="J48" i="177"/>
  <c r="J2" i="177" s="1"/>
  <c r="J95" i="177" s="1"/>
  <c r="R33" i="177"/>
  <c r="I70" i="177"/>
  <c r="R79" i="177"/>
  <c r="H70" i="177"/>
  <c r="H78" i="177" s="1"/>
  <c r="I37" i="177"/>
  <c r="R45" i="177"/>
  <c r="Q45" i="177"/>
  <c r="R83" i="177"/>
  <c r="I76" i="177"/>
  <c r="I78" i="177" s="1"/>
  <c r="M25" i="177"/>
  <c r="M48" i="177" s="1"/>
  <c r="K70" i="177"/>
  <c r="N37" i="177"/>
  <c r="R37" i="177" s="1"/>
  <c r="D86" i="177"/>
  <c r="F86" i="177" s="1"/>
  <c r="K76" i="177"/>
  <c r="R72" i="177"/>
  <c r="L25" i="177"/>
  <c r="L48" i="177" s="1"/>
  <c r="I25" i="177"/>
  <c r="K25" i="177"/>
  <c r="R53" i="177"/>
  <c r="F76" i="177"/>
  <c r="F78" i="177" s="1"/>
  <c r="N70" i="177"/>
  <c r="Q16" i="177"/>
  <c r="O51" i="177"/>
  <c r="O37" i="177"/>
  <c r="H37" i="177"/>
  <c r="Q4" i="177"/>
  <c r="R4" i="177" s="1"/>
  <c r="O73" i="177"/>
  <c r="R73" i="177" s="1"/>
  <c r="Q10" i="177"/>
  <c r="R10" i="177" s="1"/>
  <c r="R12" i="177"/>
  <c r="G70" i="177"/>
  <c r="M37" i="177"/>
  <c r="L76" i="177"/>
  <c r="R57" i="177"/>
  <c r="L70" i="177"/>
  <c r="R70" i="177" s="1"/>
  <c r="J37" i="177"/>
  <c r="G37" i="177"/>
  <c r="R32" i="177"/>
  <c r="P70" i="177"/>
  <c r="P78" i="177" s="1"/>
  <c r="R46" i="177"/>
  <c r="O75" i="177"/>
  <c r="N76" i="177"/>
  <c r="O25" i="177"/>
  <c r="O48" i="177" s="1"/>
  <c r="M70" i="177"/>
  <c r="M78" i="177" s="1"/>
  <c r="R26" i="177"/>
  <c r="L37" i="177"/>
  <c r="R9" i="177"/>
  <c r="J76" i="177"/>
  <c r="J78" i="177" s="1"/>
  <c r="Q55" i="177"/>
  <c r="R55" i="177" s="1"/>
  <c r="R31" i="177"/>
  <c r="F25" i="177"/>
  <c r="P25" i="177"/>
  <c r="Q3" i="177"/>
  <c r="R3" i="177" s="1"/>
  <c r="D78" i="177"/>
  <c r="O76" i="177"/>
  <c r="O78" i="177" s="1"/>
  <c r="F70" i="177"/>
  <c r="Q70" i="177" s="1"/>
  <c r="Q78" i="177" s="1"/>
  <c r="J70" i="177"/>
  <c r="R50" i="177"/>
  <c r="F37" i="177"/>
  <c r="Q37" i="177"/>
  <c r="L69" i="177"/>
  <c r="N25" i="177"/>
  <c r="R88" i="177"/>
  <c r="H25" i="177"/>
  <c r="H48" i="177" s="1"/>
  <c r="H2" i="177" s="1"/>
  <c r="H95" i="177" s="1"/>
  <c r="H91" i="177" s="1"/>
  <c r="N93" i="177"/>
  <c r="H93" i="177"/>
  <c r="L93" i="177"/>
  <c r="P93" i="177"/>
  <c r="G93" i="177"/>
  <c r="G91" i="177" s="1"/>
  <c r="O93" i="177"/>
  <c r="F93" i="177"/>
  <c r="K93" i="177"/>
  <c r="J93" i="177"/>
  <c r="J91" i="177" s="1"/>
  <c r="M93" i="177"/>
  <c r="I93" i="177"/>
  <c r="Q47" i="177"/>
  <c r="R47" i="177"/>
  <c r="G76" i="177"/>
  <c r="G78" i="177" s="1"/>
  <c r="G25" i="177"/>
  <c r="G48" i="177" s="1"/>
  <c r="G2" i="177" s="1"/>
  <c r="G95" i="177" s="1"/>
  <c r="D48" i="177"/>
  <c r="Q56" i="177"/>
  <c r="R56" i="177" s="1"/>
  <c r="O49" i="177"/>
  <c r="O70" i="177" s="1"/>
  <c r="R49" i="177"/>
  <c r="P37" i="177"/>
  <c r="K37" i="177"/>
  <c r="M92" i="177"/>
  <c r="H48" i="176"/>
  <c r="H2" i="176" s="1"/>
  <c r="H95" i="176" s="1"/>
  <c r="R58" i="176"/>
  <c r="R52" i="176"/>
  <c r="R65" i="176"/>
  <c r="R59" i="176"/>
  <c r="R50" i="176"/>
  <c r="O25" i="176"/>
  <c r="R54" i="176"/>
  <c r="R12" i="176"/>
  <c r="R33" i="176"/>
  <c r="R75" i="176"/>
  <c r="I48" i="176"/>
  <c r="R29" i="176"/>
  <c r="R16" i="176"/>
  <c r="R93" i="176"/>
  <c r="K92" i="176"/>
  <c r="G92" i="176"/>
  <c r="L92" i="176"/>
  <c r="I92" i="176"/>
  <c r="F92" i="176"/>
  <c r="J92" i="176"/>
  <c r="H92" i="176"/>
  <c r="O37" i="176"/>
  <c r="I76" i="176"/>
  <c r="I78" i="176" s="1"/>
  <c r="H70" i="176"/>
  <c r="J70" i="176"/>
  <c r="R64" i="176"/>
  <c r="Q55" i="176"/>
  <c r="R55" i="176" s="1"/>
  <c r="R7" i="176"/>
  <c r="R6" i="176"/>
  <c r="R42" i="176"/>
  <c r="O76" i="176"/>
  <c r="D78" i="176"/>
  <c r="O65" i="176"/>
  <c r="R56" i="176"/>
  <c r="R74" i="176"/>
  <c r="R46" i="176"/>
  <c r="F83" i="176"/>
  <c r="R83" i="176" s="1"/>
  <c r="Q14" i="176"/>
  <c r="R14" i="176" s="1"/>
  <c r="I37" i="176"/>
  <c r="L76" i="176"/>
  <c r="L78" i="176" s="1"/>
  <c r="Q57" i="176"/>
  <c r="R57" i="176" s="1"/>
  <c r="I70" i="176"/>
  <c r="Q4" i="176"/>
  <c r="R4" i="176" s="1"/>
  <c r="R9" i="176"/>
  <c r="R66" i="176"/>
  <c r="Q45" i="176"/>
  <c r="R45" i="176"/>
  <c r="D109" i="176"/>
  <c r="R47" i="176"/>
  <c r="Q47" i="176"/>
  <c r="R79" i="176"/>
  <c r="F37" i="176"/>
  <c r="F48" i="176" s="1"/>
  <c r="F2" i="176" s="1"/>
  <c r="Q26" i="176"/>
  <c r="R26" i="176" s="1"/>
  <c r="H76" i="176"/>
  <c r="H78" i="176" s="1"/>
  <c r="N76" i="176"/>
  <c r="R30" i="176"/>
  <c r="R94" i="176"/>
  <c r="O70" i="176"/>
  <c r="F76" i="176"/>
  <c r="F70" i="176"/>
  <c r="G70" i="176"/>
  <c r="G37" i="176"/>
  <c r="G48" i="176" s="1"/>
  <c r="G2" i="176" s="1"/>
  <c r="G95" i="176" s="1"/>
  <c r="R32" i="176"/>
  <c r="O73" i="176"/>
  <c r="R73" i="176" s="1"/>
  <c r="O52" i="176"/>
  <c r="Q17" i="176"/>
  <c r="R17" i="176" s="1"/>
  <c r="O50" i="176"/>
  <c r="K37" i="176"/>
  <c r="K48" i="176" s="1"/>
  <c r="K2" i="176" s="1"/>
  <c r="K95" i="176" s="1"/>
  <c r="J37" i="176"/>
  <c r="J48" i="176" s="1"/>
  <c r="J2" i="176" s="1"/>
  <c r="J95" i="176" s="1"/>
  <c r="O72" i="176"/>
  <c r="R72" i="176" s="1"/>
  <c r="J78" i="176"/>
  <c r="Q29" i="176"/>
  <c r="L36" i="176"/>
  <c r="R36" i="176" s="1"/>
  <c r="P37" i="176"/>
  <c r="P48" i="176" s="1"/>
  <c r="P2" i="176" s="1"/>
  <c r="P95" i="176" s="1"/>
  <c r="P91" i="176" s="1"/>
  <c r="K76" i="176"/>
  <c r="K78" i="176" s="1"/>
  <c r="D86" i="176"/>
  <c r="F86" i="176" s="1"/>
  <c r="K70" i="176"/>
  <c r="N70" i="176"/>
  <c r="N25" i="176"/>
  <c r="N48" i="176" s="1"/>
  <c r="N2" i="176" s="1"/>
  <c r="P70" i="176"/>
  <c r="P78" i="176" s="1"/>
  <c r="L90" i="176"/>
  <c r="R90" i="176" s="1"/>
  <c r="M37" i="176"/>
  <c r="M48" i="176" s="1"/>
  <c r="M2" i="176" s="1"/>
  <c r="H37" i="176"/>
  <c r="G76" i="176"/>
  <c r="G78" i="176" s="1"/>
  <c r="D48" i="176"/>
  <c r="R13" i="175"/>
  <c r="R50" i="175"/>
  <c r="R54" i="175"/>
  <c r="R28" i="175"/>
  <c r="R10" i="175"/>
  <c r="R6" i="175"/>
  <c r="R66" i="175"/>
  <c r="R33" i="175"/>
  <c r="R65" i="175"/>
  <c r="R69" i="175"/>
  <c r="R14" i="175"/>
  <c r="N92" i="175"/>
  <c r="R73" i="175"/>
  <c r="R4" i="175"/>
  <c r="R29" i="175"/>
  <c r="H76" i="175"/>
  <c r="R74" i="175"/>
  <c r="L25" i="175"/>
  <c r="L48" i="175" s="1"/>
  <c r="J48" i="175"/>
  <c r="G37" i="175"/>
  <c r="R27" i="175"/>
  <c r="J37" i="175"/>
  <c r="L70" i="175"/>
  <c r="L78" i="175" s="1"/>
  <c r="J76" i="175"/>
  <c r="N76" i="175"/>
  <c r="N78" i="175" s="1"/>
  <c r="O53" i="175"/>
  <c r="R53" i="175" s="1"/>
  <c r="L69" i="175"/>
  <c r="O12" i="175"/>
  <c r="O25" i="175" s="1"/>
  <c r="F83" i="175"/>
  <c r="R83" i="175" s="1"/>
  <c r="O50" i="175"/>
  <c r="R57" i="175"/>
  <c r="F25" i="175"/>
  <c r="Q3" i="175"/>
  <c r="R52" i="175"/>
  <c r="R47" i="175"/>
  <c r="Q47" i="175"/>
  <c r="P37" i="175"/>
  <c r="O37" i="175"/>
  <c r="G70" i="175"/>
  <c r="F70" i="175"/>
  <c r="R89" i="175"/>
  <c r="D78" i="175"/>
  <c r="I76" i="175"/>
  <c r="I78" i="175" s="1"/>
  <c r="K76" i="175"/>
  <c r="Q4" i="175"/>
  <c r="R31" i="175"/>
  <c r="Q29" i="175"/>
  <c r="R79" i="175"/>
  <c r="N25" i="175"/>
  <c r="N48" i="175" s="1"/>
  <c r="N2" i="175" s="1"/>
  <c r="N95" i="175" s="1"/>
  <c r="K25" i="175"/>
  <c r="K48" i="175" s="1"/>
  <c r="R59" i="175"/>
  <c r="O94" i="175"/>
  <c r="R94" i="175" s="1"/>
  <c r="D109" i="175"/>
  <c r="H37" i="175"/>
  <c r="M37" i="175"/>
  <c r="O66" i="175"/>
  <c r="H70" i="175"/>
  <c r="M70" i="175"/>
  <c r="Q13" i="175"/>
  <c r="F76" i="175"/>
  <c r="F78" i="175" s="1"/>
  <c r="O72" i="175"/>
  <c r="R72" i="175" s="1"/>
  <c r="R43" i="175"/>
  <c r="R36" i="175"/>
  <c r="I25" i="175"/>
  <c r="H25" i="175"/>
  <c r="G25" i="175"/>
  <c r="G48" i="175" s="1"/>
  <c r="G2" i="175" s="1"/>
  <c r="G95" i="175" s="1"/>
  <c r="G91" i="175" s="1"/>
  <c r="R61" i="175"/>
  <c r="Q28" i="175"/>
  <c r="Q58" i="175"/>
  <c r="R58" i="175" s="1"/>
  <c r="F37" i="175"/>
  <c r="R37" i="175" s="1"/>
  <c r="J70" i="175"/>
  <c r="R64" i="175"/>
  <c r="Q45" i="175"/>
  <c r="R45" i="175" s="1"/>
  <c r="D86" i="175"/>
  <c r="F86" i="175" s="1"/>
  <c r="L88" i="175"/>
  <c r="M92" i="175"/>
  <c r="Q7" i="175"/>
  <c r="R7" i="175" s="1"/>
  <c r="P25" i="175"/>
  <c r="P48" i="175" s="1"/>
  <c r="P2" i="175" s="1"/>
  <c r="P95" i="175" s="1"/>
  <c r="P91" i="175" s="1"/>
  <c r="M25" i="175"/>
  <c r="I37" i="175"/>
  <c r="Q37" i="175" s="1"/>
  <c r="N37" i="175"/>
  <c r="I70" i="175"/>
  <c r="R49" i="175"/>
  <c r="R71" i="175"/>
  <c r="G78" i="175"/>
  <c r="R42" i="175"/>
  <c r="P70" i="175"/>
  <c r="P78" i="175" s="1"/>
  <c r="M76" i="175"/>
  <c r="R3" i="175"/>
  <c r="D48" i="175"/>
  <c r="L37" i="175"/>
  <c r="R46" i="175"/>
  <c r="R26" i="175"/>
  <c r="N70" i="175"/>
  <c r="K70" i="175"/>
  <c r="R4" i="174"/>
  <c r="R31" i="174"/>
  <c r="R57" i="174"/>
  <c r="R61" i="174"/>
  <c r="R10" i="174"/>
  <c r="R66" i="174"/>
  <c r="R13" i="174"/>
  <c r="R56" i="174"/>
  <c r="R69" i="174"/>
  <c r="R32" i="174"/>
  <c r="R6" i="174"/>
  <c r="K2" i="174"/>
  <c r="I78" i="174"/>
  <c r="Q8" i="174"/>
  <c r="R8" i="174" s="1"/>
  <c r="I70" i="174"/>
  <c r="Q10" i="174"/>
  <c r="K78" i="174"/>
  <c r="R64" i="174"/>
  <c r="N70" i="174"/>
  <c r="K70" i="174"/>
  <c r="N37" i="174"/>
  <c r="I37" i="174"/>
  <c r="Q27" i="174"/>
  <c r="R27" i="174" s="1"/>
  <c r="P25" i="174"/>
  <c r="P48" i="174" s="1"/>
  <c r="P2" i="174" s="1"/>
  <c r="P95" i="174" s="1"/>
  <c r="F25" i="174"/>
  <c r="F48" i="174" s="1"/>
  <c r="R9" i="174"/>
  <c r="R46" i="174"/>
  <c r="O52" i="174"/>
  <c r="R52" i="174" s="1"/>
  <c r="O65" i="174"/>
  <c r="R65" i="174" s="1"/>
  <c r="G76" i="174"/>
  <c r="G78" i="174" s="1"/>
  <c r="Q5" i="174"/>
  <c r="R5" i="174" s="1"/>
  <c r="L69" i="174"/>
  <c r="R30" i="174"/>
  <c r="O12" i="174"/>
  <c r="R12" i="174" s="1"/>
  <c r="P37" i="174"/>
  <c r="Q4" i="174"/>
  <c r="L70" i="174"/>
  <c r="F83" i="174"/>
  <c r="R83" i="174" s="1"/>
  <c r="N25" i="174"/>
  <c r="N48" i="174" s="1"/>
  <c r="N2" i="174" s="1"/>
  <c r="R47" i="174"/>
  <c r="Q47" i="174"/>
  <c r="R53" i="174"/>
  <c r="R29" i="174"/>
  <c r="H76" i="174"/>
  <c r="H78" i="174" s="1"/>
  <c r="Q57" i="174"/>
  <c r="Q61" i="174"/>
  <c r="Q7" i="174"/>
  <c r="R7" i="174" s="1"/>
  <c r="O72" i="174"/>
  <c r="R72" i="174" s="1"/>
  <c r="M25" i="174"/>
  <c r="M48" i="174" s="1"/>
  <c r="F37" i="174"/>
  <c r="Q16" i="174"/>
  <c r="R16" i="174" s="1"/>
  <c r="G37" i="174"/>
  <c r="R37" i="174" s="1"/>
  <c r="D48" i="174"/>
  <c r="Q14" i="174"/>
  <c r="R14" i="174" s="1"/>
  <c r="N93" i="174"/>
  <c r="H93" i="174"/>
  <c r="M93" i="174"/>
  <c r="F93" i="174"/>
  <c r="I93" i="174"/>
  <c r="L93" i="174"/>
  <c r="L91" i="174" s="1"/>
  <c r="K93" i="174"/>
  <c r="G93" i="174"/>
  <c r="P93" i="174"/>
  <c r="O93" i="174"/>
  <c r="J93" i="174"/>
  <c r="R59" i="174"/>
  <c r="F70" i="174"/>
  <c r="J70" i="174"/>
  <c r="O37" i="174"/>
  <c r="J37" i="174"/>
  <c r="R36" i="174"/>
  <c r="Q58" i="174"/>
  <c r="R58" i="174" s="1"/>
  <c r="R79" i="174"/>
  <c r="G25" i="174"/>
  <c r="J25" i="174"/>
  <c r="R42" i="174"/>
  <c r="D78" i="174"/>
  <c r="L76" i="174"/>
  <c r="L37" i="174"/>
  <c r="M70" i="174"/>
  <c r="M78" i="174" s="1"/>
  <c r="I25" i="174"/>
  <c r="D86" i="174"/>
  <c r="F86" i="174" s="1"/>
  <c r="O49" i="174"/>
  <c r="O70" i="174" s="1"/>
  <c r="L25" i="174"/>
  <c r="L48" i="174" s="1"/>
  <c r="L2" i="174" s="1"/>
  <c r="L95" i="174" s="1"/>
  <c r="Q37" i="174"/>
  <c r="R26" i="174"/>
  <c r="H25" i="174"/>
  <c r="H48" i="174" s="1"/>
  <c r="Q3" i="174"/>
  <c r="R3" i="174" s="1"/>
  <c r="Q45" i="174"/>
  <c r="R45" i="174"/>
  <c r="R44" i="174"/>
  <c r="J76" i="174"/>
  <c r="J78" i="174" s="1"/>
  <c r="N76" i="174"/>
  <c r="M92" i="174"/>
  <c r="R89" i="173"/>
  <c r="R55" i="173"/>
  <c r="N78" i="173"/>
  <c r="R32" i="173"/>
  <c r="L48" i="173"/>
  <c r="L2" i="173" s="1"/>
  <c r="N48" i="173"/>
  <c r="N2" i="173" s="1"/>
  <c r="L78" i="173"/>
  <c r="I78" i="173"/>
  <c r="G78" i="173"/>
  <c r="Q25" i="173"/>
  <c r="D48" i="173"/>
  <c r="L89" i="173"/>
  <c r="R29" i="173"/>
  <c r="F2" i="173"/>
  <c r="R59" i="173"/>
  <c r="F76" i="173"/>
  <c r="J78" i="173"/>
  <c r="N37" i="173"/>
  <c r="Q47" i="173"/>
  <c r="R47" i="173" s="1"/>
  <c r="Q32" i="173"/>
  <c r="F83" i="173"/>
  <c r="P37" i="173"/>
  <c r="P48" i="173" s="1"/>
  <c r="P2" i="173" s="1"/>
  <c r="P95" i="173" s="1"/>
  <c r="G48" i="173"/>
  <c r="G2" i="173" s="1"/>
  <c r="G95" i="173" s="1"/>
  <c r="R79" i="173"/>
  <c r="O74" i="173"/>
  <c r="R74" i="173" s="1"/>
  <c r="I70" i="173"/>
  <c r="H37" i="173"/>
  <c r="Q26" i="173"/>
  <c r="R56" i="173"/>
  <c r="Q8" i="173"/>
  <c r="H48" i="173"/>
  <c r="H2" i="173" s="1"/>
  <c r="H95" i="173" s="1"/>
  <c r="K2" i="173"/>
  <c r="D78" i="173"/>
  <c r="O76" i="173"/>
  <c r="R76" i="173"/>
  <c r="K78" i="173"/>
  <c r="M48" i="173"/>
  <c r="M2" i="173" s="1"/>
  <c r="R46" i="173"/>
  <c r="Q55" i="173"/>
  <c r="L37" i="173"/>
  <c r="Q37" i="173" s="1"/>
  <c r="R77" i="173"/>
  <c r="R8" i="173"/>
  <c r="J37" i="173"/>
  <c r="P70" i="173"/>
  <c r="P78" i="173" s="1"/>
  <c r="F70" i="173"/>
  <c r="M92" i="173"/>
  <c r="G92" i="173"/>
  <c r="F92" i="173"/>
  <c r="L92" i="173"/>
  <c r="H92" i="173"/>
  <c r="K92" i="173"/>
  <c r="J92" i="173"/>
  <c r="I92" i="173"/>
  <c r="R83" i="173"/>
  <c r="O51" i="173"/>
  <c r="R51" i="173" s="1"/>
  <c r="R26" i="173"/>
  <c r="N93" i="173"/>
  <c r="H93" i="173"/>
  <c r="J93" i="173"/>
  <c r="Q93" i="173" s="1"/>
  <c r="P93" i="173"/>
  <c r="I93" i="173"/>
  <c r="F93" i="173"/>
  <c r="O93" i="173"/>
  <c r="M93" i="173"/>
  <c r="L93" i="173"/>
  <c r="K93" i="173"/>
  <c r="G93" i="173"/>
  <c r="J48" i="173"/>
  <c r="J2" i="173" s="1"/>
  <c r="M37" i="173"/>
  <c r="R45" i="173"/>
  <c r="Q45" i="173"/>
  <c r="I48" i="173"/>
  <c r="I2" i="173" s="1"/>
  <c r="R70" i="238" l="1"/>
  <c r="P109" i="238"/>
  <c r="P87" i="238"/>
  <c r="R37" i="238"/>
  <c r="M95" i="238"/>
  <c r="I2" i="238"/>
  <c r="I95" i="238" s="1"/>
  <c r="K48" i="238"/>
  <c r="K2" i="238" s="1"/>
  <c r="K95" i="238" s="1"/>
  <c r="K91" i="238" s="1"/>
  <c r="Q37" i="238"/>
  <c r="Q25" i="238"/>
  <c r="Q48" i="238" s="1"/>
  <c r="Q2" i="238" s="1"/>
  <c r="Q95" i="238" s="1"/>
  <c r="Q91" i="238" s="1"/>
  <c r="G2" i="238"/>
  <c r="G95" i="238" s="1"/>
  <c r="H48" i="238"/>
  <c r="H2" i="238" s="1"/>
  <c r="H95" i="238" s="1"/>
  <c r="J91" i="238"/>
  <c r="M92" i="238"/>
  <c r="N92" i="238" s="1"/>
  <c r="F78" i="238"/>
  <c r="Q70" i="238"/>
  <c r="Q78" i="238" s="1"/>
  <c r="R51" i="238"/>
  <c r="O76" i="238"/>
  <c r="O78" i="238" s="1"/>
  <c r="R78" i="238" s="1"/>
  <c r="I91" i="238"/>
  <c r="G91" i="238"/>
  <c r="F95" i="238"/>
  <c r="F91" i="238" s="1"/>
  <c r="R76" i="238"/>
  <c r="H91" i="238"/>
  <c r="L91" i="238"/>
  <c r="R37" i="237"/>
  <c r="O70" i="237"/>
  <c r="H78" i="237"/>
  <c r="N78" i="237"/>
  <c r="N92" i="237"/>
  <c r="P91" i="237"/>
  <c r="Q25" i="237"/>
  <c r="Q48" i="237" s="1"/>
  <c r="J91" i="237"/>
  <c r="R93" i="237"/>
  <c r="L48" i="237"/>
  <c r="L2" i="237" s="1"/>
  <c r="L95" i="237" s="1"/>
  <c r="L91" i="237" s="1"/>
  <c r="L78" i="237"/>
  <c r="M2" i="237"/>
  <c r="M95" i="237" s="1"/>
  <c r="M91" i="237" s="1"/>
  <c r="O76" i="237"/>
  <c r="R92" i="237"/>
  <c r="G78" i="237"/>
  <c r="M78" i="237"/>
  <c r="K2" i="237"/>
  <c r="K95" i="237" s="1"/>
  <c r="R25" i="237"/>
  <c r="R48" i="237" s="1"/>
  <c r="K91" i="237"/>
  <c r="H91" i="237"/>
  <c r="H2" i="237"/>
  <c r="H95" i="237" s="1"/>
  <c r="F95" i="237"/>
  <c r="F91" i="237" s="1"/>
  <c r="G91" i="237"/>
  <c r="N2" i="237"/>
  <c r="N95" i="237" s="1"/>
  <c r="G48" i="237"/>
  <c r="G2" i="237" s="1"/>
  <c r="G95" i="237" s="1"/>
  <c r="I91" i="237"/>
  <c r="J2" i="237"/>
  <c r="J95" i="237" s="1"/>
  <c r="K109" i="236"/>
  <c r="K87" i="236"/>
  <c r="P87" i="236"/>
  <c r="P109" i="236"/>
  <c r="H87" i="236"/>
  <c r="H109" i="236"/>
  <c r="I109" i="236"/>
  <c r="I87" i="236"/>
  <c r="F95" i="236"/>
  <c r="L109" i="236"/>
  <c r="L87" i="236"/>
  <c r="J87" i="236"/>
  <c r="J109" i="236"/>
  <c r="R76" i="236"/>
  <c r="O25" i="236"/>
  <c r="O48" i="236" s="1"/>
  <c r="O2" i="236" s="1"/>
  <c r="O95" i="236" s="1"/>
  <c r="O91" i="236" s="1"/>
  <c r="Q70" i="236"/>
  <c r="Q78" i="236" s="1"/>
  <c r="M91" i="236"/>
  <c r="N92" i="236"/>
  <c r="N95" i="236" s="1"/>
  <c r="R93" i="236"/>
  <c r="R70" i="236"/>
  <c r="I78" i="236"/>
  <c r="G2" i="236"/>
  <c r="G95" i="236" s="1"/>
  <c r="G91" i="236" s="1"/>
  <c r="Q25" i="236"/>
  <c r="Q48" i="236" s="1"/>
  <c r="Q2" i="236" s="1"/>
  <c r="Q95" i="236" s="1"/>
  <c r="Q91" i="236" s="1"/>
  <c r="Q37" i="236"/>
  <c r="R49" i="236"/>
  <c r="R37" i="236"/>
  <c r="R78" i="236"/>
  <c r="O76" i="236"/>
  <c r="O78" i="236" s="1"/>
  <c r="M91" i="235"/>
  <c r="R76" i="235"/>
  <c r="L48" i="235"/>
  <c r="L2" i="235" s="1"/>
  <c r="L95" i="235" s="1"/>
  <c r="L87" i="235"/>
  <c r="R37" i="235"/>
  <c r="K91" i="235"/>
  <c r="J2" i="235"/>
  <c r="J95" i="235" s="1"/>
  <c r="Q25" i="235"/>
  <c r="Q48" i="235" s="1"/>
  <c r="F2" i="235"/>
  <c r="L91" i="235"/>
  <c r="L109" i="235" s="1"/>
  <c r="K78" i="235"/>
  <c r="M95" i="235"/>
  <c r="L78" i="235"/>
  <c r="H91" i="235"/>
  <c r="N70" i="235"/>
  <c r="Q70" i="235" s="1"/>
  <c r="Q78" i="235" s="1"/>
  <c r="O76" i="235"/>
  <c r="F78" i="235"/>
  <c r="G91" i="235"/>
  <c r="N92" i="235"/>
  <c r="J91" i="235"/>
  <c r="M78" i="235"/>
  <c r="P2" i="235"/>
  <c r="P95" i="235" s="1"/>
  <c r="P91" i="235" s="1"/>
  <c r="I91" i="235"/>
  <c r="N92" i="234"/>
  <c r="R92" i="234" s="1"/>
  <c r="O76" i="234"/>
  <c r="O78" i="234" s="1"/>
  <c r="R70" i="234"/>
  <c r="F95" i="234"/>
  <c r="J78" i="234"/>
  <c r="H91" i="234"/>
  <c r="N48" i="234"/>
  <c r="N2" i="234" s="1"/>
  <c r="I91" i="234"/>
  <c r="Q25" i="234"/>
  <c r="Q48" i="234" s="1"/>
  <c r="Q2" i="234" s="1"/>
  <c r="Q95" i="234" s="1"/>
  <c r="Q91" i="234" s="1"/>
  <c r="J2" i="234"/>
  <c r="J95" i="234" s="1"/>
  <c r="L91" i="234"/>
  <c r="H48" i="234"/>
  <c r="H2" i="234" s="1"/>
  <c r="H95" i="234" s="1"/>
  <c r="R24" i="234"/>
  <c r="M95" i="234"/>
  <c r="M91" i="234" s="1"/>
  <c r="O2" i="234"/>
  <c r="O95" i="234" s="1"/>
  <c r="O91" i="234" s="1"/>
  <c r="K2" i="234"/>
  <c r="K95" i="234" s="1"/>
  <c r="K91" i="234" s="1"/>
  <c r="R76" i="234"/>
  <c r="F91" i="234"/>
  <c r="P48" i="234"/>
  <c r="P2" i="234" s="1"/>
  <c r="P95" i="234" s="1"/>
  <c r="P91" i="234" s="1"/>
  <c r="H78" i="234"/>
  <c r="R78" i="234" s="1"/>
  <c r="M78" i="234"/>
  <c r="J91" i="234"/>
  <c r="G48" i="234"/>
  <c r="G2" i="234" s="1"/>
  <c r="G95" i="234" s="1"/>
  <c r="G91" i="234" s="1"/>
  <c r="K78" i="234"/>
  <c r="F95" i="233"/>
  <c r="I78" i="233"/>
  <c r="N70" i="233"/>
  <c r="N2" i="233" s="1"/>
  <c r="M92" i="233"/>
  <c r="J48" i="233"/>
  <c r="J2" i="233" s="1"/>
  <c r="J95" i="233" s="1"/>
  <c r="L2" i="233"/>
  <c r="L95" i="233" s="1"/>
  <c r="L91" i="233" s="1"/>
  <c r="O70" i="233"/>
  <c r="R83" i="233"/>
  <c r="F91" i="233"/>
  <c r="J91" i="233"/>
  <c r="P109" i="233"/>
  <c r="P87" i="233"/>
  <c r="G91" i="233"/>
  <c r="H95" i="233"/>
  <c r="H91" i="233" s="1"/>
  <c r="O48" i="233"/>
  <c r="Q25" i="233"/>
  <c r="N78" i="233"/>
  <c r="O76" i="233"/>
  <c r="K91" i="233"/>
  <c r="I91" i="233"/>
  <c r="H87" i="232"/>
  <c r="H109" i="232"/>
  <c r="G109" i="232"/>
  <c r="G87" i="232"/>
  <c r="I87" i="232"/>
  <c r="I109" i="232"/>
  <c r="P48" i="232"/>
  <c r="P2" i="232" s="1"/>
  <c r="P95" i="232" s="1"/>
  <c r="P91" i="232" s="1"/>
  <c r="O76" i="232"/>
  <c r="O70" i="232"/>
  <c r="R70" i="232" s="1"/>
  <c r="Q70" i="232"/>
  <c r="Q78" i="232" s="1"/>
  <c r="M2" i="232"/>
  <c r="M95" i="232" s="1"/>
  <c r="Q25" i="232"/>
  <c r="Q48" i="232" s="1"/>
  <c r="L2" i="232"/>
  <c r="L95" i="232" s="1"/>
  <c r="L91" i="232" s="1"/>
  <c r="L109" i="232" s="1"/>
  <c r="R76" i="232"/>
  <c r="K48" i="232"/>
  <c r="K2" i="232" s="1"/>
  <c r="K95" i="232" s="1"/>
  <c r="K91" i="232" s="1"/>
  <c r="F2" i="232"/>
  <c r="M91" i="232"/>
  <c r="O2" i="232"/>
  <c r="O95" i="232" s="1"/>
  <c r="O91" i="232" s="1"/>
  <c r="J48" i="232"/>
  <c r="J2" i="232" s="1"/>
  <c r="J95" i="232" s="1"/>
  <c r="J91" i="232" s="1"/>
  <c r="N2" i="232"/>
  <c r="N95" i="232" s="1"/>
  <c r="N91" i="232" s="1"/>
  <c r="I78" i="231"/>
  <c r="J91" i="231"/>
  <c r="J78" i="231"/>
  <c r="G78" i="231"/>
  <c r="G91" i="231"/>
  <c r="I91" i="231"/>
  <c r="M95" i="231"/>
  <c r="O70" i="231"/>
  <c r="H91" i="231"/>
  <c r="K95" i="231"/>
  <c r="K91" i="231" s="1"/>
  <c r="L37" i="231"/>
  <c r="R76" i="231"/>
  <c r="M92" i="231"/>
  <c r="N92" i="231"/>
  <c r="N95" i="231" s="1"/>
  <c r="Q25" i="231"/>
  <c r="R25" i="231" s="1"/>
  <c r="P109" i="231"/>
  <c r="P87" i="231"/>
  <c r="O2" i="231"/>
  <c r="O95" i="231" s="1"/>
  <c r="O91" i="231" s="1"/>
  <c r="F2" i="231"/>
  <c r="N95" i="230"/>
  <c r="N91" i="230" s="1"/>
  <c r="M78" i="230"/>
  <c r="L70" i="230"/>
  <c r="Q70" i="230" s="1"/>
  <c r="Q78" i="230" s="1"/>
  <c r="R78" i="230" s="1"/>
  <c r="H78" i="230"/>
  <c r="H2" i="230"/>
  <c r="H95" i="230" s="1"/>
  <c r="H91" i="230" s="1"/>
  <c r="O76" i="230"/>
  <c r="O78" i="230" s="1"/>
  <c r="R88" i="230"/>
  <c r="N78" i="230"/>
  <c r="I91" i="230"/>
  <c r="F48" i="230"/>
  <c r="F2" i="230" s="1"/>
  <c r="Q25" i="230"/>
  <c r="R25" i="230" s="1"/>
  <c r="R48" i="230" s="1"/>
  <c r="O70" i="230"/>
  <c r="O2" i="230" s="1"/>
  <c r="O95" i="230" s="1"/>
  <c r="O91" i="230" s="1"/>
  <c r="R92" i="230"/>
  <c r="P2" i="230"/>
  <c r="P95" i="230" s="1"/>
  <c r="P91" i="230" s="1"/>
  <c r="L78" i="230"/>
  <c r="K95" i="230"/>
  <c r="G91" i="230"/>
  <c r="J91" i="230"/>
  <c r="R37" i="230"/>
  <c r="Q37" i="230"/>
  <c r="M91" i="230"/>
  <c r="K91" i="230"/>
  <c r="Q48" i="229"/>
  <c r="F48" i="229"/>
  <c r="F2" i="229" s="1"/>
  <c r="N2" i="229"/>
  <c r="Q70" i="229"/>
  <c r="Q78" i="229" s="1"/>
  <c r="R78" i="229" s="1"/>
  <c r="G91" i="229"/>
  <c r="F78" i="229"/>
  <c r="O91" i="229"/>
  <c r="N92" i="229"/>
  <c r="R25" i="229"/>
  <c r="R48" i="229" s="1"/>
  <c r="P109" i="229"/>
  <c r="P87" i="229"/>
  <c r="M95" i="229"/>
  <c r="M91" i="229" s="1"/>
  <c r="I91" i="229"/>
  <c r="G48" i="229"/>
  <c r="G2" i="229" s="1"/>
  <c r="G95" i="229" s="1"/>
  <c r="I2" i="229"/>
  <c r="I95" i="229" s="1"/>
  <c r="L48" i="229"/>
  <c r="L2" i="229" s="1"/>
  <c r="L95" i="229" s="1"/>
  <c r="L91" i="229" s="1"/>
  <c r="H2" i="229"/>
  <c r="H95" i="229" s="1"/>
  <c r="J91" i="229"/>
  <c r="H91" i="229"/>
  <c r="K2" i="229"/>
  <c r="K95" i="229" s="1"/>
  <c r="K91" i="229" s="1"/>
  <c r="Q25" i="228"/>
  <c r="N2" i="228"/>
  <c r="N95" i="228" s="1"/>
  <c r="N91" i="228"/>
  <c r="M91" i="228"/>
  <c r="R25" i="228"/>
  <c r="F95" i="228"/>
  <c r="I48" i="228"/>
  <c r="I2" i="228" s="1"/>
  <c r="I95" i="228" s="1"/>
  <c r="O70" i="228"/>
  <c r="L48" i="228"/>
  <c r="L2" i="228" s="1"/>
  <c r="L95" i="228" s="1"/>
  <c r="P48" i="228"/>
  <c r="P2" i="228" s="1"/>
  <c r="P95" i="228" s="1"/>
  <c r="P91" i="228" s="1"/>
  <c r="H78" i="228"/>
  <c r="I91" i="228"/>
  <c r="J91" i="228"/>
  <c r="H48" i="228"/>
  <c r="H2" i="228" s="1"/>
  <c r="H95" i="228" s="1"/>
  <c r="H91" i="228" s="1"/>
  <c r="J78" i="228"/>
  <c r="Q37" i="228"/>
  <c r="R37" i="228" s="1"/>
  <c r="L91" i="228"/>
  <c r="O76" i="228"/>
  <c r="R76" i="228" s="1"/>
  <c r="R92" i="228"/>
  <c r="G91" i="228"/>
  <c r="K95" i="228"/>
  <c r="K91" i="228" s="1"/>
  <c r="G109" i="227"/>
  <c r="G87" i="227"/>
  <c r="K91" i="227"/>
  <c r="R37" i="227"/>
  <c r="L95" i="227"/>
  <c r="L91" i="227" s="1"/>
  <c r="L109" i="227" s="1"/>
  <c r="R89" i="227"/>
  <c r="R70" i="227"/>
  <c r="O78" i="227"/>
  <c r="O25" i="227"/>
  <c r="O48" i="227" s="1"/>
  <c r="O2" i="227" s="1"/>
  <c r="O95" i="227" s="1"/>
  <c r="O91" i="227" s="1"/>
  <c r="Q93" i="227"/>
  <c r="R76" i="227"/>
  <c r="M91" i="227"/>
  <c r="N92" i="227"/>
  <c r="F48" i="227"/>
  <c r="F2" i="227" s="1"/>
  <c r="K78" i="227"/>
  <c r="P48" i="227"/>
  <c r="P2" i="227" s="1"/>
  <c r="P95" i="227" s="1"/>
  <c r="R49" i="227"/>
  <c r="M78" i="227"/>
  <c r="K95" i="227"/>
  <c r="Q25" i="227"/>
  <c r="Q48" i="227" s="1"/>
  <c r="Q2" i="227" s="1"/>
  <c r="Q95" i="227" s="1"/>
  <c r="N48" i="227"/>
  <c r="N2" i="227" s="1"/>
  <c r="N95" i="227" s="1"/>
  <c r="J2" i="227"/>
  <c r="J95" i="227" s="1"/>
  <c r="J91" i="227" s="1"/>
  <c r="H2" i="227"/>
  <c r="H95" i="227" s="1"/>
  <c r="H91" i="227" s="1"/>
  <c r="H78" i="227"/>
  <c r="R78" i="227" s="1"/>
  <c r="J78" i="227"/>
  <c r="P91" i="227"/>
  <c r="I48" i="227"/>
  <c r="I2" i="227" s="1"/>
  <c r="I95" i="227" s="1"/>
  <c r="I91" i="227" s="1"/>
  <c r="R93" i="226"/>
  <c r="R70" i="226"/>
  <c r="M95" i="226"/>
  <c r="K48" i="226"/>
  <c r="K2" i="226" s="1"/>
  <c r="K95" i="226" s="1"/>
  <c r="K91" i="226" s="1"/>
  <c r="O76" i="226"/>
  <c r="O78" i="226" s="1"/>
  <c r="P48" i="226"/>
  <c r="P2" i="226" s="1"/>
  <c r="P95" i="226" s="1"/>
  <c r="P91" i="226" s="1"/>
  <c r="I2" i="226"/>
  <c r="I95" i="226" s="1"/>
  <c r="I91" i="226" s="1"/>
  <c r="G48" i="226"/>
  <c r="G2" i="226" s="1"/>
  <c r="G95" i="226" s="1"/>
  <c r="G91" i="226" s="1"/>
  <c r="R76" i="226"/>
  <c r="L48" i="226"/>
  <c r="L2" i="226" s="1"/>
  <c r="L95" i="226" s="1"/>
  <c r="L91" i="226" s="1"/>
  <c r="H48" i="226"/>
  <c r="H2" i="226" s="1"/>
  <c r="H95" i="226" s="1"/>
  <c r="H91" i="226" s="1"/>
  <c r="N2" i="226"/>
  <c r="N95" i="226" s="1"/>
  <c r="N91" i="226" s="1"/>
  <c r="O25" i="226"/>
  <c r="G78" i="226"/>
  <c r="K78" i="226"/>
  <c r="H78" i="226"/>
  <c r="R78" i="226" s="1"/>
  <c r="J48" i="226"/>
  <c r="J2" i="226" s="1"/>
  <c r="J95" i="226" s="1"/>
  <c r="J91" i="226" s="1"/>
  <c r="M91" i="226"/>
  <c r="L78" i="226"/>
  <c r="J78" i="226"/>
  <c r="F2" i="226"/>
  <c r="R92" i="226"/>
  <c r="P109" i="225"/>
  <c r="P87" i="225"/>
  <c r="Q25" i="225"/>
  <c r="R25" i="225" s="1"/>
  <c r="M78" i="225"/>
  <c r="R78" i="225" s="1"/>
  <c r="Q70" i="225"/>
  <c r="Q78" i="225" s="1"/>
  <c r="M48" i="225"/>
  <c r="M2" i="225" s="1"/>
  <c r="K91" i="225"/>
  <c r="L37" i="225"/>
  <c r="J48" i="225"/>
  <c r="J2" i="225" s="1"/>
  <c r="J95" i="225" s="1"/>
  <c r="J91" i="225" s="1"/>
  <c r="R76" i="225"/>
  <c r="F95" i="225"/>
  <c r="O76" i="225"/>
  <c r="O78" i="225" s="1"/>
  <c r="I91" i="225"/>
  <c r="R51" i="225"/>
  <c r="G91" i="225"/>
  <c r="N48" i="225"/>
  <c r="N2" i="225" s="1"/>
  <c r="R12" i="225"/>
  <c r="H91" i="225"/>
  <c r="G48" i="225"/>
  <c r="G2" i="225" s="1"/>
  <c r="G95" i="225" s="1"/>
  <c r="H95" i="225"/>
  <c r="F91" i="225"/>
  <c r="M92" i="225"/>
  <c r="N92" i="225" s="1"/>
  <c r="M95" i="224"/>
  <c r="M91" i="224" s="1"/>
  <c r="F95" i="224"/>
  <c r="F91" i="224" s="1"/>
  <c r="H91" i="224"/>
  <c r="G91" i="224"/>
  <c r="K78" i="224"/>
  <c r="R25" i="224"/>
  <c r="G2" i="224"/>
  <c r="G95" i="224" s="1"/>
  <c r="O2" i="224"/>
  <c r="O95" i="224" s="1"/>
  <c r="O91" i="224" s="1"/>
  <c r="I91" i="224"/>
  <c r="P48" i="224"/>
  <c r="P2" i="224" s="1"/>
  <c r="P95" i="224" s="1"/>
  <c r="P91" i="224" s="1"/>
  <c r="K91" i="224"/>
  <c r="J91" i="224"/>
  <c r="L91" i="224"/>
  <c r="O76" i="224"/>
  <c r="N92" i="224"/>
  <c r="Q37" i="224"/>
  <c r="R37" i="224" s="1"/>
  <c r="N78" i="224"/>
  <c r="K2" i="224"/>
  <c r="K95" i="224" s="1"/>
  <c r="L78" i="224"/>
  <c r="L48" i="224"/>
  <c r="L2" i="224" s="1"/>
  <c r="L95" i="224" s="1"/>
  <c r="R37" i="223"/>
  <c r="F48" i="223"/>
  <c r="F2" i="223" s="1"/>
  <c r="Q25" i="223"/>
  <c r="J91" i="223"/>
  <c r="P48" i="223"/>
  <c r="P2" i="223" s="1"/>
  <c r="P95" i="223" s="1"/>
  <c r="P91" i="223" s="1"/>
  <c r="I78" i="223"/>
  <c r="I91" i="223"/>
  <c r="N48" i="223"/>
  <c r="N2" i="223" s="1"/>
  <c r="Q70" i="223"/>
  <c r="Q78" i="223" s="1"/>
  <c r="R25" i="223"/>
  <c r="R48" i="223" s="1"/>
  <c r="Q37" i="223"/>
  <c r="O70" i="223"/>
  <c r="O76" i="223"/>
  <c r="L48" i="223"/>
  <c r="L2" i="223" s="1"/>
  <c r="L95" i="223" s="1"/>
  <c r="L91" i="223" s="1"/>
  <c r="K91" i="223"/>
  <c r="H48" i="223"/>
  <c r="H2" i="223" s="1"/>
  <c r="H95" i="223" s="1"/>
  <c r="H91" i="223" s="1"/>
  <c r="M48" i="223"/>
  <c r="M2" i="223" s="1"/>
  <c r="M95" i="223" s="1"/>
  <c r="M92" i="223"/>
  <c r="G48" i="223"/>
  <c r="G2" i="223" s="1"/>
  <c r="G95" i="223" s="1"/>
  <c r="G91" i="223" s="1"/>
  <c r="L78" i="223"/>
  <c r="R92" i="222"/>
  <c r="R70" i="222"/>
  <c r="J109" i="222"/>
  <c r="J87" i="222"/>
  <c r="H109" i="222"/>
  <c r="H87" i="222"/>
  <c r="K91" i="222"/>
  <c r="F95" i="222"/>
  <c r="G91" i="222"/>
  <c r="R93" i="222"/>
  <c r="N78" i="222"/>
  <c r="G78" i="222"/>
  <c r="H78" i="222"/>
  <c r="O76" i="222"/>
  <c r="F78" i="222"/>
  <c r="L2" i="222"/>
  <c r="L95" i="222" s="1"/>
  <c r="L91" i="222" s="1"/>
  <c r="Q37" i="222"/>
  <c r="R37" i="222" s="1"/>
  <c r="N95" i="222"/>
  <c r="N91" i="222" s="1"/>
  <c r="Q25" i="222"/>
  <c r="R25" i="222" s="1"/>
  <c r="R48" i="222" s="1"/>
  <c r="Q70" i="222"/>
  <c r="Q78" i="222" s="1"/>
  <c r="I2" i="222"/>
  <c r="I95" i="222" s="1"/>
  <c r="I91" i="222" s="1"/>
  <c r="M2" i="222"/>
  <c r="M95" i="222" s="1"/>
  <c r="P91" i="222"/>
  <c r="M91" i="222"/>
  <c r="K2" i="222"/>
  <c r="K95" i="222" s="1"/>
  <c r="L78" i="222"/>
  <c r="R49" i="222"/>
  <c r="M95" i="221"/>
  <c r="R76" i="221"/>
  <c r="O76" i="221"/>
  <c r="J2" i="221"/>
  <c r="J95" i="221" s="1"/>
  <c r="J91" i="221" s="1"/>
  <c r="G91" i="221"/>
  <c r="M92" i="221"/>
  <c r="P2" i="221"/>
  <c r="P95" i="221" s="1"/>
  <c r="P91" i="221" s="1"/>
  <c r="K2" i="221"/>
  <c r="K95" i="221" s="1"/>
  <c r="K91" i="221" s="1"/>
  <c r="I91" i="221"/>
  <c r="Q25" i="221"/>
  <c r="I2" i="221"/>
  <c r="I95" i="221" s="1"/>
  <c r="H2" i="221"/>
  <c r="H95" i="221" s="1"/>
  <c r="H91" i="221" s="1"/>
  <c r="L78" i="221"/>
  <c r="O70" i="221"/>
  <c r="Q70" i="221" s="1"/>
  <c r="Q78" i="221" s="1"/>
  <c r="F2" i="221"/>
  <c r="N92" i="221"/>
  <c r="N95" i="221" s="1"/>
  <c r="M78" i="221"/>
  <c r="N78" i="221"/>
  <c r="Q37" i="221"/>
  <c r="R37" i="221" s="1"/>
  <c r="L91" i="221"/>
  <c r="H109" i="220"/>
  <c r="H87" i="220"/>
  <c r="I109" i="220"/>
  <c r="I87" i="220"/>
  <c r="G109" i="220"/>
  <c r="G87" i="220"/>
  <c r="F95" i="220"/>
  <c r="O48" i="220"/>
  <c r="O2" i="220" s="1"/>
  <c r="O95" i="220" s="1"/>
  <c r="O91" i="220" s="1"/>
  <c r="Q25" i="220"/>
  <c r="Q48" i="220" s="1"/>
  <c r="Q2" i="220" s="1"/>
  <c r="Q95" i="220" s="1"/>
  <c r="Q91" i="220" s="1"/>
  <c r="P109" i="220"/>
  <c r="P87" i="220"/>
  <c r="R94" i="220"/>
  <c r="M91" i="220"/>
  <c r="J87" i="220"/>
  <c r="J109" i="220"/>
  <c r="O76" i="220"/>
  <c r="Q70" i="220"/>
  <c r="Q78" i="220" s="1"/>
  <c r="K78" i="220"/>
  <c r="K2" i="220"/>
  <c r="K95" i="220" s="1"/>
  <c r="K91" i="220" s="1"/>
  <c r="L48" i="220"/>
  <c r="L2" i="220" s="1"/>
  <c r="L95" i="220" s="1"/>
  <c r="L91" i="220" s="1"/>
  <c r="N48" i="220"/>
  <c r="N2" i="220" s="1"/>
  <c r="N95" i="220" s="1"/>
  <c r="N91" i="220"/>
  <c r="J109" i="219"/>
  <c r="J87" i="219"/>
  <c r="G2" i="219"/>
  <c r="G95" i="219" s="1"/>
  <c r="J78" i="219"/>
  <c r="R78" i="219" s="1"/>
  <c r="N78" i="219"/>
  <c r="O48" i="219"/>
  <c r="R93" i="219"/>
  <c r="G91" i="219"/>
  <c r="L48" i="219"/>
  <c r="L2" i="219" s="1"/>
  <c r="L95" i="219" s="1"/>
  <c r="L91" i="219" s="1"/>
  <c r="R37" i="219"/>
  <c r="Q70" i="219"/>
  <c r="Q78" i="219" s="1"/>
  <c r="N91" i="219"/>
  <c r="G78" i="219"/>
  <c r="R49" i="219"/>
  <c r="R25" i="219"/>
  <c r="R48" i="219" s="1"/>
  <c r="H48" i="219"/>
  <c r="H2" i="219" s="1"/>
  <c r="H95" i="219" s="1"/>
  <c r="H91" i="219" s="1"/>
  <c r="K48" i="219"/>
  <c r="K2" i="219" s="1"/>
  <c r="K95" i="219" s="1"/>
  <c r="K91" i="219" s="1"/>
  <c r="P91" i="219"/>
  <c r="F2" i="219"/>
  <c r="I78" i="219"/>
  <c r="O76" i="219"/>
  <c r="O78" i="219" s="1"/>
  <c r="I48" i="219"/>
  <c r="I2" i="219" s="1"/>
  <c r="I95" i="219" s="1"/>
  <c r="I91" i="219" s="1"/>
  <c r="F78" i="219"/>
  <c r="M2" i="219"/>
  <c r="M95" i="219" s="1"/>
  <c r="M91" i="219" s="1"/>
  <c r="Q25" i="219"/>
  <c r="Q48" i="219" s="1"/>
  <c r="M91" i="218"/>
  <c r="O78" i="218"/>
  <c r="J78" i="218"/>
  <c r="R78" i="218" s="1"/>
  <c r="G91" i="218"/>
  <c r="H91" i="218"/>
  <c r="G95" i="218"/>
  <c r="I48" i="218"/>
  <c r="I2" i="218" s="1"/>
  <c r="I95" i="218" s="1"/>
  <c r="K91" i="218"/>
  <c r="N92" i="218"/>
  <c r="P109" i="218"/>
  <c r="P87" i="218"/>
  <c r="M2" i="218"/>
  <c r="M95" i="218" s="1"/>
  <c r="F48" i="218"/>
  <c r="F2" i="218" s="1"/>
  <c r="O2" i="218"/>
  <c r="O95" i="218" s="1"/>
  <c r="O91" i="218" s="1"/>
  <c r="J91" i="218"/>
  <c r="I91" i="218"/>
  <c r="Q70" i="218"/>
  <c r="Q78" i="218" s="1"/>
  <c r="Q25" i="218"/>
  <c r="Q48" i="218" s="1"/>
  <c r="Q2" i="218" s="1"/>
  <c r="Q95" i="218" s="1"/>
  <c r="Q91" i="218" s="1"/>
  <c r="L91" i="218"/>
  <c r="R92" i="218"/>
  <c r="M78" i="218"/>
  <c r="R76" i="218"/>
  <c r="M92" i="217"/>
  <c r="N92" i="217" s="1"/>
  <c r="K78" i="217"/>
  <c r="P87" i="217"/>
  <c r="P109" i="217"/>
  <c r="O76" i="217"/>
  <c r="O78" i="217" s="1"/>
  <c r="K91" i="217"/>
  <c r="Q25" i="217"/>
  <c r="Q48" i="217" s="1"/>
  <c r="Q2" i="217" s="1"/>
  <c r="Q95" i="217" s="1"/>
  <c r="Q91" i="217" s="1"/>
  <c r="G95" i="217"/>
  <c r="G91" i="217" s="1"/>
  <c r="Q37" i="217"/>
  <c r="R37" i="217" s="1"/>
  <c r="J2" i="217"/>
  <c r="J95" i="217" s="1"/>
  <c r="J91" i="217" s="1"/>
  <c r="R76" i="217"/>
  <c r="H91" i="217"/>
  <c r="K2" i="217"/>
  <c r="K95" i="217" s="1"/>
  <c r="I78" i="217"/>
  <c r="R78" i="217" s="1"/>
  <c r="F2" i="217"/>
  <c r="N78" i="217"/>
  <c r="I91" i="217"/>
  <c r="L91" i="217"/>
  <c r="L109" i="217" s="1"/>
  <c r="R37" i="216"/>
  <c r="I109" i="216"/>
  <c r="I87" i="216"/>
  <c r="R70" i="216"/>
  <c r="R49" i="216"/>
  <c r="L87" i="216"/>
  <c r="K48" i="216"/>
  <c r="K2" i="216" s="1"/>
  <c r="K95" i="216" s="1"/>
  <c r="K91" i="216" s="1"/>
  <c r="F2" i="216"/>
  <c r="G2" i="216"/>
  <c r="G95" i="216" s="1"/>
  <c r="G91" i="216" s="1"/>
  <c r="Q93" i="216"/>
  <c r="M2" i="216"/>
  <c r="M95" i="216" s="1"/>
  <c r="M91" i="216" s="1"/>
  <c r="O2" i="216"/>
  <c r="O95" i="216" s="1"/>
  <c r="R76" i="216"/>
  <c r="F78" i="216"/>
  <c r="R78" i="216" s="1"/>
  <c r="H48" i="216"/>
  <c r="H2" i="216" s="1"/>
  <c r="H95" i="216" s="1"/>
  <c r="H91" i="216" s="1"/>
  <c r="R93" i="216"/>
  <c r="Q25" i="216"/>
  <c r="Q48" i="216" s="1"/>
  <c r="Q2" i="216" s="1"/>
  <c r="Q95" i="216" s="1"/>
  <c r="P2" i="216"/>
  <c r="P95" i="216" s="1"/>
  <c r="P91" i="216" s="1"/>
  <c r="R92" i="216"/>
  <c r="N2" i="216"/>
  <c r="N95" i="216" s="1"/>
  <c r="N91" i="216" s="1"/>
  <c r="H78" i="216"/>
  <c r="J48" i="216"/>
  <c r="J2" i="216" s="1"/>
  <c r="J95" i="216" s="1"/>
  <c r="J91" i="216" s="1"/>
  <c r="O91" i="216"/>
  <c r="O78" i="215"/>
  <c r="R93" i="215"/>
  <c r="Q70" i="215"/>
  <c r="Q78" i="215" s="1"/>
  <c r="P2" i="215"/>
  <c r="P95" i="215" s="1"/>
  <c r="O70" i="215"/>
  <c r="Q93" i="215"/>
  <c r="K91" i="215"/>
  <c r="R25" i="215"/>
  <c r="R48" i="215" s="1"/>
  <c r="I78" i="215"/>
  <c r="R49" i="215"/>
  <c r="L2" i="215"/>
  <c r="L95" i="215" s="1"/>
  <c r="F2" i="215"/>
  <c r="G91" i="215"/>
  <c r="H78" i="215"/>
  <c r="R78" i="215" s="1"/>
  <c r="F78" i="215"/>
  <c r="O91" i="215"/>
  <c r="L91" i="215"/>
  <c r="H91" i="215"/>
  <c r="M48" i="215"/>
  <c r="M2" i="215" s="1"/>
  <c r="M95" i="215" s="1"/>
  <c r="M91" i="215"/>
  <c r="N2" i="215"/>
  <c r="M78" i="215"/>
  <c r="O48" i="215"/>
  <c r="O2" i="215" s="1"/>
  <c r="O95" i="215" s="1"/>
  <c r="R76" i="215"/>
  <c r="N92" i="215"/>
  <c r="P91" i="215"/>
  <c r="J91" i="215"/>
  <c r="I91" i="215"/>
  <c r="Q25" i="215"/>
  <c r="Q48" i="215" s="1"/>
  <c r="Q2" i="215" s="1"/>
  <c r="Q95" i="215" s="1"/>
  <c r="Q70" i="214"/>
  <c r="Q78" i="214" s="1"/>
  <c r="N92" i="214"/>
  <c r="F48" i="214"/>
  <c r="F2" i="214" s="1"/>
  <c r="F78" i="214"/>
  <c r="R78" i="214" s="1"/>
  <c r="P95" i="214"/>
  <c r="R93" i="214"/>
  <c r="J48" i="214"/>
  <c r="J2" i="214" s="1"/>
  <c r="J95" i="214" s="1"/>
  <c r="J91" i="214" s="1"/>
  <c r="N70" i="214"/>
  <c r="N78" i="214" s="1"/>
  <c r="R49" i="214"/>
  <c r="I91" i="214"/>
  <c r="R25" i="214"/>
  <c r="R48" i="214" s="1"/>
  <c r="H48" i="214"/>
  <c r="H2" i="214" s="1"/>
  <c r="H95" i="214" s="1"/>
  <c r="N2" i="214"/>
  <c r="L2" i="214"/>
  <c r="L95" i="214" s="1"/>
  <c r="L91" i="214" s="1"/>
  <c r="G78" i="214"/>
  <c r="M78" i="214"/>
  <c r="K95" i="214"/>
  <c r="P91" i="214"/>
  <c r="O91" i="214"/>
  <c r="O2" i="214"/>
  <c r="O95" i="214" s="1"/>
  <c r="R76" i="214"/>
  <c r="K91" i="214"/>
  <c r="H91" i="214"/>
  <c r="Q25" i="214"/>
  <c r="Q48" i="214" s="1"/>
  <c r="G48" i="214"/>
  <c r="G2" i="214" s="1"/>
  <c r="G95" i="214" s="1"/>
  <c r="G91" i="214" s="1"/>
  <c r="M2" i="214"/>
  <c r="M95" i="214" s="1"/>
  <c r="M91" i="214" s="1"/>
  <c r="R93" i="213"/>
  <c r="I87" i="213"/>
  <c r="I109" i="213"/>
  <c r="O76" i="213"/>
  <c r="O78" i="213" s="1"/>
  <c r="R92" i="213"/>
  <c r="R76" i="213"/>
  <c r="P48" i="213"/>
  <c r="P2" i="213" s="1"/>
  <c r="P95" i="213" s="1"/>
  <c r="Q93" i="213"/>
  <c r="N48" i="213"/>
  <c r="N2" i="213" s="1"/>
  <c r="N95" i="213" s="1"/>
  <c r="N91" i="213" s="1"/>
  <c r="F78" i="213"/>
  <c r="H2" i="213"/>
  <c r="H95" i="213" s="1"/>
  <c r="H91" i="213" s="1"/>
  <c r="F91" i="213"/>
  <c r="K2" i="213"/>
  <c r="K95" i="213" s="1"/>
  <c r="K91" i="213" s="1"/>
  <c r="M48" i="213"/>
  <c r="M2" i="213" s="1"/>
  <c r="M95" i="213" s="1"/>
  <c r="M91" i="213" s="1"/>
  <c r="O2" i="213"/>
  <c r="O95" i="213" s="1"/>
  <c r="F95" i="213"/>
  <c r="R2" i="213"/>
  <c r="O91" i="213"/>
  <c r="G48" i="213"/>
  <c r="G2" i="213" s="1"/>
  <c r="G95" i="213" s="1"/>
  <c r="G91" i="213" s="1"/>
  <c r="Q25" i="213"/>
  <c r="Q48" i="213" s="1"/>
  <c r="Q2" i="213" s="1"/>
  <c r="Q95" i="213" s="1"/>
  <c r="R78" i="213"/>
  <c r="J87" i="213"/>
  <c r="J109" i="213"/>
  <c r="L87" i="213"/>
  <c r="P91" i="213"/>
  <c r="H78" i="213"/>
  <c r="R25" i="213"/>
  <c r="R48" i="213" s="1"/>
  <c r="J2" i="212"/>
  <c r="J95" i="212" s="1"/>
  <c r="I78" i="212"/>
  <c r="K91" i="212"/>
  <c r="I91" i="212"/>
  <c r="M48" i="212"/>
  <c r="M2" i="212" s="1"/>
  <c r="M95" i="212" s="1"/>
  <c r="R89" i="212"/>
  <c r="N95" i="212"/>
  <c r="R25" i="212"/>
  <c r="R48" i="212" s="1"/>
  <c r="R93" i="212"/>
  <c r="O76" i="212"/>
  <c r="G78" i="212"/>
  <c r="F91" i="212"/>
  <c r="L95" i="212"/>
  <c r="L91" i="212" s="1"/>
  <c r="R92" i="212"/>
  <c r="M92" i="212"/>
  <c r="H2" i="212"/>
  <c r="H95" i="212" s="1"/>
  <c r="Q48" i="212"/>
  <c r="P48" i="212"/>
  <c r="P2" i="212" s="1"/>
  <c r="P95" i="212" s="1"/>
  <c r="P91" i="212" s="1"/>
  <c r="O70" i="212"/>
  <c r="H91" i="212"/>
  <c r="F95" i="212"/>
  <c r="L78" i="212"/>
  <c r="J91" i="212"/>
  <c r="G2" i="212"/>
  <c r="G95" i="212" s="1"/>
  <c r="G91" i="212" s="1"/>
  <c r="N92" i="212"/>
  <c r="O48" i="212"/>
  <c r="F78" i="212"/>
  <c r="P87" i="211"/>
  <c r="P109" i="211"/>
  <c r="R70" i="211"/>
  <c r="N91" i="211"/>
  <c r="R92" i="211"/>
  <c r="I95" i="211"/>
  <c r="I91" i="211" s="1"/>
  <c r="O76" i="211"/>
  <c r="O78" i="211" s="1"/>
  <c r="R78" i="211" s="1"/>
  <c r="J91" i="211"/>
  <c r="G91" i="211"/>
  <c r="L48" i="211"/>
  <c r="L2" i="211" s="1"/>
  <c r="L95" i="211" s="1"/>
  <c r="L91" i="211" s="1"/>
  <c r="F2" i="211"/>
  <c r="G2" i="211"/>
  <c r="G95" i="211" s="1"/>
  <c r="R93" i="211"/>
  <c r="M91" i="211"/>
  <c r="Q48" i="211"/>
  <c r="Q2" i="211" s="1"/>
  <c r="Q95" i="211" s="1"/>
  <c r="Q91" i="211" s="1"/>
  <c r="K91" i="211"/>
  <c r="K2" i="211"/>
  <c r="K95" i="211" s="1"/>
  <c r="R25" i="211"/>
  <c r="R48" i="211" s="1"/>
  <c r="Q70" i="211"/>
  <c r="Q78" i="211" s="1"/>
  <c r="H91" i="211"/>
  <c r="R49" i="211"/>
  <c r="K87" i="210"/>
  <c r="K109" i="210"/>
  <c r="R93" i="210"/>
  <c r="Q70" i="210"/>
  <c r="Q78" i="210" s="1"/>
  <c r="G91" i="210"/>
  <c r="J91" i="210"/>
  <c r="P91" i="210"/>
  <c r="Q37" i="210"/>
  <c r="R37" i="210" s="1"/>
  <c r="F48" i="210"/>
  <c r="F2" i="210" s="1"/>
  <c r="P95" i="210"/>
  <c r="I2" i="210"/>
  <c r="I95" i="210" s="1"/>
  <c r="I91" i="210" s="1"/>
  <c r="L78" i="210"/>
  <c r="L87" i="210"/>
  <c r="R88" i="210"/>
  <c r="G48" i="210"/>
  <c r="G2" i="210" s="1"/>
  <c r="G95" i="210" s="1"/>
  <c r="Q93" i="210"/>
  <c r="R25" i="210"/>
  <c r="M91" i="210"/>
  <c r="R52" i="210"/>
  <c r="M2" i="210"/>
  <c r="M95" i="210" s="1"/>
  <c r="N48" i="210"/>
  <c r="N2" i="210" s="1"/>
  <c r="J78" i="210"/>
  <c r="O2" i="210"/>
  <c r="O95" i="210" s="1"/>
  <c r="O91" i="210"/>
  <c r="Q25" i="210"/>
  <c r="H2" i="210"/>
  <c r="H95" i="210" s="1"/>
  <c r="H91" i="210" s="1"/>
  <c r="F78" i="210"/>
  <c r="R78" i="210" s="1"/>
  <c r="R76" i="210"/>
  <c r="N92" i="210"/>
  <c r="R92" i="210" s="1"/>
  <c r="R93" i="209"/>
  <c r="K91" i="209"/>
  <c r="P91" i="209"/>
  <c r="L25" i="209"/>
  <c r="H48" i="209"/>
  <c r="H2" i="209" s="1"/>
  <c r="H95" i="209" s="1"/>
  <c r="H91" i="209" s="1"/>
  <c r="H78" i="209"/>
  <c r="K48" i="209"/>
  <c r="K2" i="209" s="1"/>
  <c r="K95" i="209" s="1"/>
  <c r="M78" i="209"/>
  <c r="O76" i="209"/>
  <c r="M48" i="209"/>
  <c r="M2" i="209" s="1"/>
  <c r="M95" i="209" s="1"/>
  <c r="M91" i="209" s="1"/>
  <c r="Q37" i="209"/>
  <c r="R37" i="209" s="1"/>
  <c r="I2" i="209"/>
  <c r="I95" i="209" s="1"/>
  <c r="I91" i="209" s="1"/>
  <c r="N48" i="209"/>
  <c r="N2" i="209" s="1"/>
  <c r="N95" i="209" s="1"/>
  <c r="N91" i="209" s="1"/>
  <c r="Q93" i="209"/>
  <c r="O70" i="209"/>
  <c r="F48" i="209"/>
  <c r="F2" i="209" s="1"/>
  <c r="J2" i="209"/>
  <c r="J95" i="209" s="1"/>
  <c r="J91" i="209" s="1"/>
  <c r="K78" i="209"/>
  <c r="R76" i="209"/>
  <c r="G2" i="209"/>
  <c r="G95" i="209" s="1"/>
  <c r="G91" i="209" s="1"/>
  <c r="J78" i="209"/>
  <c r="N78" i="209"/>
  <c r="Q70" i="208"/>
  <c r="Q78" i="208" s="1"/>
  <c r="F95" i="208"/>
  <c r="R70" i="208"/>
  <c r="P109" i="208"/>
  <c r="P87" i="208"/>
  <c r="M48" i="208"/>
  <c r="M2" i="208" s="1"/>
  <c r="M95" i="208" s="1"/>
  <c r="H78" i="208"/>
  <c r="F78" i="208"/>
  <c r="I48" i="208"/>
  <c r="I2" i="208" s="1"/>
  <c r="I95" i="208" s="1"/>
  <c r="I91" i="208" s="1"/>
  <c r="O76" i="208"/>
  <c r="O78" i="208" s="1"/>
  <c r="R78" i="208" s="1"/>
  <c r="Q37" i="208"/>
  <c r="J48" i="208"/>
  <c r="J2" i="208" s="1"/>
  <c r="J95" i="208" s="1"/>
  <c r="J91" i="208" s="1"/>
  <c r="K2" i="208"/>
  <c r="K95" i="208" s="1"/>
  <c r="K91" i="208" s="1"/>
  <c r="R64" i="208"/>
  <c r="Q25" i="208"/>
  <c r="R37" i="208"/>
  <c r="N91" i="208"/>
  <c r="H87" i="208"/>
  <c r="H109" i="208"/>
  <c r="M91" i="208"/>
  <c r="G48" i="208"/>
  <c r="G2" i="208" s="1"/>
  <c r="G95" i="208" s="1"/>
  <c r="G91" i="208" s="1"/>
  <c r="R76" i="208"/>
  <c r="L87" i="208"/>
  <c r="R88" i="208"/>
  <c r="O48" i="208"/>
  <c r="N92" i="207"/>
  <c r="M92" i="207"/>
  <c r="I78" i="207"/>
  <c r="F78" i="207"/>
  <c r="G78" i="207"/>
  <c r="L48" i="207"/>
  <c r="L2" i="207" s="1"/>
  <c r="L95" i="207" s="1"/>
  <c r="L91" i="207" s="1"/>
  <c r="L70" i="207"/>
  <c r="Q70" i="207" s="1"/>
  <c r="Q78" i="207" s="1"/>
  <c r="K95" i="207"/>
  <c r="H91" i="207"/>
  <c r="F2" i="207"/>
  <c r="I48" i="207"/>
  <c r="I2" i="207" s="1"/>
  <c r="I95" i="207" s="1"/>
  <c r="O76" i="207"/>
  <c r="O78" i="207" s="1"/>
  <c r="G48" i="207"/>
  <c r="G2" i="207" s="1"/>
  <c r="G95" i="207" s="1"/>
  <c r="K91" i="207"/>
  <c r="J2" i="207"/>
  <c r="J95" i="207" s="1"/>
  <c r="J91" i="207" s="1"/>
  <c r="P91" i="207"/>
  <c r="N95" i="207"/>
  <c r="M48" i="207"/>
  <c r="M2" i="207" s="1"/>
  <c r="M95" i="207" s="1"/>
  <c r="O70" i="207"/>
  <c r="O2" i="207" s="1"/>
  <c r="O95" i="207" s="1"/>
  <c r="O91" i="207" s="1"/>
  <c r="G91" i="207"/>
  <c r="I91" i="207"/>
  <c r="H48" i="207"/>
  <c r="H2" i="207" s="1"/>
  <c r="H95" i="207" s="1"/>
  <c r="N78" i="207"/>
  <c r="Q25" i="207"/>
  <c r="Q48" i="207" s="1"/>
  <c r="Q2" i="207" s="1"/>
  <c r="Q95" i="207" s="1"/>
  <c r="Q91" i="207" s="1"/>
  <c r="O2" i="206"/>
  <c r="O95" i="206" s="1"/>
  <c r="O91" i="206" s="1"/>
  <c r="R76" i="206"/>
  <c r="L48" i="206"/>
  <c r="L2" i="206" s="1"/>
  <c r="L95" i="206" s="1"/>
  <c r="N78" i="206"/>
  <c r="R78" i="206"/>
  <c r="P2" i="206"/>
  <c r="P95" i="206" s="1"/>
  <c r="I48" i="206"/>
  <c r="I2" i="206" s="1"/>
  <c r="I95" i="206" s="1"/>
  <c r="I91" i="206" s="1"/>
  <c r="P91" i="206"/>
  <c r="Q25" i="206"/>
  <c r="N48" i="206"/>
  <c r="N2" i="206" s="1"/>
  <c r="K91" i="206"/>
  <c r="M48" i="206"/>
  <c r="M2" i="206" s="1"/>
  <c r="M95" i="206" s="1"/>
  <c r="F48" i="206"/>
  <c r="F2" i="206" s="1"/>
  <c r="G78" i="206"/>
  <c r="Q37" i="206"/>
  <c r="R37" i="206" s="1"/>
  <c r="J48" i="206"/>
  <c r="J2" i="206" s="1"/>
  <c r="J95" i="206" s="1"/>
  <c r="J91" i="206" s="1"/>
  <c r="H91" i="206"/>
  <c r="G91" i="206"/>
  <c r="K48" i="206"/>
  <c r="K2" i="206" s="1"/>
  <c r="K95" i="206" s="1"/>
  <c r="L91" i="206"/>
  <c r="M92" i="206"/>
  <c r="R70" i="206"/>
  <c r="L78" i="206"/>
  <c r="K87" i="205"/>
  <c r="K109" i="205"/>
  <c r="F95" i="205"/>
  <c r="I109" i="205"/>
  <c r="I87" i="205"/>
  <c r="N78" i="205"/>
  <c r="R70" i="205"/>
  <c r="J87" i="205"/>
  <c r="J109" i="205"/>
  <c r="Q70" i="205"/>
  <c r="Q78" i="205" s="1"/>
  <c r="Q37" i="205"/>
  <c r="R37" i="205" s="1"/>
  <c r="M95" i="205"/>
  <c r="L78" i="205"/>
  <c r="H48" i="205"/>
  <c r="H2" i="205" s="1"/>
  <c r="H95" i="205" s="1"/>
  <c r="H91" i="205" s="1"/>
  <c r="M91" i="205"/>
  <c r="P95" i="205"/>
  <c r="P91" i="205" s="1"/>
  <c r="O70" i="205"/>
  <c r="O2" i="205" s="1"/>
  <c r="O95" i="205" s="1"/>
  <c r="O91" i="205" s="1"/>
  <c r="I78" i="205"/>
  <c r="R92" i="205"/>
  <c r="H78" i="205"/>
  <c r="R78" i="205" s="1"/>
  <c r="G48" i="205"/>
  <c r="G2" i="205" s="1"/>
  <c r="G95" i="205" s="1"/>
  <c r="G91" i="205" s="1"/>
  <c r="Q25" i="205"/>
  <c r="O76" i="205"/>
  <c r="O78" i="205" s="1"/>
  <c r="R25" i="205"/>
  <c r="N2" i="205"/>
  <c r="N95" i="205" s="1"/>
  <c r="N91" i="205" s="1"/>
  <c r="L48" i="205"/>
  <c r="L2" i="205" s="1"/>
  <c r="L95" i="205" s="1"/>
  <c r="L91" i="205" s="1"/>
  <c r="R70" i="204"/>
  <c r="Q37" i="204"/>
  <c r="R37" i="204" s="1"/>
  <c r="M78" i="204"/>
  <c r="J78" i="204"/>
  <c r="F2" i="204"/>
  <c r="M2" i="204"/>
  <c r="I91" i="204"/>
  <c r="L48" i="204"/>
  <c r="L2" i="204" s="1"/>
  <c r="L95" i="204" s="1"/>
  <c r="L91" i="204" s="1"/>
  <c r="G91" i="204"/>
  <c r="R15" i="204"/>
  <c r="M92" i="204"/>
  <c r="N92" i="204" s="1"/>
  <c r="G78" i="204"/>
  <c r="O76" i="204"/>
  <c r="O78" i="204" s="1"/>
  <c r="Q25" i="204"/>
  <c r="Q48" i="204" s="1"/>
  <c r="Q2" i="204" s="1"/>
  <c r="Q95" i="204" s="1"/>
  <c r="Q91" i="204" s="1"/>
  <c r="O2" i="204"/>
  <c r="O95" i="204" s="1"/>
  <c r="O91" i="204" s="1"/>
  <c r="O70" i="204"/>
  <c r="Q70" i="204" s="1"/>
  <c r="Q78" i="204" s="1"/>
  <c r="H91" i="204"/>
  <c r="J2" i="204"/>
  <c r="J95" i="204" s="1"/>
  <c r="F78" i="204"/>
  <c r="K78" i="204"/>
  <c r="I2" i="204"/>
  <c r="I95" i="204" s="1"/>
  <c r="J91" i="204"/>
  <c r="P109" i="204"/>
  <c r="P87" i="204"/>
  <c r="I78" i="204"/>
  <c r="R78" i="204" s="1"/>
  <c r="R76" i="204"/>
  <c r="K2" i="204"/>
  <c r="K95" i="204" s="1"/>
  <c r="K91" i="204" s="1"/>
  <c r="K109" i="203"/>
  <c r="K87" i="203"/>
  <c r="R76" i="203"/>
  <c r="H87" i="203"/>
  <c r="H109" i="203"/>
  <c r="J2" i="203"/>
  <c r="J95" i="203" s="1"/>
  <c r="J91" i="203" s="1"/>
  <c r="I2" i="203"/>
  <c r="I95" i="203" s="1"/>
  <c r="I91" i="203" s="1"/>
  <c r="N78" i="203"/>
  <c r="O70" i="203"/>
  <c r="Q70" i="203" s="1"/>
  <c r="Q78" i="203" s="1"/>
  <c r="N91" i="203"/>
  <c r="P109" i="203"/>
  <c r="P87" i="203"/>
  <c r="M91" i="203"/>
  <c r="R92" i="203"/>
  <c r="G87" i="203"/>
  <c r="G109" i="203"/>
  <c r="F78" i="203"/>
  <c r="L87" i="203"/>
  <c r="O76" i="203"/>
  <c r="F48" i="203"/>
  <c r="F2" i="203" s="1"/>
  <c r="R25" i="203"/>
  <c r="R48" i="203" s="1"/>
  <c r="Q25" i="203"/>
  <c r="Q48" i="203" s="1"/>
  <c r="L2" i="203"/>
  <c r="L95" i="203" s="1"/>
  <c r="L91" i="203" s="1"/>
  <c r="L109" i="203" s="1"/>
  <c r="F95" i="202"/>
  <c r="N91" i="202"/>
  <c r="R92" i="202"/>
  <c r="K48" i="202"/>
  <c r="K2" i="202" s="1"/>
  <c r="K95" i="202" s="1"/>
  <c r="K91" i="202" s="1"/>
  <c r="J48" i="202"/>
  <c r="J2" i="202" s="1"/>
  <c r="J95" i="202" s="1"/>
  <c r="J91" i="202" s="1"/>
  <c r="G2" i="202"/>
  <c r="G95" i="202" s="1"/>
  <c r="G91" i="202" s="1"/>
  <c r="N2" i="202"/>
  <c r="N95" i="202" s="1"/>
  <c r="L70" i="202"/>
  <c r="L78" i="202" s="1"/>
  <c r="O76" i="202"/>
  <c r="O78" i="202" s="1"/>
  <c r="H48" i="202"/>
  <c r="H2" i="202" s="1"/>
  <c r="H95" i="202" s="1"/>
  <c r="H91" i="202" s="1"/>
  <c r="R25" i="202"/>
  <c r="N78" i="202"/>
  <c r="I2" i="202"/>
  <c r="I95" i="202" s="1"/>
  <c r="I91" i="202" s="1"/>
  <c r="M2" i="202"/>
  <c r="M95" i="202" s="1"/>
  <c r="M91" i="202" s="1"/>
  <c r="J78" i="202"/>
  <c r="O2" i="202"/>
  <c r="O95" i="202" s="1"/>
  <c r="O91" i="202" s="1"/>
  <c r="R49" i="202"/>
  <c r="P48" i="202"/>
  <c r="P2" i="202" s="1"/>
  <c r="P95" i="202" s="1"/>
  <c r="P91" i="202" s="1"/>
  <c r="Q37" i="202"/>
  <c r="R37" i="202" s="1"/>
  <c r="O2" i="201"/>
  <c r="O95" i="201" s="1"/>
  <c r="O91" i="201" s="1"/>
  <c r="Q70" i="201"/>
  <c r="Q78" i="201" s="1"/>
  <c r="F95" i="201"/>
  <c r="R78" i="201"/>
  <c r="N2" i="201"/>
  <c r="N95" i="201" s="1"/>
  <c r="O76" i="201"/>
  <c r="O78" i="201" s="1"/>
  <c r="K2" i="201"/>
  <c r="K95" i="201" s="1"/>
  <c r="K91" i="201" s="1"/>
  <c r="I78" i="201"/>
  <c r="N78" i="201"/>
  <c r="H2" i="201"/>
  <c r="H95" i="201" s="1"/>
  <c r="H91" i="201" s="1"/>
  <c r="L78" i="201"/>
  <c r="G78" i="201"/>
  <c r="R53" i="201"/>
  <c r="Q25" i="201"/>
  <c r="J78" i="201"/>
  <c r="Q37" i="201"/>
  <c r="R37" i="201" s="1"/>
  <c r="P48" i="201"/>
  <c r="P2" i="201" s="1"/>
  <c r="P95" i="201" s="1"/>
  <c r="P91" i="201" s="1"/>
  <c r="L2" i="201"/>
  <c r="L95" i="201" s="1"/>
  <c r="L91" i="201" s="1"/>
  <c r="L109" i="201" s="1"/>
  <c r="L87" i="201"/>
  <c r="J2" i="201"/>
  <c r="J95" i="201" s="1"/>
  <c r="J91" i="201" s="1"/>
  <c r="M2" i="201"/>
  <c r="M95" i="201" s="1"/>
  <c r="M91" i="201" s="1"/>
  <c r="G48" i="201"/>
  <c r="G2" i="201" s="1"/>
  <c r="G95" i="201" s="1"/>
  <c r="G91" i="201" s="1"/>
  <c r="R76" i="201"/>
  <c r="N91" i="201"/>
  <c r="I2" i="201"/>
  <c r="I95" i="201" s="1"/>
  <c r="I91" i="201" s="1"/>
  <c r="F2" i="200"/>
  <c r="Q25" i="200"/>
  <c r="L95" i="200"/>
  <c r="L91" i="200" s="1"/>
  <c r="J91" i="200"/>
  <c r="R92" i="200"/>
  <c r="H2" i="200"/>
  <c r="H95" i="200" s="1"/>
  <c r="L78" i="200"/>
  <c r="O76" i="200"/>
  <c r="I48" i="200"/>
  <c r="I2" i="200" s="1"/>
  <c r="I95" i="200" s="1"/>
  <c r="P91" i="200"/>
  <c r="O48" i="200"/>
  <c r="R76" i="200"/>
  <c r="G2" i="200"/>
  <c r="G95" i="200" s="1"/>
  <c r="G91" i="200"/>
  <c r="R93" i="200"/>
  <c r="K2" i="200"/>
  <c r="K95" i="200" s="1"/>
  <c r="K91" i="200" s="1"/>
  <c r="M48" i="200"/>
  <c r="M2" i="200" s="1"/>
  <c r="M95" i="200" s="1"/>
  <c r="M91" i="200" s="1"/>
  <c r="H91" i="200"/>
  <c r="I91" i="200"/>
  <c r="G78" i="200"/>
  <c r="O70" i="200"/>
  <c r="N48" i="200"/>
  <c r="N2" i="200" s="1"/>
  <c r="N95" i="200" s="1"/>
  <c r="N91" i="200" s="1"/>
  <c r="P48" i="200"/>
  <c r="P2" i="200" s="1"/>
  <c r="P95" i="200" s="1"/>
  <c r="I78" i="200"/>
  <c r="M78" i="200"/>
  <c r="Q70" i="199"/>
  <c r="Q78" i="199" s="1"/>
  <c r="P87" i="199"/>
  <c r="P109" i="199"/>
  <c r="R37" i="199"/>
  <c r="R70" i="199"/>
  <c r="G91" i="199"/>
  <c r="L48" i="199"/>
  <c r="L2" i="199" s="1"/>
  <c r="L95" i="199" s="1"/>
  <c r="Q37" i="199"/>
  <c r="R78" i="199"/>
  <c r="G48" i="199"/>
  <c r="G2" i="199" s="1"/>
  <c r="G95" i="199" s="1"/>
  <c r="J91" i="199"/>
  <c r="M92" i="199"/>
  <c r="F2" i="199"/>
  <c r="O70" i="199"/>
  <c r="R49" i="199"/>
  <c r="N2" i="199"/>
  <c r="H95" i="199"/>
  <c r="Q25" i="199"/>
  <c r="Q48" i="199" s="1"/>
  <c r="Q2" i="199" s="1"/>
  <c r="Q95" i="199" s="1"/>
  <c r="H91" i="199"/>
  <c r="K91" i="199"/>
  <c r="M48" i="199"/>
  <c r="M2" i="199" s="1"/>
  <c r="I48" i="199"/>
  <c r="I2" i="199" s="1"/>
  <c r="I95" i="199" s="1"/>
  <c r="I91" i="199" s="1"/>
  <c r="R25" i="199"/>
  <c r="R48" i="199" s="1"/>
  <c r="K78" i="199"/>
  <c r="R62" i="199"/>
  <c r="Q91" i="199"/>
  <c r="L91" i="199"/>
  <c r="L109" i="199" s="1"/>
  <c r="N78" i="199"/>
  <c r="G78" i="199"/>
  <c r="L78" i="199"/>
  <c r="O76" i="199"/>
  <c r="O78" i="199" s="1"/>
  <c r="R88" i="199"/>
  <c r="R93" i="199"/>
  <c r="R37" i="198"/>
  <c r="O2" i="198"/>
  <c r="O95" i="198" s="1"/>
  <c r="O91" i="198" s="1"/>
  <c r="Q25" i="198"/>
  <c r="Q48" i="198" s="1"/>
  <c r="G48" i="198"/>
  <c r="G2" i="198" s="1"/>
  <c r="G95" i="198" s="1"/>
  <c r="I48" i="198"/>
  <c r="I2" i="198" s="1"/>
  <c r="I95" i="198" s="1"/>
  <c r="J2" i="198"/>
  <c r="J95" i="198" s="1"/>
  <c r="I91" i="198"/>
  <c r="O70" i="198"/>
  <c r="Q70" i="198" s="1"/>
  <c r="Q78" i="198" s="1"/>
  <c r="N2" i="198"/>
  <c r="F95" i="198"/>
  <c r="Q37" i="198"/>
  <c r="J91" i="198"/>
  <c r="G91" i="198"/>
  <c r="L48" i="198"/>
  <c r="L2" i="198" s="1"/>
  <c r="L95" i="198" s="1"/>
  <c r="L91" i="198" s="1"/>
  <c r="R76" i="198"/>
  <c r="O76" i="198"/>
  <c r="O78" i="198" s="1"/>
  <c r="K91" i="198"/>
  <c r="M92" i="198"/>
  <c r="N92" i="198" s="1"/>
  <c r="H95" i="198"/>
  <c r="H91" i="198" s="1"/>
  <c r="P48" i="198"/>
  <c r="P2" i="198" s="1"/>
  <c r="P95" i="198" s="1"/>
  <c r="P91" i="198" s="1"/>
  <c r="J78" i="198"/>
  <c r="R78" i="198" s="1"/>
  <c r="M91" i="197"/>
  <c r="N92" i="197"/>
  <c r="O2" i="197"/>
  <c r="O95" i="197" s="1"/>
  <c r="O91" i="197" s="1"/>
  <c r="J91" i="197"/>
  <c r="J2" i="197"/>
  <c r="J95" i="197" s="1"/>
  <c r="H95" i="197"/>
  <c r="H91" i="197" s="1"/>
  <c r="I2" i="197"/>
  <c r="I95" i="197" s="1"/>
  <c r="I91" i="197"/>
  <c r="G91" i="197"/>
  <c r="R25" i="197"/>
  <c r="Q25" i="197"/>
  <c r="G2" i="197"/>
  <c r="G95" i="197" s="1"/>
  <c r="N2" i="197"/>
  <c r="L91" i="197"/>
  <c r="F95" i="197"/>
  <c r="M95" i="197"/>
  <c r="Q37" i="197"/>
  <c r="R37" i="197" s="1"/>
  <c r="P109" i="197"/>
  <c r="P87" i="197"/>
  <c r="Q70" i="197"/>
  <c r="Q78" i="197" s="1"/>
  <c r="O76" i="197"/>
  <c r="K95" i="197"/>
  <c r="K91" i="197" s="1"/>
  <c r="F91" i="197"/>
  <c r="P109" i="196"/>
  <c r="P87" i="196"/>
  <c r="R37" i="196"/>
  <c r="O2" i="196"/>
  <c r="O95" i="196" s="1"/>
  <c r="O91" i="196" s="1"/>
  <c r="N2" i="196"/>
  <c r="Q37" i="196"/>
  <c r="R76" i="196"/>
  <c r="L25" i="196"/>
  <c r="O70" i="196"/>
  <c r="Q70" i="196" s="1"/>
  <c r="Q78" i="196" s="1"/>
  <c r="I91" i="196"/>
  <c r="G91" i="196"/>
  <c r="O76" i="196"/>
  <c r="O78" i="196" s="1"/>
  <c r="M92" i="196"/>
  <c r="H2" i="196"/>
  <c r="H95" i="196" s="1"/>
  <c r="J2" i="196"/>
  <c r="J95" i="196" s="1"/>
  <c r="J91" i="196" s="1"/>
  <c r="F48" i="196"/>
  <c r="F2" i="196" s="1"/>
  <c r="N78" i="196"/>
  <c r="K91" i="196"/>
  <c r="H91" i="196"/>
  <c r="H78" i="196"/>
  <c r="M95" i="196"/>
  <c r="O2" i="195"/>
  <c r="O95" i="195" s="1"/>
  <c r="O91" i="195" s="1"/>
  <c r="P48" i="195"/>
  <c r="P2" i="195" s="1"/>
  <c r="P95" i="195" s="1"/>
  <c r="H91" i="195"/>
  <c r="K91" i="195"/>
  <c r="Q25" i="195"/>
  <c r="Q93" i="195"/>
  <c r="J48" i="195"/>
  <c r="J2" i="195" s="1"/>
  <c r="J95" i="195" s="1"/>
  <c r="J91" i="195" s="1"/>
  <c r="I91" i="195"/>
  <c r="R25" i="195"/>
  <c r="L48" i="195"/>
  <c r="L2" i="195" s="1"/>
  <c r="L95" i="195" s="1"/>
  <c r="F78" i="195"/>
  <c r="R12" i="195"/>
  <c r="F95" i="195"/>
  <c r="O78" i="195"/>
  <c r="P91" i="195"/>
  <c r="L91" i="195"/>
  <c r="L109" i="195" s="1"/>
  <c r="G91" i="195"/>
  <c r="M48" i="195"/>
  <c r="M2" i="195" s="1"/>
  <c r="M95" i="195" s="1"/>
  <c r="K48" i="195"/>
  <c r="K2" i="195" s="1"/>
  <c r="K95" i="195" s="1"/>
  <c r="R76" i="195"/>
  <c r="Q37" i="195"/>
  <c r="R37" i="195" s="1"/>
  <c r="N92" i="195"/>
  <c r="N95" i="195" s="1"/>
  <c r="M92" i="195"/>
  <c r="R92" i="195" s="1"/>
  <c r="H48" i="195"/>
  <c r="H2" i="195" s="1"/>
  <c r="H95" i="195" s="1"/>
  <c r="O70" i="195"/>
  <c r="F91" i="195"/>
  <c r="R49" i="195"/>
  <c r="G2" i="194"/>
  <c r="G95" i="194" s="1"/>
  <c r="G91" i="194" s="1"/>
  <c r="L78" i="194"/>
  <c r="F78" i="194"/>
  <c r="R25" i="194"/>
  <c r="I87" i="194"/>
  <c r="I109" i="194"/>
  <c r="N2" i="194"/>
  <c r="N95" i="194" s="1"/>
  <c r="P109" i="194"/>
  <c r="P87" i="194"/>
  <c r="K2" i="194"/>
  <c r="K95" i="194" s="1"/>
  <c r="K91" i="194" s="1"/>
  <c r="H2" i="194"/>
  <c r="H95" i="194" s="1"/>
  <c r="H91" i="194" s="1"/>
  <c r="O70" i="194"/>
  <c r="R70" i="194" s="1"/>
  <c r="M91" i="194"/>
  <c r="J48" i="194"/>
  <c r="J2" i="194" s="1"/>
  <c r="J95" i="194" s="1"/>
  <c r="J91" i="194" s="1"/>
  <c r="L2" i="194"/>
  <c r="L95" i="194" s="1"/>
  <c r="L91" i="194" s="1"/>
  <c r="L109" i="194" s="1"/>
  <c r="R37" i="194"/>
  <c r="N91" i="194"/>
  <c r="O76" i="194"/>
  <c r="Q48" i="194"/>
  <c r="Q70" i="194"/>
  <c r="Q78" i="194" s="1"/>
  <c r="R92" i="194"/>
  <c r="F95" i="194"/>
  <c r="R93" i="194"/>
  <c r="M91" i="193"/>
  <c r="I78" i="193"/>
  <c r="N92" i="193"/>
  <c r="K48" i="193"/>
  <c r="K2" i="193" s="1"/>
  <c r="K95" i="193" s="1"/>
  <c r="K91" i="193" s="1"/>
  <c r="H2" i="193"/>
  <c r="H95" i="193" s="1"/>
  <c r="Q70" i="193"/>
  <c r="Q78" i="193" s="1"/>
  <c r="N48" i="193"/>
  <c r="N2" i="193" s="1"/>
  <c r="H78" i="193"/>
  <c r="J91" i="193"/>
  <c r="G78" i="193"/>
  <c r="R78" i="193" s="1"/>
  <c r="P48" i="193"/>
  <c r="P2" i="193" s="1"/>
  <c r="P95" i="193" s="1"/>
  <c r="P91" i="193" s="1"/>
  <c r="J48" i="193"/>
  <c r="J2" i="193" s="1"/>
  <c r="J95" i="193" s="1"/>
  <c r="F78" i="193"/>
  <c r="I2" i="193"/>
  <c r="I95" i="193" s="1"/>
  <c r="I91" i="193" s="1"/>
  <c r="Q37" i="193"/>
  <c r="R37" i="193" s="1"/>
  <c r="M2" i="193"/>
  <c r="M95" i="193" s="1"/>
  <c r="N78" i="193"/>
  <c r="R62" i="193"/>
  <c r="O76" i="193"/>
  <c r="O78" i="193" s="1"/>
  <c r="G48" i="193"/>
  <c r="G2" i="193" s="1"/>
  <c r="G95" i="193" s="1"/>
  <c r="L95" i="193"/>
  <c r="L91" i="193" s="1"/>
  <c r="Q25" i="193"/>
  <c r="Q48" i="193" s="1"/>
  <c r="H91" i="193"/>
  <c r="F2" i="193"/>
  <c r="J78" i="193"/>
  <c r="R92" i="193"/>
  <c r="G91" i="193"/>
  <c r="R70" i="192"/>
  <c r="Q70" i="192"/>
  <c r="Q78" i="192" s="1"/>
  <c r="M92" i="192"/>
  <c r="I78" i="192"/>
  <c r="H78" i="192"/>
  <c r="H2" i="192"/>
  <c r="H95" i="192" s="1"/>
  <c r="G91" i="192"/>
  <c r="P91" i="192"/>
  <c r="K78" i="192"/>
  <c r="J95" i="192"/>
  <c r="J91" i="192" s="1"/>
  <c r="P95" i="192"/>
  <c r="I91" i="192"/>
  <c r="F48" i="192"/>
  <c r="F2" i="192" s="1"/>
  <c r="Q25" i="192"/>
  <c r="Q48" i="192" s="1"/>
  <c r="Q2" i="192" s="1"/>
  <c r="Q95" i="192" s="1"/>
  <c r="Q91" i="192" s="1"/>
  <c r="G78" i="192"/>
  <c r="L78" i="192"/>
  <c r="R88" i="192"/>
  <c r="N92" i="192"/>
  <c r="K91" i="192"/>
  <c r="L2" i="192"/>
  <c r="L95" i="192" s="1"/>
  <c r="L91" i="192" s="1"/>
  <c r="N78" i="192"/>
  <c r="H91" i="192"/>
  <c r="O76" i="192"/>
  <c r="N2" i="192"/>
  <c r="F95" i="191"/>
  <c r="R2" i="191"/>
  <c r="R25" i="191"/>
  <c r="R48" i="191" s="1"/>
  <c r="K91" i="191"/>
  <c r="O78" i="191"/>
  <c r="G78" i="191"/>
  <c r="M95" i="191"/>
  <c r="N91" i="191"/>
  <c r="R70" i="191"/>
  <c r="H95" i="191"/>
  <c r="H91" i="191" s="1"/>
  <c r="N48" i="191"/>
  <c r="N2" i="191" s="1"/>
  <c r="N95" i="191" s="1"/>
  <c r="L91" i="191"/>
  <c r="L109" i="191" s="1"/>
  <c r="G91" i="191"/>
  <c r="R78" i="191"/>
  <c r="P2" i="191"/>
  <c r="P95" i="191" s="1"/>
  <c r="P91" i="191" s="1"/>
  <c r="I48" i="191"/>
  <c r="I2" i="191" s="1"/>
  <c r="I95" i="191" s="1"/>
  <c r="I91" i="191" s="1"/>
  <c r="N78" i="191"/>
  <c r="J2" i="191"/>
  <c r="J95" i="191" s="1"/>
  <c r="J91" i="191" s="1"/>
  <c r="F91" i="191"/>
  <c r="Q93" i="191"/>
  <c r="O91" i="191"/>
  <c r="G48" i="191"/>
  <c r="G2" i="191" s="1"/>
  <c r="G95" i="191" s="1"/>
  <c r="Q25" i="191"/>
  <c r="Q48" i="191" s="1"/>
  <c r="Q2" i="191" s="1"/>
  <c r="R92" i="191"/>
  <c r="M91" i="191"/>
  <c r="L87" i="191"/>
  <c r="O48" i="191"/>
  <c r="O2" i="191" s="1"/>
  <c r="O95" i="191" s="1"/>
  <c r="J78" i="191"/>
  <c r="R37" i="190"/>
  <c r="G87" i="190"/>
  <c r="G109" i="190"/>
  <c r="J2" i="190"/>
  <c r="J95" i="190" s="1"/>
  <c r="J91" i="190" s="1"/>
  <c r="R76" i="190"/>
  <c r="O70" i="190"/>
  <c r="Q70" i="190" s="1"/>
  <c r="Q78" i="190" s="1"/>
  <c r="R49" i="190"/>
  <c r="N78" i="190"/>
  <c r="F78" i="190"/>
  <c r="F48" i="190"/>
  <c r="F2" i="190" s="1"/>
  <c r="M91" i="190"/>
  <c r="O48" i="190"/>
  <c r="O2" i="190" s="1"/>
  <c r="O95" i="190" s="1"/>
  <c r="O91" i="190"/>
  <c r="R92" i="190"/>
  <c r="L78" i="190"/>
  <c r="H2" i="190"/>
  <c r="H95" i="190" s="1"/>
  <c r="H91" i="190" s="1"/>
  <c r="M78" i="190"/>
  <c r="I48" i="190"/>
  <c r="I2" i="190" s="1"/>
  <c r="I95" i="190" s="1"/>
  <c r="I91" i="190" s="1"/>
  <c r="L2" i="190"/>
  <c r="L95" i="190" s="1"/>
  <c r="L91" i="190" s="1"/>
  <c r="Q25" i="190"/>
  <c r="Q48" i="190" s="1"/>
  <c r="K48" i="190"/>
  <c r="K2" i="190" s="1"/>
  <c r="K95" i="190" s="1"/>
  <c r="K91" i="190" s="1"/>
  <c r="P91" i="190"/>
  <c r="N87" i="190"/>
  <c r="N109" i="190"/>
  <c r="L91" i="189"/>
  <c r="H87" i="189"/>
  <c r="H109" i="189"/>
  <c r="G109" i="189"/>
  <c r="G87" i="189"/>
  <c r="F78" i="189"/>
  <c r="I2" i="189"/>
  <c r="I95" i="189" s="1"/>
  <c r="I91" i="189" s="1"/>
  <c r="F2" i="189"/>
  <c r="P95" i="189"/>
  <c r="Q25" i="189"/>
  <c r="Q48" i="189" s="1"/>
  <c r="P91" i="189"/>
  <c r="O76" i="189"/>
  <c r="O78" i="189" s="1"/>
  <c r="L48" i="189"/>
  <c r="L2" i="189" s="1"/>
  <c r="L95" i="189" s="1"/>
  <c r="M91" i="189"/>
  <c r="N78" i="189"/>
  <c r="N70" i="189"/>
  <c r="N2" i="189" s="1"/>
  <c r="N95" i="189" s="1"/>
  <c r="N91" i="189" s="1"/>
  <c r="O70" i="189"/>
  <c r="R49" i="189"/>
  <c r="G78" i="189"/>
  <c r="J2" i="189"/>
  <c r="J95" i="189" s="1"/>
  <c r="J91" i="189" s="1"/>
  <c r="L78" i="189"/>
  <c r="H78" i="189"/>
  <c r="K2" i="189"/>
  <c r="K95" i="189" s="1"/>
  <c r="K91" i="189" s="1"/>
  <c r="M91" i="188"/>
  <c r="N92" i="188"/>
  <c r="N95" i="188" s="1"/>
  <c r="O91" i="188"/>
  <c r="H95" i="188"/>
  <c r="H91" i="188" s="1"/>
  <c r="G78" i="188"/>
  <c r="R78" i="188" s="1"/>
  <c r="Q25" i="188"/>
  <c r="G2" i="188"/>
  <c r="G95" i="188" s="1"/>
  <c r="G91" i="188" s="1"/>
  <c r="J91" i="188"/>
  <c r="M95" i="188"/>
  <c r="I91" i="188"/>
  <c r="Q37" i="188"/>
  <c r="R37" i="188" s="1"/>
  <c r="R76" i="188"/>
  <c r="O2" i="188"/>
  <c r="O95" i="188" s="1"/>
  <c r="P2" i="188"/>
  <c r="P95" i="188" s="1"/>
  <c r="P91" i="188" s="1"/>
  <c r="L91" i="188"/>
  <c r="F48" i="188"/>
  <c r="F2" i="188" s="1"/>
  <c r="K95" i="188"/>
  <c r="K91" i="188" s="1"/>
  <c r="O2" i="187"/>
  <c r="O95" i="187" s="1"/>
  <c r="O91" i="187" s="1"/>
  <c r="H91" i="187"/>
  <c r="N2" i="187"/>
  <c r="N95" i="187" s="1"/>
  <c r="R37" i="187"/>
  <c r="H48" i="187"/>
  <c r="H2" i="187" s="1"/>
  <c r="H95" i="187" s="1"/>
  <c r="O70" i="187"/>
  <c r="R76" i="187"/>
  <c r="N92" i="187"/>
  <c r="R49" i="187"/>
  <c r="M95" i="187"/>
  <c r="J91" i="187"/>
  <c r="L48" i="187"/>
  <c r="L2" i="187" s="1"/>
  <c r="L95" i="187" s="1"/>
  <c r="L91" i="187" s="1"/>
  <c r="G2" i="187"/>
  <c r="G95" i="187" s="1"/>
  <c r="G91" i="187" s="1"/>
  <c r="K91" i="187"/>
  <c r="P91" i="187"/>
  <c r="M78" i="187"/>
  <c r="O76" i="187"/>
  <c r="O78" i="187" s="1"/>
  <c r="M92" i="187"/>
  <c r="F78" i="187"/>
  <c r="I48" i="187"/>
  <c r="I2" i="187" s="1"/>
  <c r="I95" i="187" s="1"/>
  <c r="I91" i="187" s="1"/>
  <c r="R88" i="187"/>
  <c r="Q25" i="187"/>
  <c r="Q48" i="187" s="1"/>
  <c r="P48" i="187"/>
  <c r="P2" i="187" s="1"/>
  <c r="P95" i="187" s="1"/>
  <c r="F95" i="187"/>
  <c r="K48" i="187"/>
  <c r="K2" i="187" s="1"/>
  <c r="K95" i="187" s="1"/>
  <c r="J2" i="187"/>
  <c r="J95" i="187" s="1"/>
  <c r="N95" i="186"/>
  <c r="R70" i="186"/>
  <c r="O2" i="186"/>
  <c r="O95" i="186" s="1"/>
  <c r="O91" i="186" s="1"/>
  <c r="F95" i="186"/>
  <c r="L91" i="186"/>
  <c r="J91" i="186"/>
  <c r="R37" i="186"/>
  <c r="K91" i="186"/>
  <c r="H2" i="186"/>
  <c r="H95" i="186" s="1"/>
  <c r="Q25" i="186"/>
  <c r="Q48" i="186" s="1"/>
  <c r="Q2" i="186" s="1"/>
  <c r="Q95" i="186" s="1"/>
  <c r="Q91" i="186" s="1"/>
  <c r="R76" i="186"/>
  <c r="F91" i="186"/>
  <c r="R52" i="186"/>
  <c r="L95" i="186"/>
  <c r="O76" i="186"/>
  <c r="O78" i="186" s="1"/>
  <c r="P2" i="186"/>
  <c r="P95" i="186" s="1"/>
  <c r="P91" i="186" s="1"/>
  <c r="G91" i="186"/>
  <c r="I2" i="186"/>
  <c r="I95" i="186" s="1"/>
  <c r="I91" i="186" s="1"/>
  <c r="R78" i="186"/>
  <c r="N92" i="186"/>
  <c r="M2" i="186"/>
  <c r="M95" i="186" s="1"/>
  <c r="M91" i="186" s="1"/>
  <c r="H78" i="186"/>
  <c r="H91" i="186"/>
  <c r="R92" i="186"/>
  <c r="R93" i="185"/>
  <c r="H91" i="185"/>
  <c r="I2" i="185"/>
  <c r="I95" i="185" s="1"/>
  <c r="L78" i="185"/>
  <c r="Q25" i="185"/>
  <c r="J2" i="185"/>
  <c r="J95" i="185" s="1"/>
  <c r="J91" i="185" s="1"/>
  <c r="Q37" i="185"/>
  <c r="R37" i="185" s="1"/>
  <c r="G48" i="185"/>
  <c r="G2" i="185" s="1"/>
  <c r="G95" i="185" s="1"/>
  <c r="G78" i="185"/>
  <c r="R78" i="185" s="1"/>
  <c r="K2" i="185"/>
  <c r="K95" i="185" s="1"/>
  <c r="K91" i="185" s="1"/>
  <c r="F95" i="185"/>
  <c r="H95" i="185"/>
  <c r="R49" i="185"/>
  <c r="P91" i="185"/>
  <c r="N78" i="185"/>
  <c r="L48" i="185"/>
  <c r="L2" i="185" s="1"/>
  <c r="L95" i="185" s="1"/>
  <c r="L91" i="185" s="1"/>
  <c r="Q70" i="185"/>
  <c r="Q78" i="185" s="1"/>
  <c r="O76" i="185"/>
  <c r="O78" i="185" s="1"/>
  <c r="G91" i="185"/>
  <c r="I78" i="185"/>
  <c r="R76" i="185"/>
  <c r="M48" i="185"/>
  <c r="M2" i="185" s="1"/>
  <c r="N48" i="185"/>
  <c r="N2" i="185" s="1"/>
  <c r="I91" i="185"/>
  <c r="M92" i="185"/>
  <c r="R36" i="184"/>
  <c r="F91" i="184"/>
  <c r="N95" i="184"/>
  <c r="I91" i="184"/>
  <c r="M92" i="184"/>
  <c r="F95" i="184"/>
  <c r="R92" i="184"/>
  <c r="H91" i="184"/>
  <c r="N78" i="184"/>
  <c r="J91" i="184"/>
  <c r="N92" i="184"/>
  <c r="Q25" i="184"/>
  <c r="Q48" i="184" s="1"/>
  <c r="P48" i="184"/>
  <c r="P2" i="184" s="1"/>
  <c r="P95" i="184" s="1"/>
  <c r="P91" i="184" s="1"/>
  <c r="J78" i="184"/>
  <c r="K91" i="184"/>
  <c r="Q37" i="184"/>
  <c r="R37" i="184" s="1"/>
  <c r="I78" i="184"/>
  <c r="R25" i="184"/>
  <c r="O48" i="184"/>
  <c r="O2" i="184" s="1"/>
  <c r="O95" i="184" s="1"/>
  <c r="O91" i="184" s="1"/>
  <c r="O70" i="184"/>
  <c r="R49" i="184"/>
  <c r="G91" i="184"/>
  <c r="M95" i="184"/>
  <c r="L48" i="184"/>
  <c r="L2" i="184" s="1"/>
  <c r="L95" i="184" s="1"/>
  <c r="L91" i="184"/>
  <c r="R76" i="184"/>
  <c r="R37" i="183"/>
  <c r="R70" i="183"/>
  <c r="L87" i="183"/>
  <c r="Q37" i="183"/>
  <c r="I91" i="183"/>
  <c r="G91" i="183"/>
  <c r="M95" i="183"/>
  <c r="O2" i="183"/>
  <c r="O95" i="183" s="1"/>
  <c r="J78" i="183"/>
  <c r="M78" i="183"/>
  <c r="N92" i="183"/>
  <c r="M92" i="183"/>
  <c r="Q70" i="183"/>
  <c r="Q78" i="183" s="1"/>
  <c r="P91" i="183"/>
  <c r="R93" i="183"/>
  <c r="O76" i="183"/>
  <c r="O78" i="183" s="1"/>
  <c r="K78" i="183"/>
  <c r="K91" i="183"/>
  <c r="R76" i="183"/>
  <c r="J91" i="183"/>
  <c r="F78" i="183"/>
  <c r="R78" i="183" s="1"/>
  <c r="R24" i="183"/>
  <c r="O91" i="183"/>
  <c r="R88" i="183"/>
  <c r="F48" i="183"/>
  <c r="F2" i="183" s="1"/>
  <c r="Q25" i="183"/>
  <c r="Q48" i="183" s="1"/>
  <c r="Q2" i="183" s="1"/>
  <c r="Q95" i="183" s="1"/>
  <c r="Q91" i="183" s="1"/>
  <c r="I2" i="183"/>
  <c r="I95" i="183" s="1"/>
  <c r="N78" i="183"/>
  <c r="R49" i="183"/>
  <c r="H91" i="183"/>
  <c r="L91" i="183"/>
  <c r="L109" i="183" s="1"/>
  <c r="P91" i="182"/>
  <c r="Q37" i="182"/>
  <c r="Q48" i="182" s="1"/>
  <c r="Q2" i="182" s="1"/>
  <c r="Q95" i="182" s="1"/>
  <c r="Q91" i="182" s="1"/>
  <c r="L78" i="182"/>
  <c r="R78" i="182" s="1"/>
  <c r="J91" i="182"/>
  <c r="M2" i="182"/>
  <c r="R37" i="182"/>
  <c r="L91" i="182"/>
  <c r="K91" i="182"/>
  <c r="Q70" i="182"/>
  <c r="Q78" i="182" s="1"/>
  <c r="R93" i="182"/>
  <c r="K2" i="182"/>
  <c r="K95" i="182" s="1"/>
  <c r="H78" i="182"/>
  <c r="H91" i="182"/>
  <c r="G91" i="182"/>
  <c r="F2" i="182"/>
  <c r="H2" i="182"/>
  <c r="H95" i="182" s="1"/>
  <c r="I95" i="182"/>
  <c r="I91" i="182" s="1"/>
  <c r="R25" i="182"/>
  <c r="F78" i="182"/>
  <c r="M92" i="182"/>
  <c r="O2" i="182"/>
  <c r="O95" i="182" s="1"/>
  <c r="O91" i="182" s="1"/>
  <c r="N92" i="182"/>
  <c r="N95" i="182" s="1"/>
  <c r="H109" i="181"/>
  <c r="H87" i="181"/>
  <c r="J87" i="181"/>
  <c r="J109" i="181"/>
  <c r="G91" i="181"/>
  <c r="R37" i="181"/>
  <c r="F95" i="181"/>
  <c r="I48" i="181"/>
  <c r="I2" i="181" s="1"/>
  <c r="I95" i="181" s="1"/>
  <c r="I91" i="181" s="1"/>
  <c r="O91" i="181"/>
  <c r="P91" i="181"/>
  <c r="O2" i="181"/>
  <c r="O95" i="181" s="1"/>
  <c r="Q70" i="181"/>
  <c r="Q78" i="181" s="1"/>
  <c r="R78" i="181" s="1"/>
  <c r="R76" i="181"/>
  <c r="Q93" i="181"/>
  <c r="Q25" i="181"/>
  <c r="Q48" i="181" s="1"/>
  <c r="N91" i="181"/>
  <c r="N2" i="181"/>
  <c r="N95" i="181" s="1"/>
  <c r="R25" i="181"/>
  <c r="R48" i="181" s="1"/>
  <c r="R62" i="181"/>
  <c r="J78" i="181"/>
  <c r="L2" i="181"/>
  <c r="L95" i="181" s="1"/>
  <c r="L91" i="181" s="1"/>
  <c r="G2" i="181"/>
  <c r="G95" i="181" s="1"/>
  <c r="K2" i="181"/>
  <c r="K95" i="181" s="1"/>
  <c r="K91" i="181" s="1"/>
  <c r="M2" i="181"/>
  <c r="M95" i="181" s="1"/>
  <c r="M91" i="181" s="1"/>
  <c r="R88" i="181"/>
  <c r="O2" i="180"/>
  <c r="O95" i="180" s="1"/>
  <c r="O91" i="180" s="1"/>
  <c r="J87" i="180"/>
  <c r="J109" i="180"/>
  <c r="I87" i="180"/>
  <c r="I109" i="180"/>
  <c r="H87" i="180"/>
  <c r="H109" i="180"/>
  <c r="L87" i="180"/>
  <c r="G109" i="180"/>
  <c r="G87" i="180"/>
  <c r="Q70" i="180"/>
  <c r="Q78" i="180" s="1"/>
  <c r="R70" i="180"/>
  <c r="P87" i="180"/>
  <c r="P109" i="180"/>
  <c r="F78" i="180"/>
  <c r="Q25" i="180"/>
  <c r="N2" i="180"/>
  <c r="N95" i="180" s="1"/>
  <c r="N91" i="180"/>
  <c r="H78" i="180"/>
  <c r="R76" i="180"/>
  <c r="F95" i="180"/>
  <c r="M91" i="180"/>
  <c r="O76" i="180"/>
  <c r="O78" i="180" s="1"/>
  <c r="K109" i="180"/>
  <c r="K87" i="180"/>
  <c r="P87" i="179"/>
  <c r="P109" i="179"/>
  <c r="R70" i="179"/>
  <c r="Q37" i="179"/>
  <c r="R37" i="179" s="1"/>
  <c r="F95" i="179"/>
  <c r="M92" i="179"/>
  <c r="L78" i="179"/>
  <c r="R78" i="179" s="1"/>
  <c r="J91" i="179"/>
  <c r="M95" i="179"/>
  <c r="O2" i="179"/>
  <c r="O95" i="179" s="1"/>
  <c r="O91" i="179" s="1"/>
  <c r="L37" i="179"/>
  <c r="G91" i="179"/>
  <c r="I48" i="179"/>
  <c r="I2" i="179" s="1"/>
  <c r="I95" i="179" s="1"/>
  <c r="R49" i="179"/>
  <c r="N48" i="179"/>
  <c r="N2" i="179" s="1"/>
  <c r="F91" i="179"/>
  <c r="Q70" i="179"/>
  <c r="Q78" i="179" s="1"/>
  <c r="F78" i="179"/>
  <c r="I91" i="179"/>
  <c r="H78" i="179"/>
  <c r="O76" i="179"/>
  <c r="O78" i="179" s="1"/>
  <c r="K48" i="179"/>
  <c r="K2" i="179" s="1"/>
  <c r="K95" i="179" s="1"/>
  <c r="K91" i="179" s="1"/>
  <c r="R25" i="179"/>
  <c r="H91" i="179"/>
  <c r="H48" i="179"/>
  <c r="H2" i="179" s="1"/>
  <c r="H95" i="179" s="1"/>
  <c r="R76" i="179"/>
  <c r="L48" i="179"/>
  <c r="L2" i="179" s="1"/>
  <c r="L95" i="179" s="1"/>
  <c r="L91" i="179" s="1"/>
  <c r="G2" i="179"/>
  <c r="G95" i="179" s="1"/>
  <c r="I78" i="179"/>
  <c r="J78" i="179"/>
  <c r="O2" i="178"/>
  <c r="O95" i="178" s="1"/>
  <c r="O91" i="178" s="1"/>
  <c r="L37" i="178"/>
  <c r="L48" i="178" s="1"/>
  <c r="L2" i="178" s="1"/>
  <c r="L95" i="178" s="1"/>
  <c r="L91" i="178" s="1"/>
  <c r="M92" i="178"/>
  <c r="K91" i="178"/>
  <c r="R93" i="178"/>
  <c r="Q70" i="178"/>
  <c r="Q78" i="178" s="1"/>
  <c r="J48" i="178"/>
  <c r="J2" i="178" s="1"/>
  <c r="J95" i="178" s="1"/>
  <c r="J91" i="178" s="1"/>
  <c r="M78" i="178"/>
  <c r="H91" i="178"/>
  <c r="P91" i="178"/>
  <c r="K2" i="178"/>
  <c r="K95" i="178" s="1"/>
  <c r="H95" i="178"/>
  <c r="R76" i="178"/>
  <c r="F48" i="178"/>
  <c r="F2" i="178" s="1"/>
  <c r="Q25" i="178"/>
  <c r="I2" i="178"/>
  <c r="I95" i="178" s="1"/>
  <c r="J78" i="178"/>
  <c r="I91" i="178"/>
  <c r="O76" i="178"/>
  <c r="O78" i="178" s="1"/>
  <c r="R49" i="178"/>
  <c r="I78" i="178"/>
  <c r="R78" i="178" s="1"/>
  <c r="G2" i="178"/>
  <c r="G95" i="178" s="1"/>
  <c r="G91" i="178" s="1"/>
  <c r="H109" i="177"/>
  <c r="H87" i="177"/>
  <c r="G109" i="177"/>
  <c r="G87" i="177"/>
  <c r="J87" i="177"/>
  <c r="J109" i="177"/>
  <c r="K91" i="177"/>
  <c r="L2" i="177"/>
  <c r="L95" i="177" s="1"/>
  <c r="L91" i="177" s="1"/>
  <c r="Q93" i="177"/>
  <c r="M91" i="177"/>
  <c r="N92" i="177"/>
  <c r="P91" i="177"/>
  <c r="O2" i="177"/>
  <c r="O95" i="177" s="1"/>
  <c r="O91" i="177" s="1"/>
  <c r="M2" i="177"/>
  <c r="M95" i="177" s="1"/>
  <c r="N78" i="177"/>
  <c r="Q25" i="177"/>
  <c r="R92" i="177"/>
  <c r="P48" i="177"/>
  <c r="P2" i="177" s="1"/>
  <c r="P95" i="177" s="1"/>
  <c r="K48" i="177"/>
  <c r="K2" i="177" s="1"/>
  <c r="K95" i="177" s="1"/>
  <c r="N48" i="177"/>
  <c r="N2" i="177" s="1"/>
  <c r="L78" i="177"/>
  <c r="K78" i="177"/>
  <c r="R78" i="177" s="1"/>
  <c r="F48" i="177"/>
  <c r="F2" i="177" s="1"/>
  <c r="I48" i="177"/>
  <c r="I2" i="177" s="1"/>
  <c r="I95" i="177" s="1"/>
  <c r="I91" i="177" s="1"/>
  <c r="R76" i="177"/>
  <c r="F95" i="176"/>
  <c r="P109" i="176"/>
  <c r="P87" i="176"/>
  <c r="O78" i="176"/>
  <c r="R76" i="176"/>
  <c r="Q25" i="176"/>
  <c r="I2" i="176"/>
  <c r="I95" i="176" s="1"/>
  <c r="I91" i="176" s="1"/>
  <c r="Q70" i="176"/>
  <c r="Q78" i="176" s="1"/>
  <c r="Q37" i="176"/>
  <c r="H91" i="176"/>
  <c r="R25" i="176"/>
  <c r="O48" i="176"/>
  <c r="O2" i="176" s="1"/>
  <c r="O95" i="176" s="1"/>
  <c r="O91" i="176" s="1"/>
  <c r="R37" i="176"/>
  <c r="J91" i="176"/>
  <c r="G91" i="176"/>
  <c r="N78" i="176"/>
  <c r="R78" i="176" s="1"/>
  <c r="L37" i="176"/>
  <c r="L48" i="176" s="1"/>
  <c r="L2" i="176" s="1"/>
  <c r="L95" i="176" s="1"/>
  <c r="L91" i="176" s="1"/>
  <c r="M92" i="176"/>
  <c r="F78" i="176"/>
  <c r="K91" i="176"/>
  <c r="P109" i="175"/>
  <c r="P87" i="175"/>
  <c r="G109" i="175"/>
  <c r="G87" i="175"/>
  <c r="O48" i="175"/>
  <c r="Q25" i="175"/>
  <c r="Q48" i="175" s="1"/>
  <c r="L87" i="175"/>
  <c r="R88" i="175"/>
  <c r="I48" i="175"/>
  <c r="I2" i="175" s="1"/>
  <c r="I95" i="175" s="1"/>
  <c r="I91" i="175" s="1"/>
  <c r="O76" i="175"/>
  <c r="F48" i="175"/>
  <c r="F2" i="175" s="1"/>
  <c r="L2" i="175"/>
  <c r="L95" i="175" s="1"/>
  <c r="L91" i="175" s="1"/>
  <c r="L109" i="175" s="1"/>
  <c r="R25" i="175"/>
  <c r="R48" i="175" s="1"/>
  <c r="O70" i="175"/>
  <c r="Q70" i="175" s="1"/>
  <c r="Q78" i="175" s="1"/>
  <c r="N91" i="175"/>
  <c r="M91" i="175"/>
  <c r="R92" i="175"/>
  <c r="K2" i="175"/>
  <c r="K95" i="175" s="1"/>
  <c r="K91" i="175" s="1"/>
  <c r="K78" i="175"/>
  <c r="J78" i="175"/>
  <c r="H78" i="175"/>
  <c r="M78" i="175"/>
  <c r="M48" i="175"/>
  <c r="M2" i="175" s="1"/>
  <c r="M95" i="175" s="1"/>
  <c r="R12" i="175"/>
  <c r="H48" i="175"/>
  <c r="H2" i="175" s="1"/>
  <c r="H95" i="175" s="1"/>
  <c r="H91" i="175" s="1"/>
  <c r="R76" i="175"/>
  <c r="J2" i="175"/>
  <c r="J95" i="175" s="1"/>
  <c r="J91" i="175" s="1"/>
  <c r="R70" i="174"/>
  <c r="L109" i="174"/>
  <c r="L87" i="174"/>
  <c r="R93" i="174"/>
  <c r="K95" i="174"/>
  <c r="K91" i="174" s="1"/>
  <c r="F78" i="174"/>
  <c r="N78" i="174"/>
  <c r="H2" i="174"/>
  <c r="H95" i="174" s="1"/>
  <c r="H91" i="174" s="1"/>
  <c r="Q70" i="174"/>
  <c r="Q78" i="174" s="1"/>
  <c r="L78" i="174"/>
  <c r="J48" i="174"/>
  <c r="J2" i="174" s="1"/>
  <c r="J95" i="174" s="1"/>
  <c r="J91" i="174" s="1"/>
  <c r="P91" i="174"/>
  <c r="Q93" i="174"/>
  <c r="Q25" i="174"/>
  <c r="Q48" i="174" s="1"/>
  <c r="Q2" i="174" s="1"/>
  <c r="Q95" i="174" s="1"/>
  <c r="M2" i="174"/>
  <c r="M95" i="174" s="1"/>
  <c r="M91" i="174"/>
  <c r="N92" i="174"/>
  <c r="G91" i="174"/>
  <c r="R49" i="174"/>
  <c r="I48" i="174"/>
  <c r="I2" i="174" s="1"/>
  <c r="I95" i="174" s="1"/>
  <c r="I91" i="174" s="1"/>
  <c r="O76" i="174"/>
  <c r="G48" i="174"/>
  <c r="G2" i="174" s="1"/>
  <c r="G95" i="174" s="1"/>
  <c r="R92" i="174"/>
  <c r="O25" i="174"/>
  <c r="O48" i="174" s="1"/>
  <c r="F2" i="174"/>
  <c r="N95" i="174"/>
  <c r="R37" i="173"/>
  <c r="R93" i="173"/>
  <c r="M91" i="173"/>
  <c r="H91" i="173"/>
  <c r="Q48" i="173"/>
  <c r="J95" i="173"/>
  <c r="O70" i="173"/>
  <c r="L95" i="173"/>
  <c r="L91" i="173" s="1"/>
  <c r="I95" i="173"/>
  <c r="I91" i="173" s="1"/>
  <c r="J91" i="173"/>
  <c r="N92" i="173"/>
  <c r="N95" i="173" s="1"/>
  <c r="P91" i="173"/>
  <c r="G91" i="173"/>
  <c r="K95" i="173"/>
  <c r="K91" i="173" s="1"/>
  <c r="F78" i="173"/>
  <c r="R25" i="173"/>
  <c r="R48" i="173" s="1"/>
  <c r="M95" i="173"/>
  <c r="F95" i="173"/>
  <c r="F109" i="238" l="1"/>
  <c r="F87" i="238"/>
  <c r="N95" i="238"/>
  <c r="N91" i="238" s="1"/>
  <c r="K87" i="238"/>
  <c r="K109" i="238"/>
  <c r="J109" i="238"/>
  <c r="J87" i="238"/>
  <c r="Q109" i="238"/>
  <c r="Q87" i="238"/>
  <c r="I109" i="238"/>
  <c r="I87" i="238"/>
  <c r="M91" i="238"/>
  <c r="L109" i="238"/>
  <c r="L87" i="238"/>
  <c r="R92" i="238"/>
  <c r="H109" i="238"/>
  <c r="H87" i="238"/>
  <c r="G109" i="238"/>
  <c r="G87" i="238"/>
  <c r="O2" i="238"/>
  <c r="O95" i="238" s="1"/>
  <c r="O91" i="238" s="1"/>
  <c r="R25" i="238"/>
  <c r="R48" i="238" s="1"/>
  <c r="R70" i="237"/>
  <c r="M109" i="237"/>
  <c r="M87" i="237"/>
  <c r="F109" i="237"/>
  <c r="F87" i="237"/>
  <c r="R78" i="237"/>
  <c r="L109" i="237"/>
  <c r="L87" i="237"/>
  <c r="P109" i="237"/>
  <c r="P87" i="237"/>
  <c r="H109" i="237"/>
  <c r="H87" i="237"/>
  <c r="J87" i="237"/>
  <c r="J109" i="237"/>
  <c r="N91" i="237"/>
  <c r="R91" i="237" s="1"/>
  <c r="Q70" i="237"/>
  <c r="Q78" i="237" s="1"/>
  <c r="I109" i="237"/>
  <c r="I87" i="237"/>
  <c r="K87" i="237"/>
  <c r="K109" i="237"/>
  <c r="O78" i="237"/>
  <c r="R76" i="237"/>
  <c r="O2" i="237"/>
  <c r="O95" i="237" s="1"/>
  <c r="O91" i="237" s="1"/>
  <c r="G109" i="237"/>
  <c r="G87" i="237"/>
  <c r="Q2" i="237"/>
  <c r="Q95" i="237" s="1"/>
  <c r="Q91" i="237" s="1"/>
  <c r="Q109" i="236"/>
  <c r="Q87" i="236"/>
  <c r="R92" i="236"/>
  <c r="O87" i="236"/>
  <c r="O109" i="236"/>
  <c r="R2" i="236"/>
  <c r="R25" i="236"/>
  <c r="R48" i="236" s="1"/>
  <c r="R95" i="236"/>
  <c r="F91" i="236"/>
  <c r="G109" i="236"/>
  <c r="G87" i="236"/>
  <c r="N91" i="236"/>
  <c r="M109" i="236"/>
  <c r="M87" i="236"/>
  <c r="F95" i="235"/>
  <c r="P109" i="235"/>
  <c r="P87" i="235"/>
  <c r="O78" i="235"/>
  <c r="O2" i="235"/>
  <c r="O95" i="235" s="1"/>
  <c r="O91" i="235" s="1"/>
  <c r="Q2" i="235"/>
  <c r="Q95" i="235" s="1"/>
  <c r="Q91" i="235" s="1"/>
  <c r="R25" i="235"/>
  <c r="R48" i="235" s="1"/>
  <c r="N78" i="235"/>
  <c r="R78" i="235" s="1"/>
  <c r="J109" i="235"/>
  <c r="J87" i="235"/>
  <c r="K109" i="235"/>
  <c r="K87" i="235"/>
  <c r="I109" i="235"/>
  <c r="I87" i="235"/>
  <c r="N2" i="235"/>
  <c r="N95" i="235" s="1"/>
  <c r="N91" i="235" s="1"/>
  <c r="R92" i="235"/>
  <c r="R70" i="235"/>
  <c r="G109" i="235"/>
  <c r="G87" i="235"/>
  <c r="H109" i="235"/>
  <c r="H87" i="235"/>
  <c r="M109" i="235"/>
  <c r="M87" i="235"/>
  <c r="G109" i="234"/>
  <c r="G87" i="234"/>
  <c r="K87" i="234"/>
  <c r="K109" i="234"/>
  <c r="M109" i="234"/>
  <c r="M87" i="234"/>
  <c r="I109" i="234"/>
  <c r="I87" i="234"/>
  <c r="Q109" i="234"/>
  <c r="Q87" i="234"/>
  <c r="N95" i="234"/>
  <c r="N91" i="234" s="1"/>
  <c r="R2" i="234"/>
  <c r="J87" i="234"/>
  <c r="J109" i="234"/>
  <c r="L109" i="234"/>
  <c r="L87" i="234"/>
  <c r="H109" i="234"/>
  <c r="H87" i="234"/>
  <c r="F109" i="234"/>
  <c r="F87" i="234"/>
  <c r="R25" i="234"/>
  <c r="R48" i="234" s="1"/>
  <c r="P109" i="234"/>
  <c r="P87" i="234"/>
  <c r="O109" i="234"/>
  <c r="O87" i="234"/>
  <c r="L109" i="233"/>
  <c r="L87" i="233"/>
  <c r="R2" i="233"/>
  <c r="H109" i="233"/>
  <c r="H87" i="233"/>
  <c r="K109" i="233"/>
  <c r="K87" i="233"/>
  <c r="G87" i="233"/>
  <c r="G109" i="233"/>
  <c r="O78" i="233"/>
  <c r="R76" i="233"/>
  <c r="F109" i="233"/>
  <c r="F87" i="233"/>
  <c r="Q48" i="233"/>
  <c r="Q2" i="233" s="1"/>
  <c r="Q95" i="233" s="1"/>
  <c r="Q91" i="233" s="1"/>
  <c r="R25" i="233"/>
  <c r="R48" i="233" s="1"/>
  <c r="J87" i="233"/>
  <c r="J109" i="233"/>
  <c r="Q70" i="233"/>
  <c r="O2" i="233"/>
  <c r="O95" i="233" s="1"/>
  <c r="O91" i="233" s="1"/>
  <c r="M95" i="233"/>
  <c r="M91" i="233" s="1"/>
  <c r="I109" i="233"/>
  <c r="I87" i="233"/>
  <c r="N92" i="233"/>
  <c r="N109" i="232"/>
  <c r="N87" i="232"/>
  <c r="K109" i="232"/>
  <c r="K87" i="232"/>
  <c r="F95" i="232"/>
  <c r="L87" i="232"/>
  <c r="O78" i="232"/>
  <c r="R78" i="232" s="1"/>
  <c r="J109" i="232"/>
  <c r="J87" i="232"/>
  <c r="P109" i="232"/>
  <c r="P87" i="232"/>
  <c r="O109" i="232"/>
  <c r="O87" i="232"/>
  <c r="Q2" i="232"/>
  <c r="Q95" i="232" s="1"/>
  <c r="Q91" i="232" s="1"/>
  <c r="R25" i="232"/>
  <c r="R48" i="232" s="1"/>
  <c r="M109" i="232"/>
  <c r="M87" i="232"/>
  <c r="K109" i="231"/>
  <c r="K87" i="231"/>
  <c r="R78" i="231"/>
  <c r="R48" i="231"/>
  <c r="F95" i="231"/>
  <c r="I109" i="231"/>
  <c r="I87" i="231"/>
  <c r="J109" i="231"/>
  <c r="J87" i="231"/>
  <c r="O87" i="231"/>
  <c r="O109" i="231"/>
  <c r="N91" i="231"/>
  <c r="H109" i="231"/>
  <c r="H87" i="231"/>
  <c r="G109" i="231"/>
  <c r="G87" i="231"/>
  <c r="L48" i="231"/>
  <c r="L2" i="231" s="1"/>
  <c r="L95" i="231" s="1"/>
  <c r="L91" i="231" s="1"/>
  <c r="R37" i="231"/>
  <c r="R92" i="231"/>
  <c r="M91" i="231"/>
  <c r="Q37" i="231"/>
  <c r="Q48" i="231" s="1"/>
  <c r="Q2" i="231" s="1"/>
  <c r="R70" i="231"/>
  <c r="O78" i="231"/>
  <c r="Q70" i="231"/>
  <c r="Q78" i="231" s="1"/>
  <c r="O87" i="230"/>
  <c r="O109" i="230"/>
  <c r="H87" i="230"/>
  <c r="H109" i="230"/>
  <c r="N87" i="230"/>
  <c r="N109" i="230"/>
  <c r="L2" i="230"/>
  <c r="L95" i="230" s="1"/>
  <c r="L91" i="230" s="1"/>
  <c r="G87" i="230"/>
  <c r="G109" i="230"/>
  <c r="J109" i="230"/>
  <c r="J87" i="230"/>
  <c r="I87" i="230"/>
  <c r="I109" i="230"/>
  <c r="K109" i="230"/>
  <c r="K87" i="230"/>
  <c r="R70" i="230"/>
  <c r="M87" i="230"/>
  <c r="M109" i="230"/>
  <c r="Q48" i="230"/>
  <c r="Q2" i="230" s="1"/>
  <c r="Q95" i="230" s="1"/>
  <c r="Q91" i="230" s="1"/>
  <c r="P109" i="230"/>
  <c r="P87" i="230"/>
  <c r="F95" i="230"/>
  <c r="R76" i="230"/>
  <c r="M109" i="229"/>
  <c r="M87" i="229"/>
  <c r="K109" i="229"/>
  <c r="K87" i="229"/>
  <c r="L109" i="229"/>
  <c r="L87" i="229"/>
  <c r="N95" i="229"/>
  <c r="G109" i="229"/>
  <c r="G87" i="229"/>
  <c r="F95" i="229"/>
  <c r="H109" i="229"/>
  <c r="H87" i="229"/>
  <c r="I87" i="229"/>
  <c r="I109" i="229"/>
  <c r="N91" i="229"/>
  <c r="Q2" i="229"/>
  <c r="Q95" i="229" s="1"/>
  <c r="Q91" i="229" s="1"/>
  <c r="J109" i="229"/>
  <c r="J87" i="229"/>
  <c r="O109" i="229"/>
  <c r="O87" i="229"/>
  <c r="R70" i="229"/>
  <c r="R92" i="229"/>
  <c r="H109" i="228"/>
  <c r="H87" i="228"/>
  <c r="K87" i="228"/>
  <c r="K109" i="228"/>
  <c r="R70" i="228"/>
  <c r="N109" i="228"/>
  <c r="N87" i="228"/>
  <c r="O2" i="228"/>
  <c r="O95" i="228" s="1"/>
  <c r="O91" i="228" s="1"/>
  <c r="Q70" i="228"/>
  <c r="Q78" i="228" s="1"/>
  <c r="Q48" i="228"/>
  <c r="Q2" i="228" s="1"/>
  <c r="Q95" i="228" s="1"/>
  <c r="Q91" i="228" s="1"/>
  <c r="O78" i="228"/>
  <c r="R78" i="228" s="1"/>
  <c r="P87" i="228"/>
  <c r="P109" i="228"/>
  <c r="F91" i="228"/>
  <c r="J109" i="228"/>
  <c r="J87" i="228"/>
  <c r="R48" i="228"/>
  <c r="G109" i="228"/>
  <c r="G87" i="228"/>
  <c r="L109" i="228"/>
  <c r="L87" i="228"/>
  <c r="I109" i="228"/>
  <c r="I87" i="228"/>
  <c r="M109" i="228"/>
  <c r="M87" i="228"/>
  <c r="I87" i="227"/>
  <c r="I109" i="227"/>
  <c r="O109" i="227"/>
  <c r="O87" i="227"/>
  <c r="H109" i="227"/>
  <c r="H87" i="227"/>
  <c r="J87" i="227"/>
  <c r="J109" i="227"/>
  <c r="Q91" i="227"/>
  <c r="K109" i="227"/>
  <c r="K87" i="227"/>
  <c r="M109" i="227"/>
  <c r="M87" i="227"/>
  <c r="R25" i="227"/>
  <c r="R48" i="227" s="1"/>
  <c r="R93" i="227"/>
  <c r="L87" i="227"/>
  <c r="P109" i="227"/>
  <c r="P87" i="227"/>
  <c r="F95" i="227"/>
  <c r="R2" i="227"/>
  <c r="N91" i="227"/>
  <c r="R92" i="227"/>
  <c r="N109" i="226"/>
  <c r="N87" i="226"/>
  <c r="P87" i="226"/>
  <c r="P109" i="226"/>
  <c r="H87" i="226"/>
  <c r="H109" i="226"/>
  <c r="G109" i="226"/>
  <c r="G87" i="226"/>
  <c r="J87" i="226"/>
  <c r="J109" i="226"/>
  <c r="I109" i="226"/>
  <c r="I87" i="226"/>
  <c r="L109" i="226"/>
  <c r="L87" i="226"/>
  <c r="K87" i="226"/>
  <c r="K109" i="226"/>
  <c r="F95" i="226"/>
  <c r="M109" i="226"/>
  <c r="M87" i="226"/>
  <c r="O48" i="226"/>
  <c r="O2" i="226" s="1"/>
  <c r="O95" i="226" s="1"/>
  <c r="O91" i="226" s="1"/>
  <c r="Q25" i="226"/>
  <c r="Q48" i="226" s="1"/>
  <c r="Q2" i="226" s="1"/>
  <c r="Q95" i="226" s="1"/>
  <c r="Q91" i="226" s="1"/>
  <c r="J87" i="225"/>
  <c r="J109" i="225"/>
  <c r="K87" i="225"/>
  <c r="K109" i="225"/>
  <c r="R92" i="225"/>
  <c r="M95" i="225"/>
  <c r="O2" i="225"/>
  <c r="O95" i="225" s="1"/>
  <c r="O91" i="225" s="1"/>
  <c r="L48" i="225"/>
  <c r="L2" i="225" s="1"/>
  <c r="L95" i="225" s="1"/>
  <c r="L91" i="225" s="1"/>
  <c r="H109" i="225"/>
  <c r="H87" i="225"/>
  <c r="Q37" i="225"/>
  <c r="Q48" i="225" s="1"/>
  <c r="Q2" i="225" s="1"/>
  <c r="Q95" i="225" s="1"/>
  <c r="Q91" i="225" s="1"/>
  <c r="I109" i="225"/>
  <c r="I87" i="225"/>
  <c r="M91" i="225"/>
  <c r="N95" i="225"/>
  <c r="N91" i="225" s="1"/>
  <c r="F109" i="225"/>
  <c r="F87" i="225"/>
  <c r="G109" i="225"/>
  <c r="G87" i="225"/>
  <c r="R70" i="225"/>
  <c r="F109" i="224"/>
  <c r="F87" i="224"/>
  <c r="M109" i="224"/>
  <c r="M87" i="224"/>
  <c r="H87" i="224"/>
  <c r="H109" i="224"/>
  <c r="N91" i="224"/>
  <c r="O87" i="224"/>
  <c r="O109" i="224"/>
  <c r="O78" i="224"/>
  <c r="R78" i="224" s="1"/>
  <c r="R76" i="224"/>
  <c r="Q48" i="224"/>
  <c r="Q2" i="224" s="1"/>
  <c r="Q95" i="224" s="1"/>
  <c r="Q91" i="224" s="1"/>
  <c r="R48" i="224"/>
  <c r="K109" i="224"/>
  <c r="K87" i="224"/>
  <c r="L109" i="224"/>
  <c r="L87" i="224"/>
  <c r="J109" i="224"/>
  <c r="J87" i="224"/>
  <c r="P87" i="224"/>
  <c r="P109" i="224"/>
  <c r="G109" i="224"/>
  <c r="G87" i="224"/>
  <c r="I87" i="224"/>
  <c r="I109" i="224"/>
  <c r="R92" i="224"/>
  <c r="N95" i="224"/>
  <c r="H87" i="223"/>
  <c r="H109" i="223"/>
  <c r="G109" i="223"/>
  <c r="G87" i="223"/>
  <c r="L109" i="223"/>
  <c r="L87" i="223"/>
  <c r="O78" i="223"/>
  <c r="R78" i="223" s="1"/>
  <c r="R76" i="223"/>
  <c r="J109" i="223"/>
  <c r="J87" i="223"/>
  <c r="I87" i="223"/>
  <c r="I109" i="223"/>
  <c r="Q48" i="223"/>
  <c r="Q2" i="223" s="1"/>
  <c r="Q95" i="223" s="1"/>
  <c r="Q91" i="223" s="1"/>
  <c r="M91" i="223"/>
  <c r="N92" i="223"/>
  <c r="F95" i="223"/>
  <c r="R2" i="223"/>
  <c r="K87" i="223"/>
  <c r="K109" i="223"/>
  <c r="P109" i="223"/>
  <c r="P87" i="223"/>
  <c r="O2" i="223"/>
  <c r="O95" i="223" s="1"/>
  <c r="O91" i="223" s="1"/>
  <c r="R70" i="223"/>
  <c r="N109" i="222"/>
  <c r="N87" i="222"/>
  <c r="L109" i="222"/>
  <c r="L87" i="222"/>
  <c r="R78" i="222"/>
  <c r="R95" i="222"/>
  <c r="F91" i="222"/>
  <c r="I109" i="222"/>
  <c r="I87" i="222"/>
  <c r="M109" i="222"/>
  <c r="M87" i="222"/>
  <c r="Q48" i="222"/>
  <c r="Q2" i="222" s="1"/>
  <c r="Q95" i="222" s="1"/>
  <c r="Q91" i="222" s="1"/>
  <c r="P87" i="222"/>
  <c r="P109" i="222"/>
  <c r="O78" i="222"/>
  <c r="R76" i="222"/>
  <c r="K87" i="222"/>
  <c r="K109" i="222"/>
  <c r="O2" i="222"/>
  <c r="O95" i="222" s="1"/>
  <c r="O91" i="222" s="1"/>
  <c r="G109" i="222"/>
  <c r="G87" i="222"/>
  <c r="H109" i="221"/>
  <c r="H87" i="221"/>
  <c r="J109" i="221"/>
  <c r="J87" i="221"/>
  <c r="K109" i="221"/>
  <c r="K87" i="221"/>
  <c r="Q48" i="221"/>
  <c r="Q2" i="221" s="1"/>
  <c r="Q95" i="221" s="1"/>
  <c r="Q91" i="221" s="1"/>
  <c r="R25" i="221"/>
  <c r="R48" i="221" s="1"/>
  <c r="F95" i="221"/>
  <c r="M91" i="221"/>
  <c r="R92" i="221"/>
  <c r="I109" i="221"/>
  <c r="I87" i="221"/>
  <c r="G109" i="221"/>
  <c r="G87" i="221"/>
  <c r="R70" i="221"/>
  <c r="L109" i="221"/>
  <c r="L87" i="221"/>
  <c r="O78" i="221"/>
  <c r="R78" i="221" s="1"/>
  <c r="O2" i="221"/>
  <c r="O95" i="221" s="1"/>
  <c r="O91" i="221" s="1"/>
  <c r="N91" i="221"/>
  <c r="P109" i="221"/>
  <c r="P87" i="221"/>
  <c r="O87" i="220"/>
  <c r="O109" i="220"/>
  <c r="L109" i="220"/>
  <c r="L87" i="220"/>
  <c r="Q109" i="220"/>
  <c r="Q87" i="220"/>
  <c r="K109" i="220"/>
  <c r="K87" i="220"/>
  <c r="M109" i="220"/>
  <c r="M87" i="220"/>
  <c r="R2" i="220"/>
  <c r="R25" i="220"/>
  <c r="R48" i="220" s="1"/>
  <c r="R95" i="220"/>
  <c r="F91" i="220"/>
  <c r="N109" i="220"/>
  <c r="N87" i="220"/>
  <c r="O78" i="220"/>
  <c r="R78" i="220" s="1"/>
  <c r="R76" i="220"/>
  <c r="R70" i="220"/>
  <c r="M109" i="219"/>
  <c r="M87" i="219"/>
  <c r="H87" i="219"/>
  <c r="H109" i="219"/>
  <c r="Q2" i="219"/>
  <c r="Q95" i="219" s="1"/>
  <c r="Q91" i="219" s="1"/>
  <c r="F95" i="219"/>
  <c r="K87" i="219"/>
  <c r="K109" i="219"/>
  <c r="N109" i="219"/>
  <c r="N87" i="219"/>
  <c r="I109" i="219"/>
  <c r="I87" i="219"/>
  <c r="R76" i="219"/>
  <c r="O2" i="219"/>
  <c r="O95" i="219" s="1"/>
  <c r="O91" i="219" s="1"/>
  <c r="R70" i="219"/>
  <c r="L109" i="219"/>
  <c r="L87" i="219"/>
  <c r="P109" i="219"/>
  <c r="P87" i="219"/>
  <c r="G109" i="219"/>
  <c r="G87" i="219"/>
  <c r="L109" i="218"/>
  <c r="L87" i="218"/>
  <c r="J87" i="218"/>
  <c r="J109" i="218"/>
  <c r="F95" i="218"/>
  <c r="R2" i="218"/>
  <c r="Q109" i="218"/>
  <c r="Q87" i="218"/>
  <c r="R25" i="218"/>
  <c r="R48" i="218" s="1"/>
  <c r="R70" i="218"/>
  <c r="O109" i="218"/>
  <c r="O87" i="218"/>
  <c r="K109" i="218"/>
  <c r="K87" i="218"/>
  <c r="N95" i="218"/>
  <c r="N91" i="218" s="1"/>
  <c r="G87" i="218"/>
  <c r="G109" i="218"/>
  <c r="I109" i="218"/>
  <c r="I87" i="218"/>
  <c r="H109" i="218"/>
  <c r="H87" i="218"/>
  <c r="M87" i="218"/>
  <c r="M109" i="218"/>
  <c r="J87" i="217"/>
  <c r="J109" i="217"/>
  <c r="G109" i="217"/>
  <c r="G87" i="217"/>
  <c r="N95" i="217"/>
  <c r="N91" i="217" s="1"/>
  <c r="R25" i="217"/>
  <c r="R48" i="217" s="1"/>
  <c r="K87" i="217"/>
  <c r="K109" i="217"/>
  <c r="M91" i="217"/>
  <c r="H87" i="217"/>
  <c r="H109" i="217"/>
  <c r="M95" i="217"/>
  <c r="F95" i="217"/>
  <c r="L87" i="217"/>
  <c r="R92" i="217"/>
  <c r="Q109" i="217"/>
  <c r="Q87" i="217"/>
  <c r="I87" i="217"/>
  <c r="I109" i="217"/>
  <c r="O2" i="217"/>
  <c r="O95" i="217" s="1"/>
  <c r="O91" i="217" s="1"/>
  <c r="M109" i="216"/>
  <c r="M87" i="216"/>
  <c r="P87" i="216"/>
  <c r="P109" i="216"/>
  <c r="J87" i="216"/>
  <c r="J109" i="216"/>
  <c r="G109" i="216"/>
  <c r="G87" i="216"/>
  <c r="N109" i="216"/>
  <c r="N87" i="216"/>
  <c r="O109" i="216"/>
  <c r="O87" i="216"/>
  <c r="F95" i="216"/>
  <c r="R2" i="216"/>
  <c r="Q91" i="216"/>
  <c r="K87" i="216"/>
  <c r="K109" i="216"/>
  <c r="H87" i="216"/>
  <c r="H109" i="216"/>
  <c r="R25" i="216"/>
  <c r="R48" i="216" s="1"/>
  <c r="P109" i="215"/>
  <c r="P87" i="215"/>
  <c r="O109" i="215"/>
  <c r="O87" i="215"/>
  <c r="N95" i="215"/>
  <c r="N91" i="215"/>
  <c r="G87" i="215"/>
  <c r="G109" i="215"/>
  <c r="K87" i="215"/>
  <c r="K109" i="215"/>
  <c r="I109" i="215"/>
  <c r="I87" i="215"/>
  <c r="H109" i="215"/>
  <c r="H87" i="215"/>
  <c r="F95" i="215"/>
  <c r="R2" i="215"/>
  <c r="Q91" i="215"/>
  <c r="R70" i="215"/>
  <c r="M87" i="215"/>
  <c r="M109" i="215"/>
  <c r="J87" i="215"/>
  <c r="J109" i="215"/>
  <c r="L109" i="215"/>
  <c r="L87" i="215"/>
  <c r="R92" i="215"/>
  <c r="G109" i="214"/>
  <c r="G87" i="214"/>
  <c r="J87" i="214"/>
  <c r="J109" i="214"/>
  <c r="M109" i="214"/>
  <c r="M87" i="214"/>
  <c r="L109" i="214"/>
  <c r="L87" i="214"/>
  <c r="N91" i="214"/>
  <c r="Q2" i="214"/>
  <c r="Q95" i="214" s="1"/>
  <c r="Q91" i="214" s="1"/>
  <c r="O109" i="214"/>
  <c r="O87" i="214"/>
  <c r="I87" i="214"/>
  <c r="I109" i="214"/>
  <c r="H109" i="214"/>
  <c r="H87" i="214"/>
  <c r="P109" i="214"/>
  <c r="P87" i="214"/>
  <c r="R70" i="214"/>
  <c r="R92" i="214"/>
  <c r="K109" i="214"/>
  <c r="K87" i="214"/>
  <c r="N95" i="214"/>
  <c r="F95" i="214"/>
  <c r="N109" i="213"/>
  <c r="N87" i="213"/>
  <c r="M109" i="213"/>
  <c r="M87" i="213"/>
  <c r="H87" i="213"/>
  <c r="H109" i="213"/>
  <c r="F109" i="213"/>
  <c r="R91" i="213"/>
  <c r="F87" i="213"/>
  <c r="Q91" i="213"/>
  <c r="P87" i="213"/>
  <c r="P109" i="213"/>
  <c r="G109" i="213"/>
  <c r="G87" i="213"/>
  <c r="K87" i="213"/>
  <c r="K109" i="213"/>
  <c r="O109" i="213"/>
  <c r="O87" i="213"/>
  <c r="R95" i="213"/>
  <c r="G109" i="212"/>
  <c r="G87" i="212"/>
  <c r="P109" i="212"/>
  <c r="P87" i="212"/>
  <c r="L109" i="212"/>
  <c r="L87" i="212"/>
  <c r="O2" i="212"/>
  <c r="O95" i="212" s="1"/>
  <c r="O91" i="212" s="1"/>
  <c r="K87" i="212"/>
  <c r="K109" i="212"/>
  <c r="Q70" i="212"/>
  <c r="Q78" i="212" s="1"/>
  <c r="O78" i="212"/>
  <c r="R78" i="212" s="1"/>
  <c r="R76" i="212"/>
  <c r="N91" i="212"/>
  <c r="M91" i="212"/>
  <c r="H109" i="212"/>
  <c r="H87" i="212"/>
  <c r="J87" i="212"/>
  <c r="J109" i="212"/>
  <c r="F109" i="212"/>
  <c r="F87" i="212"/>
  <c r="I109" i="212"/>
  <c r="I87" i="212"/>
  <c r="I109" i="211"/>
  <c r="I87" i="211"/>
  <c r="L109" i="211"/>
  <c r="L87" i="211"/>
  <c r="Q109" i="211"/>
  <c r="Q87" i="211"/>
  <c r="N109" i="211"/>
  <c r="N87" i="211"/>
  <c r="K87" i="211"/>
  <c r="K109" i="211"/>
  <c r="F95" i="211"/>
  <c r="R2" i="211"/>
  <c r="R76" i="211"/>
  <c r="O2" i="211"/>
  <c r="O95" i="211" s="1"/>
  <c r="O91" i="211" s="1"/>
  <c r="H87" i="211"/>
  <c r="H109" i="211"/>
  <c r="M109" i="211"/>
  <c r="M87" i="211"/>
  <c r="G109" i="211"/>
  <c r="G87" i="211"/>
  <c r="J87" i="211"/>
  <c r="J109" i="211"/>
  <c r="I109" i="210"/>
  <c r="I87" i="210"/>
  <c r="J87" i="210"/>
  <c r="J109" i="210"/>
  <c r="H87" i="210"/>
  <c r="H109" i="210"/>
  <c r="F95" i="210"/>
  <c r="R2" i="210"/>
  <c r="Q48" i="210"/>
  <c r="Q2" i="210" s="1"/>
  <c r="Q95" i="210" s="1"/>
  <c r="R70" i="210"/>
  <c r="O87" i="210"/>
  <c r="O109" i="210"/>
  <c r="P87" i="210"/>
  <c r="P109" i="210"/>
  <c r="M109" i="210"/>
  <c r="M87" i="210"/>
  <c r="R48" i="210"/>
  <c r="N95" i="210"/>
  <c r="N91" i="210" s="1"/>
  <c r="Q91" i="210"/>
  <c r="G109" i="210"/>
  <c r="G87" i="210"/>
  <c r="J87" i="209"/>
  <c r="J109" i="209"/>
  <c r="M109" i="209"/>
  <c r="M87" i="209"/>
  <c r="N109" i="209"/>
  <c r="N87" i="209"/>
  <c r="K87" i="209"/>
  <c r="K109" i="209"/>
  <c r="F95" i="209"/>
  <c r="I109" i="209"/>
  <c r="I87" i="209"/>
  <c r="Q70" i="209"/>
  <c r="Q78" i="209" s="1"/>
  <c r="O2" i="209"/>
  <c r="O95" i="209" s="1"/>
  <c r="O91" i="209" s="1"/>
  <c r="G109" i="209"/>
  <c r="G87" i="209"/>
  <c r="H87" i="209"/>
  <c r="H109" i="209"/>
  <c r="O78" i="209"/>
  <c r="R78" i="209" s="1"/>
  <c r="L48" i="209"/>
  <c r="L2" i="209" s="1"/>
  <c r="L95" i="209" s="1"/>
  <c r="L91" i="209" s="1"/>
  <c r="Q25" i="209"/>
  <c r="P87" i="209"/>
  <c r="P109" i="209"/>
  <c r="G87" i="208"/>
  <c r="G109" i="208"/>
  <c r="Q48" i="208"/>
  <c r="Q2" i="208" s="1"/>
  <c r="Q95" i="208" s="1"/>
  <c r="Q91" i="208" s="1"/>
  <c r="R25" i="208"/>
  <c r="R48" i="208" s="1"/>
  <c r="I87" i="208"/>
  <c r="I109" i="208"/>
  <c r="M87" i="208"/>
  <c r="M109" i="208"/>
  <c r="O2" i="208"/>
  <c r="O95" i="208" s="1"/>
  <c r="O91" i="208" s="1"/>
  <c r="K109" i="208"/>
  <c r="K87" i="208"/>
  <c r="J109" i="208"/>
  <c r="J87" i="208"/>
  <c r="R95" i="208"/>
  <c r="F91" i="208"/>
  <c r="N87" i="208"/>
  <c r="N109" i="208"/>
  <c r="Q109" i="207"/>
  <c r="Q87" i="207"/>
  <c r="L109" i="207"/>
  <c r="L87" i="207"/>
  <c r="J87" i="207"/>
  <c r="J109" i="207"/>
  <c r="O87" i="207"/>
  <c r="O109" i="207"/>
  <c r="G109" i="207"/>
  <c r="G87" i="207"/>
  <c r="H109" i="207"/>
  <c r="H87" i="207"/>
  <c r="R25" i="207"/>
  <c r="R48" i="207" s="1"/>
  <c r="F95" i="207"/>
  <c r="R2" i="207"/>
  <c r="L78" i="207"/>
  <c r="R78" i="207" s="1"/>
  <c r="K87" i="207"/>
  <c r="K109" i="207"/>
  <c r="R76" i="207"/>
  <c r="N91" i="207"/>
  <c r="R92" i="207"/>
  <c r="I87" i="207"/>
  <c r="I109" i="207"/>
  <c r="R70" i="207"/>
  <c r="P109" i="207"/>
  <c r="P87" i="207"/>
  <c r="M91" i="207"/>
  <c r="I87" i="206"/>
  <c r="I109" i="206"/>
  <c r="J87" i="206"/>
  <c r="J109" i="206"/>
  <c r="O87" i="206"/>
  <c r="O109" i="206"/>
  <c r="G109" i="206"/>
  <c r="G87" i="206"/>
  <c r="Q48" i="206"/>
  <c r="Q2" i="206" s="1"/>
  <c r="Q95" i="206" s="1"/>
  <c r="Q91" i="206" s="1"/>
  <c r="H109" i="206"/>
  <c r="H87" i="206"/>
  <c r="F95" i="206"/>
  <c r="R2" i="206"/>
  <c r="P109" i="206"/>
  <c r="P87" i="206"/>
  <c r="L109" i="206"/>
  <c r="L87" i="206"/>
  <c r="K87" i="206"/>
  <c r="K109" i="206"/>
  <c r="M91" i="206"/>
  <c r="N92" i="206"/>
  <c r="R25" i="206"/>
  <c r="R48" i="206" s="1"/>
  <c r="N95" i="206"/>
  <c r="N109" i="205"/>
  <c r="N87" i="205"/>
  <c r="O109" i="205"/>
  <c r="O87" i="205"/>
  <c r="P87" i="205"/>
  <c r="P109" i="205"/>
  <c r="H87" i="205"/>
  <c r="H109" i="205"/>
  <c r="Q48" i="205"/>
  <c r="Q2" i="205" s="1"/>
  <c r="Q95" i="205" s="1"/>
  <c r="Q91" i="205" s="1"/>
  <c r="R2" i="205"/>
  <c r="L109" i="205"/>
  <c r="L87" i="205"/>
  <c r="R76" i="205"/>
  <c r="F91" i="205"/>
  <c r="G109" i="205"/>
  <c r="G87" i="205"/>
  <c r="R48" i="205"/>
  <c r="M109" i="205"/>
  <c r="M87" i="205"/>
  <c r="N95" i="204"/>
  <c r="N91" i="204" s="1"/>
  <c r="K87" i="204"/>
  <c r="K109" i="204"/>
  <c r="L109" i="204"/>
  <c r="L87" i="204"/>
  <c r="R25" i="204"/>
  <c r="R48" i="204" s="1"/>
  <c r="R92" i="204"/>
  <c r="M95" i="204"/>
  <c r="I109" i="204"/>
  <c r="I87" i="204"/>
  <c r="O109" i="204"/>
  <c r="O87" i="204"/>
  <c r="F95" i="204"/>
  <c r="R2" i="204"/>
  <c r="H109" i="204"/>
  <c r="H87" i="204"/>
  <c r="Q109" i="204"/>
  <c r="Q87" i="204"/>
  <c r="G109" i="204"/>
  <c r="G87" i="204"/>
  <c r="J109" i="204"/>
  <c r="J87" i="204"/>
  <c r="M91" i="204"/>
  <c r="F95" i="203"/>
  <c r="O78" i="203"/>
  <c r="R78" i="203" s="1"/>
  <c r="I87" i="203"/>
  <c r="I109" i="203"/>
  <c r="Q2" i="203"/>
  <c r="Q95" i="203" s="1"/>
  <c r="Q91" i="203" s="1"/>
  <c r="N87" i="203"/>
  <c r="N109" i="203"/>
  <c r="O2" i="203"/>
  <c r="O95" i="203" s="1"/>
  <c r="O91" i="203" s="1"/>
  <c r="R70" i="203"/>
  <c r="M87" i="203"/>
  <c r="M109" i="203"/>
  <c r="J109" i="203"/>
  <c r="J87" i="203"/>
  <c r="R78" i="202"/>
  <c r="M109" i="202"/>
  <c r="M87" i="202"/>
  <c r="N109" i="202"/>
  <c r="N87" i="202"/>
  <c r="R76" i="202"/>
  <c r="R70" i="202"/>
  <c r="O109" i="202"/>
  <c r="O87" i="202"/>
  <c r="L2" i="202"/>
  <c r="L95" i="202" s="1"/>
  <c r="L91" i="202" s="1"/>
  <c r="G109" i="202"/>
  <c r="G87" i="202"/>
  <c r="P87" i="202"/>
  <c r="P109" i="202"/>
  <c r="R48" i="202"/>
  <c r="J87" i="202"/>
  <c r="J109" i="202"/>
  <c r="F91" i="202"/>
  <c r="H87" i="202"/>
  <c r="H109" i="202"/>
  <c r="Q70" i="202"/>
  <c r="Q78" i="202" s="1"/>
  <c r="K87" i="202"/>
  <c r="K109" i="202"/>
  <c r="I109" i="202"/>
  <c r="I87" i="202"/>
  <c r="Q48" i="202"/>
  <c r="Q2" i="202" s="1"/>
  <c r="Q95" i="202" s="1"/>
  <c r="Q91" i="202" s="1"/>
  <c r="M87" i="201"/>
  <c r="M109" i="201"/>
  <c r="R2" i="201"/>
  <c r="I109" i="201"/>
  <c r="I87" i="201"/>
  <c r="J87" i="201"/>
  <c r="J109" i="201"/>
  <c r="Q48" i="201"/>
  <c r="Q2" i="201" s="1"/>
  <c r="Q95" i="201" s="1"/>
  <c r="Q91" i="201" s="1"/>
  <c r="R95" i="201"/>
  <c r="F91" i="201"/>
  <c r="N109" i="201"/>
  <c r="N87" i="201"/>
  <c r="K109" i="201"/>
  <c r="K87" i="201"/>
  <c r="R25" i="201"/>
  <c r="R48" i="201" s="1"/>
  <c r="P109" i="201"/>
  <c r="P87" i="201"/>
  <c r="R70" i="201"/>
  <c r="G87" i="201"/>
  <c r="G109" i="201"/>
  <c r="H109" i="201"/>
  <c r="H87" i="201"/>
  <c r="O109" i="201"/>
  <c r="O87" i="201"/>
  <c r="M87" i="200"/>
  <c r="M109" i="200"/>
  <c r="K109" i="200"/>
  <c r="K87" i="200"/>
  <c r="L109" i="200"/>
  <c r="L87" i="200"/>
  <c r="N109" i="200"/>
  <c r="N87" i="200"/>
  <c r="O78" i="200"/>
  <c r="R78" i="200" s="1"/>
  <c r="G87" i="200"/>
  <c r="G109" i="200"/>
  <c r="Q70" i="200"/>
  <c r="Q78" i="200" s="1"/>
  <c r="R70" i="200"/>
  <c r="O2" i="200"/>
  <c r="O95" i="200" s="1"/>
  <c r="O91" i="200" s="1"/>
  <c r="Q48" i="200"/>
  <c r="Q2" i="200" s="1"/>
  <c r="Q95" i="200" s="1"/>
  <c r="Q91" i="200" s="1"/>
  <c r="R25" i="200"/>
  <c r="R48" i="200" s="1"/>
  <c r="I87" i="200"/>
  <c r="I109" i="200"/>
  <c r="H87" i="200"/>
  <c r="H109" i="200"/>
  <c r="F95" i="200"/>
  <c r="P109" i="200"/>
  <c r="P87" i="200"/>
  <c r="J109" i="200"/>
  <c r="J87" i="200"/>
  <c r="I87" i="199"/>
  <c r="I109" i="199"/>
  <c r="K109" i="199"/>
  <c r="K87" i="199"/>
  <c r="N92" i="199"/>
  <c r="H87" i="199"/>
  <c r="H109" i="199"/>
  <c r="F95" i="199"/>
  <c r="R2" i="199"/>
  <c r="O2" i="199"/>
  <c r="O95" i="199" s="1"/>
  <c r="O91" i="199" s="1"/>
  <c r="M91" i="199"/>
  <c r="L87" i="199"/>
  <c r="Q109" i="199"/>
  <c r="Q87" i="199"/>
  <c r="J87" i="199"/>
  <c r="J109" i="199"/>
  <c r="G109" i="199"/>
  <c r="G87" i="199"/>
  <c r="R76" i="199"/>
  <c r="M95" i="199"/>
  <c r="L109" i="198"/>
  <c r="L87" i="198"/>
  <c r="N91" i="198"/>
  <c r="H87" i="198"/>
  <c r="H109" i="198"/>
  <c r="R92" i="198"/>
  <c r="O109" i="198"/>
  <c r="O87" i="198"/>
  <c r="R25" i="198"/>
  <c r="R48" i="198" s="1"/>
  <c r="I87" i="198"/>
  <c r="I109" i="198"/>
  <c r="K87" i="198"/>
  <c r="K109" i="198"/>
  <c r="R2" i="198"/>
  <c r="R70" i="198"/>
  <c r="M95" i="198"/>
  <c r="M91" i="198" s="1"/>
  <c r="J87" i="198"/>
  <c r="J109" i="198"/>
  <c r="P87" i="198"/>
  <c r="P109" i="198"/>
  <c r="G109" i="198"/>
  <c r="G87" i="198"/>
  <c r="N95" i="198"/>
  <c r="F91" i="198"/>
  <c r="Q2" i="198"/>
  <c r="Q95" i="198" s="1"/>
  <c r="Q91" i="198" s="1"/>
  <c r="H87" i="197"/>
  <c r="H109" i="197"/>
  <c r="K87" i="197"/>
  <c r="K109" i="197"/>
  <c r="F109" i="197"/>
  <c r="F87" i="197"/>
  <c r="J109" i="197"/>
  <c r="J87" i="197"/>
  <c r="G109" i="197"/>
  <c r="G87" i="197"/>
  <c r="O78" i="197"/>
  <c r="R78" i="197" s="1"/>
  <c r="R76" i="197"/>
  <c r="L109" i="197"/>
  <c r="L87" i="197"/>
  <c r="I109" i="197"/>
  <c r="I87" i="197"/>
  <c r="R70" i="197"/>
  <c r="R92" i="197"/>
  <c r="Q48" i="197"/>
  <c r="Q2" i="197" s="1"/>
  <c r="R48" i="197"/>
  <c r="O87" i="197"/>
  <c r="O109" i="197"/>
  <c r="N95" i="197"/>
  <c r="N91" i="197" s="1"/>
  <c r="M109" i="197"/>
  <c r="M87" i="197"/>
  <c r="J87" i="196"/>
  <c r="J109" i="196"/>
  <c r="R78" i="196"/>
  <c r="F95" i="196"/>
  <c r="R2" i="196"/>
  <c r="G109" i="196"/>
  <c r="G87" i="196"/>
  <c r="I87" i="196"/>
  <c r="I109" i="196"/>
  <c r="H109" i="196"/>
  <c r="H87" i="196"/>
  <c r="K87" i="196"/>
  <c r="K109" i="196"/>
  <c r="M91" i="196"/>
  <c r="R70" i="196"/>
  <c r="N92" i="196"/>
  <c r="O109" i="196"/>
  <c r="O87" i="196"/>
  <c r="N95" i="196"/>
  <c r="L48" i="196"/>
  <c r="L2" i="196" s="1"/>
  <c r="L95" i="196" s="1"/>
  <c r="L91" i="196" s="1"/>
  <c r="Q25" i="196"/>
  <c r="Q48" i="196" s="1"/>
  <c r="Q2" i="196" s="1"/>
  <c r="Q95" i="196" s="1"/>
  <c r="Q91" i="196" s="1"/>
  <c r="R92" i="196"/>
  <c r="R25" i="196"/>
  <c r="R48" i="196" s="1"/>
  <c r="J109" i="195"/>
  <c r="J87" i="195"/>
  <c r="R78" i="195"/>
  <c r="O109" i="195"/>
  <c r="O87" i="195"/>
  <c r="K87" i="195"/>
  <c r="K109" i="195"/>
  <c r="H87" i="195"/>
  <c r="H109" i="195"/>
  <c r="F109" i="195"/>
  <c r="F87" i="195"/>
  <c r="L87" i="195"/>
  <c r="R2" i="195"/>
  <c r="N91" i="195"/>
  <c r="P87" i="195"/>
  <c r="P109" i="195"/>
  <c r="Q91" i="195"/>
  <c r="R93" i="195"/>
  <c r="R48" i="195"/>
  <c r="Q70" i="195"/>
  <c r="Q78" i="195" s="1"/>
  <c r="M91" i="195"/>
  <c r="G109" i="195"/>
  <c r="G87" i="195"/>
  <c r="I109" i="195"/>
  <c r="I87" i="195"/>
  <c r="Q48" i="195"/>
  <c r="Q2" i="195" s="1"/>
  <c r="Q95" i="195" s="1"/>
  <c r="R95" i="195" s="1"/>
  <c r="R78" i="194"/>
  <c r="J87" i="194"/>
  <c r="J109" i="194"/>
  <c r="K87" i="194"/>
  <c r="K109" i="194"/>
  <c r="L87" i="194"/>
  <c r="M109" i="194"/>
  <c r="M87" i="194"/>
  <c r="O2" i="194"/>
  <c r="O95" i="194" s="1"/>
  <c r="O91" i="194" s="1"/>
  <c r="O78" i="194"/>
  <c r="R76" i="194"/>
  <c r="R48" i="194"/>
  <c r="Q2" i="194"/>
  <c r="Q95" i="194" s="1"/>
  <c r="Q91" i="194" s="1"/>
  <c r="F91" i="194"/>
  <c r="N109" i="194"/>
  <c r="N87" i="194"/>
  <c r="H109" i="194"/>
  <c r="H87" i="194"/>
  <c r="G109" i="194"/>
  <c r="G87" i="194"/>
  <c r="I87" i="193"/>
  <c r="I109" i="193"/>
  <c r="K109" i="193"/>
  <c r="K87" i="193"/>
  <c r="L109" i="193"/>
  <c r="L87" i="193"/>
  <c r="G109" i="193"/>
  <c r="G87" i="193"/>
  <c r="H87" i="193"/>
  <c r="H109" i="193"/>
  <c r="R76" i="193"/>
  <c r="R70" i="193"/>
  <c r="R25" i="193"/>
  <c r="R48" i="193" s="1"/>
  <c r="J109" i="193"/>
  <c r="J87" i="193"/>
  <c r="N91" i="193"/>
  <c r="F95" i="193"/>
  <c r="P109" i="193"/>
  <c r="P87" i="193"/>
  <c r="M109" i="193"/>
  <c r="M87" i="193"/>
  <c r="Q2" i="193"/>
  <c r="Q95" i="193" s="1"/>
  <c r="Q91" i="193" s="1"/>
  <c r="O2" i="193"/>
  <c r="O95" i="193" s="1"/>
  <c r="O91" i="193" s="1"/>
  <c r="N95" i="193"/>
  <c r="L109" i="192"/>
  <c r="L87" i="192"/>
  <c r="Q109" i="192"/>
  <c r="Q87" i="192"/>
  <c r="J87" i="192"/>
  <c r="J109" i="192"/>
  <c r="F95" i="192"/>
  <c r="I87" i="192"/>
  <c r="I109" i="192"/>
  <c r="G109" i="192"/>
  <c r="G87" i="192"/>
  <c r="H109" i="192"/>
  <c r="H87" i="192"/>
  <c r="P109" i="192"/>
  <c r="P87" i="192"/>
  <c r="M91" i="192"/>
  <c r="N95" i="192"/>
  <c r="N91" i="192" s="1"/>
  <c r="R92" i="192"/>
  <c r="O78" i="192"/>
  <c r="R78" i="192" s="1"/>
  <c r="O2" i="192"/>
  <c r="O95" i="192" s="1"/>
  <c r="O91" i="192" s="1"/>
  <c r="K87" i="192"/>
  <c r="K109" i="192"/>
  <c r="M95" i="192"/>
  <c r="R76" i="192"/>
  <c r="R25" i="192"/>
  <c r="R48" i="192" s="1"/>
  <c r="J87" i="191"/>
  <c r="J109" i="191"/>
  <c r="I109" i="191"/>
  <c r="I87" i="191"/>
  <c r="H109" i="191"/>
  <c r="H87" i="191"/>
  <c r="P109" i="191"/>
  <c r="P87" i="191"/>
  <c r="M109" i="191"/>
  <c r="M87" i="191"/>
  <c r="N87" i="191"/>
  <c r="N109" i="191"/>
  <c r="G109" i="191"/>
  <c r="G87" i="191"/>
  <c r="O109" i="191"/>
  <c r="O87" i="191"/>
  <c r="K87" i="191"/>
  <c r="K109" i="191"/>
  <c r="F109" i="191"/>
  <c r="F87" i="191"/>
  <c r="Q95" i="191"/>
  <c r="Q91" i="191" s="1"/>
  <c r="R95" i="191"/>
  <c r="R93" i="191"/>
  <c r="K109" i="190"/>
  <c r="K87" i="190"/>
  <c r="O87" i="190"/>
  <c r="O109" i="190"/>
  <c r="P109" i="190"/>
  <c r="P87" i="190"/>
  <c r="H87" i="190"/>
  <c r="H109" i="190"/>
  <c r="O78" i="190"/>
  <c r="R78" i="190" s="1"/>
  <c r="Q2" i="190"/>
  <c r="Q95" i="190" s="1"/>
  <c r="Q91" i="190" s="1"/>
  <c r="F95" i="190"/>
  <c r="L109" i="190"/>
  <c r="L87" i="190"/>
  <c r="R70" i="190"/>
  <c r="M87" i="190"/>
  <c r="M109" i="190"/>
  <c r="I87" i="190"/>
  <c r="I109" i="190"/>
  <c r="R25" i="190"/>
  <c r="R48" i="190" s="1"/>
  <c r="J109" i="190"/>
  <c r="J87" i="190"/>
  <c r="N109" i="189"/>
  <c r="N87" i="189"/>
  <c r="J109" i="189"/>
  <c r="J87" i="189"/>
  <c r="O2" i="189"/>
  <c r="O95" i="189" s="1"/>
  <c r="O91" i="189" s="1"/>
  <c r="I109" i="189"/>
  <c r="I87" i="189"/>
  <c r="F95" i="189"/>
  <c r="M109" i="189"/>
  <c r="M87" i="189"/>
  <c r="K109" i="189"/>
  <c r="K87" i="189"/>
  <c r="R25" i="189"/>
  <c r="R48" i="189" s="1"/>
  <c r="Q70" i="189"/>
  <c r="Q78" i="189" s="1"/>
  <c r="R78" i="189" s="1"/>
  <c r="P109" i="189"/>
  <c r="P87" i="189"/>
  <c r="R76" i="189"/>
  <c r="L109" i="189"/>
  <c r="L87" i="189"/>
  <c r="P109" i="188"/>
  <c r="P87" i="188"/>
  <c r="K109" i="188"/>
  <c r="K87" i="188"/>
  <c r="G109" i="188"/>
  <c r="G87" i="188"/>
  <c r="H87" i="188"/>
  <c r="H109" i="188"/>
  <c r="O109" i="188"/>
  <c r="O87" i="188"/>
  <c r="I87" i="188"/>
  <c r="I109" i="188"/>
  <c r="J109" i="188"/>
  <c r="J87" i="188"/>
  <c r="N91" i="188"/>
  <c r="F95" i="188"/>
  <c r="M109" i="188"/>
  <c r="M87" i="188"/>
  <c r="L109" i="188"/>
  <c r="L87" i="188"/>
  <c r="Q48" i="188"/>
  <c r="Q2" i="188" s="1"/>
  <c r="Q95" i="188" s="1"/>
  <c r="Q91" i="188" s="1"/>
  <c r="R25" i="188"/>
  <c r="R48" i="188" s="1"/>
  <c r="R92" i="188"/>
  <c r="R70" i="187"/>
  <c r="I87" i="187"/>
  <c r="I109" i="187"/>
  <c r="L109" i="187"/>
  <c r="L87" i="187"/>
  <c r="R78" i="187"/>
  <c r="G109" i="187"/>
  <c r="G87" i="187"/>
  <c r="O109" i="187"/>
  <c r="O87" i="187"/>
  <c r="J87" i="187"/>
  <c r="J109" i="187"/>
  <c r="P109" i="187"/>
  <c r="P87" i="187"/>
  <c r="H109" i="187"/>
  <c r="H87" i="187"/>
  <c r="R25" i="187"/>
  <c r="R48" i="187" s="1"/>
  <c r="M91" i="187"/>
  <c r="Q70" i="187"/>
  <c r="Q78" i="187" s="1"/>
  <c r="F91" i="187"/>
  <c r="K87" i="187"/>
  <c r="K109" i="187"/>
  <c r="R92" i="187"/>
  <c r="Q2" i="187"/>
  <c r="N91" i="187"/>
  <c r="M87" i="186"/>
  <c r="M109" i="186"/>
  <c r="I87" i="186"/>
  <c r="I109" i="186"/>
  <c r="R2" i="186"/>
  <c r="O87" i="186"/>
  <c r="O109" i="186"/>
  <c r="N91" i="186"/>
  <c r="K109" i="186"/>
  <c r="K87" i="186"/>
  <c r="R95" i="186"/>
  <c r="H87" i="186"/>
  <c r="H109" i="186"/>
  <c r="F109" i="186"/>
  <c r="R91" i="186"/>
  <c r="F87" i="186"/>
  <c r="R25" i="186"/>
  <c r="R48" i="186" s="1"/>
  <c r="G87" i="186"/>
  <c r="G109" i="186"/>
  <c r="J109" i="186"/>
  <c r="J87" i="186"/>
  <c r="P109" i="186"/>
  <c r="P87" i="186"/>
  <c r="Q109" i="186"/>
  <c r="Q87" i="186"/>
  <c r="L109" i="186"/>
  <c r="L87" i="186"/>
  <c r="J109" i="185"/>
  <c r="J87" i="185"/>
  <c r="L109" i="185"/>
  <c r="L87" i="185"/>
  <c r="K87" i="185"/>
  <c r="K109" i="185"/>
  <c r="G109" i="185"/>
  <c r="G87" i="185"/>
  <c r="P109" i="185"/>
  <c r="P87" i="185"/>
  <c r="H87" i="185"/>
  <c r="H109" i="185"/>
  <c r="O2" i="185"/>
  <c r="Q48" i="185"/>
  <c r="Q2" i="185" s="1"/>
  <c r="Q95" i="185" s="1"/>
  <c r="Q91" i="185" s="1"/>
  <c r="I87" i="185"/>
  <c r="I109" i="185"/>
  <c r="R92" i="185"/>
  <c r="N92" i="185"/>
  <c r="R70" i="185"/>
  <c r="N95" i="185"/>
  <c r="F91" i="185"/>
  <c r="M95" i="185"/>
  <c r="M91" i="185" s="1"/>
  <c r="R25" i="185"/>
  <c r="R48" i="185" s="1"/>
  <c r="F109" i="184"/>
  <c r="F87" i="184"/>
  <c r="G109" i="184"/>
  <c r="G87" i="184"/>
  <c r="J109" i="184"/>
  <c r="J87" i="184"/>
  <c r="O109" i="184"/>
  <c r="O87" i="184"/>
  <c r="R48" i="184"/>
  <c r="K109" i="184"/>
  <c r="K87" i="184"/>
  <c r="O78" i="184"/>
  <c r="R78" i="184" s="1"/>
  <c r="L109" i="184"/>
  <c r="L87" i="184"/>
  <c r="N91" i="184"/>
  <c r="Q70" i="184"/>
  <c r="Q78" i="184" s="1"/>
  <c r="M91" i="184"/>
  <c r="P109" i="184"/>
  <c r="P87" i="184"/>
  <c r="H109" i="184"/>
  <c r="H87" i="184"/>
  <c r="I109" i="184"/>
  <c r="I87" i="184"/>
  <c r="Q109" i="183"/>
  <c r="Q87" i="183"/>
  <c r="H87" i="183"/>
  <c r="H109" i="183"/>
  <c r="J109" i="183"/>
  <c r="J87" i="183"/>
  <c r="P87" i="183"/>
  <c r="P109" i="183"/>
  <c r="F95" i="183"/>
  <c r="R2" i="183"/>
  <c r="K109" i="183"/>
  <c r="K87" i="183"/>
  <c r="M91" i="183"/>
  <c r="G109" i="183"/>
  <c r="G87" i="183"/>
  <c r="O87" i="183"/>
  <c r="O109" i="183"/>
  <c r="N91" i="183"/>
  <c r="I87" i="183"/>
  <c r="I109" i="183"/>
  <c r="N95" i="183"/>
  <c r="R25" i="183"/>
  <c r="R48" i="183" s="1"/>
  <c r="R92" i="183"/>
  <c r="O109" i="182"/>
  <c r="O87" i="182"/>
  <c r="I87" i="182"/>
  <c r="I109" i="182"/>
  <c r="Q109" i="182"/>
  <c r="Q87" i="182"/>
  <c r="H109" i="182"/>
  <c r="H87" i="182"/>
  <c r="L109" i="182"/>
  <c r="L87" i="182"/>
  <c r="P109" i="182"/>
  <c r="P87" i="182"/>
  <c r="F95" i="182"/>
  <c r="R2" i="182"/>
  <c r="M95" i="182"/>
  <c r="M91" i="182" s="1"/>
  <c r="R70" i="182"/>
  <c r="N91" i="182"/>
  <c r="R48" i="182"/>
  <c r="G109" i="182"/>
  <c r="G87" i="182"/>
  <c r="K109" i="182"/>
  <c r="K87" i="182"/>
  <c r="J87" i="182"/>
  <c r="J109" i="182"/>
  <c r="R92" i="182"/>
  <c r="M109" i="181"/>
  <c r="M87" i="181"/>
  <c r="K87" i="181"/>
  <c r="K109" i="181"/>
  <c r="L109" i="181"/>
  <c r="L87" i="181"/>
  <c r="F91" i="181"/>
  <c r="P109" i="181"/>
  <c r="P87" i="181"/>
  <c r="O87" i="181"/>
  <c r="O109" i="181"/>
  <c r="I109" i="181"/>
  <c r="I87" i="181"/>
  <c r="R93" i="181"/>
  <c r="N109" i="181"/>
  <c r="N87" i="181"/>
  <c r="G109" i="181"/>
  <c r="G87" i="181"/>
  <c r="Q2" i="181"/>
  <c r="Q95" i="181" s="1"/>
  <c r="R95" i="181" s="1"/>
  <c r="R2" i="181"/>
  <c r="R70" i="181"/>
  <c r="O87" i="180"/>
  <c r="O109" i="180"/>
  <c r="N109" i="180"/>
  <c r="N87" i="180"/>
  <c r="M109" i="180"/>
  <c r="M87" i="180"/>
  <c r="R2" i="180"/>
  <c r="Q48" i="180"/>
  <c r="Q2" i="180" s="1"/>
  <c r="Q95" i="180" s="1"/>
  <c r="Q91" i="180" s="1"/>
  <c r="R25" i="180"/>
  <c r="R48" i="180" s="1"/>
  <c r="R95" i="180"/>
  <c r="F91" i="180"/>
  <c r="R78" i="180"/>
  <c r="K87" i="179"/>
  <c r="K109" i="179"/>
  <c r="L109" i="179"/>
  <c r="L87" i="179"/>
  <c r="F109" i="179"/>
  <c r="F87" i="179"/>
  <c r="H87" i="179"/>
  <c r="H109" i="179"/>
  <c r="G109" i="179"/>
  <c r="G87" i="179"/>
  <c r="R48" i="179"/>
  <c r="N92" i="179"/>
  <c r="O87" i="179"/>
  <c r="O109" i="179"/>
  <c r="Q48" i="179"/>
  <c r="Q2" i="179" s="1"/>
  <c r="Q95" i="179" s="1"/>
  <c r="Q91" i="179" s="1"/>
  <c r="N95" i="179"/>
  <c r="R95" i="179" s="1"/>
  <c r="M91" i="179"/>
  <c r="I109" i="179"/>
  <c r="I87" i="179"/>
  <c r="J87" i="179"/>
  <c r="J109" i="179"/>
  <c r="R2" i="179"/>
  <c r="L109" i="178"/>
  <c r="L87" i="178"/>
  <c r="G87" i="178"/>
  <c r="G109" i="178"/>
  <c r="J109" i="178"/>
  <c r="J87" i="178"/>
  <c r="O87" i="178"/>
  <c r="O109" i="178"/>
  <c r="I87" i="178"/>
  <c r="I109" i="178"/>
  <c r="F95" i="178"/>
  <c r="R2" i="178"/>
  <c r="P109" i="178"/>
  <c r="P87" i="178"/>
  <c r="K109" i="178"/>
  <c r="K87" i="178"/>
  <c r="H87" i="178"/>
  <c r="H109" i="178"/>
  <c r="M91" i="178"/>
  <c r="N92" i="178"/>
  <c r="R92" i="178"/>
  <c r="R37" i="178"/>
  <c r="Q48" i="178"/>
  <c r="Q2" i="178" s="1"/>
  <c r="Q95" i="178" s="1"/>
  <c r="Q91" i="178" s="1"/>
  <c r="M95" i="178"/>
  <c r="R25" i="178"/>
  <c r="R48" i="178" s="1"/>
  <c r="R70" i="178"/>
  <c r="Q37" i="178"/>
  <c r="O87" i="177"/>
  <c r="O109" i="177"/>
  <c r="P109" i="177"/>
  <c r="P87" i="177"/>
  <c r="Q91" i="177"/>
  <c r="I87" i="177"/>
  <c r="I109" i="177"/>
  <c r="L109" i="177"/>
  <c r="L87" i="177"/>
  <c r="K87" i="177"/>
  <c r="K109" i="177"/>
  <c r="Q48" i="177"/>
  <c r="Q2" i="177" s="1"/>
  <c r="Q95" i="177" s="1"/>
  <c r="R25" i="177"/>
  <c r="R48" i="177" s="1"/>
  <c r="M109" i="177"/>
  <c r="M87" i="177"/>
  <c r="N95" i="177"/>
  <c r="N91" i="177" s="1"/>
  <c r="R93" i="177"/>
  <c r="F95" i="177"/>
  <c r="L109" i="176"/>
  <c r="L87" i="176"/>
  <c r="I109" i="176"/>
  <c r="I87" i="176"/>
  <c r="M91" i="176"/>
  <c r="J87" i="176"/>
  <c r="J109" i="176"/>
  <c r="H109" i="176"/>
  <c r="H87" i="176"/>
  <c r="K109" i="176"/>
  <c r="K87" i="176"/>
  <c r="M95" i="176"/>
  <c r="F91" i="176"/>
  <c r="O87" i="176"/>
  <c r="O109" i="176"/>
  <c r="R70" i="176"/>
  <c r="R48" i="176"/>
  <c r="Q48" i="176"/>
  <c r="Q2" i="176" s="1"/>
  <c r="G109" i="176"/>
  <c r="G87" i="176"/>
  <c r="N92" i="176"/>
  <c r="J109" i="175"/>
  <c r="J87" i="175"/>
  <c r="F95" i="175"/>
  <c r="O2" i="175"/>
  <c r="O95" i="175" s="1"/>
  <c r="O91" i="175" s="1"/>
  <c r="R70" i="175"/>
  <c r="M109" i="175"/>
  <c r="M87" i="175"/>
  <c r="O78" i="175"/>
  <c r="R78" i="175" s="1"/>
  <c r="H109" i="175"/>
  <c r="H87" i="175"/>
  <c r="N109" i="175"/>
  <c r="N87" i="175"/>
  <c r="I87" i="175"/>
  <c r="I109" i="175"/>
  <c r="K87" i="175"/>
  <c r="K109" i="175"/>
  <c r="Q2" i="175"/>
  <c r="Q95" i="175" s="1"/>
  <c r="Q91" i="175" s="1"/>
  <c r="J87" i="174"/>
  <c r="J109" i="174"/>
  <c r="K87" i="174"/>
  <c r="K109" i="174"/>
  <c r="H87" i="174"/>
  <c r="H109" i="174"/>
  <c r="R25" i="174"/>
  <c r="R48" i="174" s="1"/>
  <c r="G109" i="174"/>
  <c r="G87" i="174"/>
  <c r="Q91" i="174"/>
  <c r="N91" i="174"/>
  <c r="P87" i="174"/>
  <c r="P109" i="174"/>
  <c r="O78" i="174"/>
  <c r="R78" i="174" s="1"/>
  <c r="R76" i="174"/>
  <c r="F95" i="174"/>
  <c r="R2" i="174"/>
  <c r="I109" i="174"/>
  <c r="I87" i="174"/>
  <c r="M109" i="174"/>
  <c r="M87" i="174"/>
  <c r="O2" i="174"/>
  <c r="O95" i="174" s="1"/>
  <c r="O91" i="174" s="1"/>
  <c r="I87" i="173"/>
  <c r="I109" i="173"/>
  <c r="L109" i="173"/>
  <c r="L87" i="173"/>
  <c r="K109" i="173"/>
  <c r="K87" i="173"/>
  <c r="J87" i="173"/>
  <c r="J109" i="173"/>
  <c r="O2" i="173"/>
  <c r="Q70" i="173"/>
  <c r="Q78" i="173" s="1"/>
  <c r="M109" i="173"/>
  <c r="M87" i="173"/>
  <c r="P87" i="173"/>
  <c r="P109" i="173"/>
  <c r="O78" i="173"/>
  <c r="R78" i="173" s="1"/>
  <c r="G109" i="173"/>
  <c r="G87" i="173"/>
  <c r="F91" i="173"/>
  <c r="H109" i="173"/>
  <c r="H87" i="173"/>
  <c r="N91" i="173"/>
  <c r="R92" i="173"/>
  <c r="N109" i="238" l="1"/>
  <c r="N87" i="238"/>
  <c r="R91" i="238"/>
  <c r="R2" i="238"/>
  <c r="M109" i="238"/>
  <c r="M87" i="238"/>
  <c r="R87" i="238" s="1"/>
  <c r="R86" i="238" s="1"/>
  <c r="O109" i="238"/>
  <c r="O87" i="238"/>
  <c r="R95" i="238"/>
  <c r="Q109" i="237"/>
  <c r="Q87" i="237"/>
  <c r="R2" i="237"/>
  <c r="N87" i="237"/>
  <c r="N109" i="237"/>
  <c r="O109" i="237"/>
  <c r="O87" i="237"/>
  <c r="R87" i="237" s="1"/>
  <c r="R86" i="237" s="1"/>
  <c r="R95" i="237"/>
  <c r="N109" i="236"/>
  <c r="N87" i="236"/>
  <c r="F109" i="236"/>
  <c r="R91" i="236"/>
  <c r="F87" i="236"/>
  <c r="N109" i="235"/>
  <c r="N87" i="235"/>
  <c r="R2" i="235"/>
  <c r="Q109" i="235"/>
  <c r="Q87" i="235"/>
  <c r="R95" i="235"/>
  <c r="F91" i="235"/>
  <c r="O109" i="235"/>
  <c r="O87" i="235"/>
  <c r="N87" i="234"/>
  <c r="N109" i="234"/>
  <c r="R91" i="234"/>
  <c r="R87" i="234"/>
  <c r="R86" i="234" s="1"/>
  <c r="R95" i="234"/>
  <c r="M87" i="233"/>
  <c r="M109" i="233"/>
  <c r="Q78" i="233"/>
  <c r="R78" i="233" s="1"/>
  <c r="R70" i="233"/>
  <c r="R92" i="233"/>
  <c r="N95" i="233"/>
  <c r="R95" i="233" s="1"/>
  <c r="O109" i="233"/>
  <c r="O87" i="233"/>
  <c r="Q109" i="233"/>
  <c r="Q87" i="233"/>
  <c r="R2" i="232"/>
  <c r="R95" i="232"/>
  <c r="F91" i="232"/>
  <c r="Q109" i="232"/>
  <c r="Q87" i="232"/>
  <c r="Q95" i="231"/>
  <c r="Q91" i="231" s="1"/>
  <c r="R2" i="231"/>
  <c r="R95" i="231"/>
  <c r="F91" i="231"/>
  <c r="M109" i="231"/>
  <c r="M87" i="231"/>
  <c r="N109" i="231"/>
  <c r="N87" i="231"/>
  <c r="L109" i="231"/>
  <c r="L87" i="231"/>
  <c r="R2" i="230"/>
  <c r="R95" i="230"/>
  <c r="F91" i="230"/>
  <c r="Q109" i="230"/>
  <c r="Q87" i="230"/>
  <c r="L109" i="230"/>
  <c r="L87" i="230"/>
  <c r="Q109" i="229"/>
  <c r="Q87" i="229"/>
  <c r="R2" i="229"/>
  <c r="N87" i="229"/>
  <c r="N109" i="229"/>
  <c r="R95" i="229"/>
  <c r="F91" i="229"/>
  <c r="F109" i="228"/>
  <c r="R91" i="228"/>
  <c r="F87" i="228"/>
  <c r="R87" i="228" s="1"/>
  <c r="R86" i="228" s="1"/>
  <c r="R2" i="228"/>
  <c r="Q109" i="228"/>
  <c r="Q87" i="228"/>
  <c r="R95" i="228"/>
  <c r="O109" i="228"/>
  <c r="O87" i="228"/>
  <c r="N87" i="227"/>
  <c r="N109" i="227"/>
  <c r="Q109" i="227"/>
  <c r="Q87" i="227"/>
  <c r="R95" i="227"/>
  <c r="F91" i="227"/>
  <c r="O109" i="226"/>
  <c r="O87" i="226"/>
  <c r="R95" i="226"/>
  <c r="F91" i="226"/>
  <c r="R25" i="226"/>
  <c r="R48" i="226" s="1"/>
  <c r="Q109" i="226"/>
  <c r="Q87" i="226"/>
  <c r="R2" i="226"/>
  <c r="Q109" i="225"/>
  <c r="Q87" i="225"/>
  <c r="R87" i="225" s="1"/>
  <c r="R86" i="225" s="1"/>
  <c r="N87" i="225"/>
  <c r="N109" i="225"/>
  <c r="R91" i="225"/>
  <c r="O87" i="225"/>
  <c r="O109" i="225"/>
  <c r="R2" i="225"/>
  <c r="R37" i="225"/>
  <c r="R48" i="225" s="1"/>
  <c r="R95" i="225"/>
  <c r="M109" i="225"/>
  <c r="M87" i="225"/>
  <c r="L109" i="225"/>
  <c r="L87" i="225"/>
  <c r="R2" i="224"/>
  <c r="R95" i="224"/>
  <c r="N109" i="224"/>
  <c r="N87" i="224"/>
  <c r="R87" i="224" s="1"/>
  <c r="R86" i="224" s="1"/>
  <c r="Q109" i="224"/>
  <c r="Q87" i="224"/>
  <c r="R91" i="224"/>
  <c r="O109" i="223"/>
  <c r="O87" i="223"/>
  <c r="R95" i="223"/>
  <c r="F91" i="223"/>
  <c r="R92" i="223"/>
  <c r="M109" i="223"/>
  <c r="M87" i="223"/>
  <c r="Q109" i="223"/>
  <c r="Q87" i="223"/>
  <c r="N95" i="223"/>
  <c r="N91" i="223" s="1"/>
  <c r="O109" i="222"/>
  <c r="O87" i="222"/>
  <c r="R2" i="222"/>
  <c r="Q109" i="222"/>
  <c r="Q87" i="222"/>
  <c r="F109" i="222"/>
  <c r="R91" i="222"/>
  <c r="F87" i="222"/>
  <c r="R87" i="222" s="1"/>
  <c r="R86" i="222" s="1"/>
  <c r="Q109" i="221"/>
  <c r="Q87" i="221"/>
  <c r="M109" i="221"/>
  <c r="M87" i="221"/>
  <c r="N109" i="221"/>
  <c r="N87" i="221"/>
  <c r="R2" i="221"/>
  <c r="O109" i="221"/>
  <c r="O87" i="221"/>
  <c r="R95" i="221"/>
  <c r="F91" i="221"/>
  <c r="F109" i="220"/>
  <c r="R91" i="220"/>
  <c r="F87" i="220"/>
  <c r="R87" i="220" s="1"/>
  <c r="R95" i="219"/>
  <c r="F91" i="219"/>
  <c r="Q109" i="219"/>
  <c r="Q87" i="219"/>
  <c r="O109" i="219"/>
  <c r="O87" i="219"/>
  <c r="R2" i="219"/>
  <c r="N109" i="218"/>
  <c r="N87" i="218"/>
  <c r="R95" i="218"/>
  <c r="F91" i="218"/>
  <c r="N87" i="217"/>
  <c r="N109" i="217"/>
  <c r="O109" i="217"/>
  <c r="O87" i="217"/>
  <c r="R95" i="217"/>
  <c r="F91" i="217"/>
  <c r="M109" i="217"/>
  <c r="M87" i="217"/>
  <c r="R2" i="217"/>
  <c r="Q109" i="216"/>
  <c r="Q87" i="216"/>
  <c r="R95" i="216"/>
  <c r="F91" i="216"/>
  <c r="N109" i="215"/>
  <c r="N87" i="215"/>
  <c r="Q109" i="215"/>
  <c r="Q87" i="215"/>
  <c r="R95" i="215"/>
  <c r="F91" i="215"/>
  <c r="Q109" i="214"/>
  <c r="Q87" i="214"/>
  <c r="N109" i="214"/>
  <c r="N87" i="214"/>
  <c r="R95" i="214"/>
  <c r="F91" i="214"/>
  <c r="R2" i="214"/>
  <c r="Q109" i="213"/>
  <c r="Q87" i="213"/>
  <c r="R87" i="213" s="1"/>
  <c r="R86" i="213" s="1"/>
  <c r="M109" i="212"/>
  <c r="M87" i="212"/>
  <c r="N109" i="212"/>
  <c r="N87" i="212"/>
  <c r="R70" i="212"/>
  <c r="Q2" i="212"/>
  <c r="Q95" i="212" s="1"/>
  <c r="Q91" i="212" s="1"/>
  <c r="R2" i="212"/>
  <c r="O87" i="212"/>
  <c r="O109" i="212"/>
  <c r="R95" i="211"/>
  <c r="F91" i="211"/>
  <c r="O87" i="211"/>
  <c r="O109" i="211"/>
  <c r="N109" i="210"/>
  <c r="N87" i="210"/>
  <c r="Q109" i="210"/>
  <c r="Q87" i="210"/>
  <c r="R95" i="210"/>
  <c r="F91" i="210"/>
  <c r="F91" i="209"/>
  <c r="L109" i="209"/>
  <c r="L87" i="209"/>
  <c r="R70" i="209"/>
  <c r="O109" i="209"/>
  <c r="O87" i="209"/>
  <c r="Q48" i="209"/>
  <c r="Q2" i="209" s="1"/>
  <c r="Q95" i="209" s="1"/>
  <c r="Q91" i="209" s="1"/>
  <c r="R25" i="209"/>
  <c r="R48" i="209" s="1"/>
  <c r="O87" i="208"/>
  <c r="O109" i="208"/>
  <c r="Q109" i="208"/>
  <c r="Q87" i="208"/>
  <c r="R2" i="208"/>
  <c r="F109" i="208"/>
  <c r="R91" i="208"/>
  <c r="F87" i="208"/>
  <c r="R87" i="208" s="1"/>
  <c r="R86" i="208" s="1"/>
  <c r="M109" i="207"/>
  <c r="M87" i="207"/>
  <c r="N87" i="207"/>
  <c r="N109" i="207"/>
  <c r="R95" i="207"/>
  <c r="F91" i="207"/>
  <c r="M109" i="206"/>
  <c r="M87" i="206"/>
  <c r="R95" i="206"/>
  <c r="F91" i="206"/>
  <c r="N91" i="206"/>
  <c r="R92" i="206"/>
  <c r="Q109" i="206"/>
  <c r="Q87" i="206"/>
  <c r="F109" i="205"/>
  <c r="R91" i="205"/>
  <c r="F87" i="205"/>
  <c r="R87" i="205" s="1"/>
  <c r="R86" i="205" s="1"/>
  <c r="Q109" i="205"/>
  <c r="Q87" i="205"/>
  <c r="R95" i="205"/>
  <c r="N109" i="204"/>
  <c r="N87" i="204"/>
  <c r="R95" i="204"/>
  <c r="F91" i="204"/>
  <c r="M109" i="204"/>
  <c r="M87" i="204"/>
  <c r="O87" i="203"/>
  <c r="O109" i="203"/>
  <c r="R2" i="203"/>
  <c r="R95" i="203"/>
  <c r="F91" i="203"/>
  <c r="Q109" i="203"/>
  <c r="Q87" i="203"/>
  <c r="Q109" i="202"/>
  <c r="Q87" i="202"/>
  <c r="L109" i="202"/>
  <c r="L87" i="202"/>
  <c r="F109" i="202"/>
  <c r="R91" i="202"/>
  <c r="F87" i="202"/>
  <c r="R95" i="202"/>
  <c r="R2" i="202"/>
  <c r="F109" i="201"/>
  <c r="R91" i="201"/>
  <c r="F87" i="201"/>
  <c r="Q109" i="201"/>
  <c r="Q87" i="201"/>
  <c r="Q109" i="200"/>
  <c r="Q87" i="200"/>
  <c r="R95" i="200"/>
  <c r="F91" i="200"/>
  <c r="R2" i="200"/>
  <c r="O87" i="200"/>
  <c r="O109" i="200"/>
  <c r="O87" i="199"/>
  <c r="O109" i="199"/>
  <c r="M109" i="199"/>
  <c r="M87" i="199"/>
  <c r="N95" i="199"/>
  <c r="N91" i="199" s="1"/>
  <c r="F91" i="199"/>
  <c r="R92" i="199"/>
  <c r="M109" i="198"/>
  <c r="M87" i="198"/>
  <c r="R95" i="198"/>
  <c r="Q109" i="198"/>
  <c r="Q87" i="198"/>
  <c r="N109" i="198"/>
  <c r="N87" i="198"/>
  <c r="F109" i="198"/>
  <c r="R91" i="198"/>
  <c r="F87" i="198"/>
  <c r="N87" i="197"/>
  <c r="N109" i="197"/>
  <c r="Q95" i="197"/>
  <c r="R2" i="197"/>
  <c r="N91" i="196"/>
  <c r="R95" i="196"/>
  <c r="F91" i="196"/>
  <c r="Q109" i="196"/>
  <c r="Q87" i="196"/>
  <c r="L109" i="196"/>
  <c r="L87" i="196"/>
  <c r="M109" i="196"/>
  <c r="M87" i="196"/>
  <c r="Q109" i="195"/>
  <c r="Q87" i="195"/>
  <c r="R87" i="195"/>
  <c r="R86" i="195" s="1"/>
  <c r="N109" i="195"/>
  <c r="N87" i="195"/>
  <c r="M109" i="195"/>
  <c r="M87" i="195"/>
  <c r="R91" i="195"/>
  <c r="R70" i="195"/>
  <c r="R95" i="194"/>
  <c r="Q109" i="194"/>
  <c r="Q87" i="194"/>
  <c r="F109" i="194"/>
  <c r="R91" i="194"/>
  <c r="F87" i="194"/>
  <c r="R2" i="194"/>
  <c r="O109" i="194"/>
  <c r="O87" i="194"/>
  <c r="N87" i="193"/>
  <c r="N109" i="193"/>
  <c r="O87" i="193"/>
  <c r="O109" i="193"/>
  <c r="R2" i="193"/>
  <c r="Q109" i="193"/>
  <c r="Q87" i="193"/>
  <c r="R95" i="193"/>
  <c r="F91" i="193"/>
  <c r="N109" i="192"/>
  <c r="N87" i="192"/>
  <c r="M109" i="192"/>
  <c r="M87" i="192"/>
  <c r="O109" i="192"/>
  <c r="O87" i="192"/>
  <c r="R2" i="192"/>
  <c r="R95" i="192"/>
  <c r="F91" i="192"/>
  <c r="Q109" i="191"/>
  <c r="Q87" i="191"/>
  <c r="R91" i="191"/>
  <c r="R87" i="191"/>
  <c r="R86" i="191" s="1"/>
  <c r="Q109" i="190"/>
  <c r="Q87" i="190"/>
  <c r="R95" i="190"/>
  <c r="F91" i="190"/>
  <c r="R2" i="190"/>
  <c r="O87" i="189"/>
  <c r="O109" i="189"/>
  <c r="F91" i="189"/>
  <c r="R70" i="189"/>
  <c r="Q2" i="189"/>
  <c r="R2" i="188"/>
  <c r="Q109" i="188"/>
  <c r="Q87" i="188"/>
  <c r="N87" i="188"/>
  <c r="N109" i="188"/>
  <c r="R95" i="188"/>
  <c r="F91" i="188"/>
  <c r="F109" i="187"/>
  <c r="F87" i="187"/>
  <c r="N109" i="187"/>
  <c r="N87" i="187"/>
  <c r="Q95" i="187"/>
  <c r="R2" i="187"/>
  <c r="M109" i="187"/>
  <c r="M87" i="187"/>
  <c r="N87" i="186"/>
  <c r="R87" i="186" s="1"/>
  <c r="R86" i="186" s="1"/>
  <c r="N109" i="186"/>
  <c r="M109" i="185"/>
  <c r="M87" i="185"/>
  <c r="F109" i="185"/>
  <c r="F87" i="185"/>
  <c r="Q109" i="185"/>
  <c r="Q87" i="185"/>
  <c r="N91" i="185"/>
  <c r="O95" i="185"/>
  <c r="R2" i="185"/>
  <c r="M109" i="184"/>
  <c r="M87" i="184"/>
  <c r="N109" i="184"/>
  <c r="N87" i="184"/>
  <c r="Q2" i="184"/>
  <c r="R70" i="184"/>
  <c r="N109" i="183"/>
  <c r="N87" i="183"/>
  <c r="M109" i="183"/>
  <c r="M87" i="183"/>
  <c r="R95" i="183"/>
  <c r="F91" i="183"/>
  <c r="M109" i="182"/>
  <c r="M87" i="182"/>
  <c r="N109" i="182"/>
  <c r="N87" i="182"/>
  <c r="R95" i="182"/>
  <c r="F91" i="182"/>
  <c r="F109" i="181"/>
  <c r="F87" i="181"/>
  <c r="Q91" i="181"/>
  <c r="R91" i="181" s="1"/>
  <c r="F109" i="180"/>
  <c r="R91" i="180"/>
  <c r="F87" i="180"/>
  <c r="Q109" i="180"/>
  <c r="Q87" i="180"/>
  <c r="Q109" i="179"/>
  <c r="Q87" i="179"/>
  <c r="N91" i="179"/>
  <c r="M109" i="179"/>
  <c r="M87" i="179"/>
  <c r="R92" i="179"/>
  <c r="Q109" i="178"/>
  <c r="Q87" i="178"/>
  <c r="M87" i="178"/>
  <c r="M109" i="178"/>
  <c r="R95" i="178"/>
  <c r="F91" i="178"/>
  <c r="N95" i="178"/>
  <c r="N91" i="178" s="1"/>
  <c r="N87" i="177"/>
  <c r="N109" i="177"/>
  <c r="Q109" i="177"/>
  <c r="Q87" i="177"/>
  <c r="R2" i="177"/>
  <c r="R95" i="177"/>
  <c r="F91" i="177"/>
  <c r="M109" i="176"/>
  <c r="M87" i="176"/>
  <c r="N95" i="176"/>
  <c r="R92" i="176"/>
  <c r="Q95" i="176"/>
  <c r="Q91" i="176" s="1"/>
  <c r="R2" i="176"/>
  <c r="F109" i="176"/>
  <c r="F87" i="176"/>
  <c r="Q109" i="175"/>
  <c r="Q87" i="175"/>
  <c r="O109" i="175"/>
  <c r="O87" i="175"/>
  <c r="R2" i="175"/>
  <c r="R95" i="175"/>
  <c r="F91" i="175"/>
  <c r="N109" i="174"/>
  <c r="N87" i="174"/>
  <c r="O109" i="174"/>
  <c r="O87" i="174"/>
  <c r="R95" i="174"/>
  <c r="F91" i="174"/>
  <c r="Q109" i="174"/>
  <c r="Q87" i="174"/>
  <c r="R70" i="173"/>
  <c r="O95" i="173"/>
  <c r="F109" i="173"/>
  <c r="F87" i="173"/>
  <c r="N109" i="173"/>
  <c r="N87" i="173"/>
  <c r="Q2" i="173"/>
  <c r="Q95" i="173" s="1"/>
  <c r="Q91" i="173" s="1"/>
  <c r="R87" i="236" l="1"/>
  <c r="R86" i="236" s="1"/>
  <c r="F109" i="235"/>
  <c r="R91" i="235"/>
  <c r="F87" i="235"/>
  <c r="R87" i="235" s="1"/>
  <c r="R86" i="235" s="1"/>
  <c r="N91" i="233"/>
  <c r="F109" i="232"/>
  <c r="R91" i="232"/>
  <c r="F87" i="232"/>
  <c r="R87" i="232" s="1"/>
  <c r="F109" i="231"/>
  <c r="R91" i="231"/>
  <c r="F87" i="231"/>
  <c r="R87" i="231" s="1"/>
  <c r="R86" i="231" s="1"/>
  <c r="Q109" i="231"/>
  <c r="Q87" i="231"/>
  <c r="F109" i="230"/>
  <c r="R91" i="230"/>
  <c r="F87" i="230"/>
  <c r="R87" i="230" s="1"/>
  <c r="R86" i="230" s="1"/>
  <c r="F109" i="229"/>
  <c r="R91" i="229"/>
  <c r="F87" i="229"/>
  <c r="R87" i="229" s="1"/>
  <c r="F109" i="227"/>
  <c r="R91" i="227"/>
  <c r="F87" i="227"/>
  <c r="R87" i="227" s="1"/>
  <c r="R86" i="227" s="1"/>
  <c r="F109" i="226"/>
  <c r="R91" i="226"/>
  <c r="F87" i="226"/>
  <c r="R87" i="226" s="1"/>
  <c r="R86" i="226" s="1"/>
  <c r="N87" i="223"/>
  <c r="N109" i="223"/>
  <c r="F109" i="223"/>
  <c r="R91" i="223"/>
  <c r="F87" i="223"/>
  <c r="F109" i="221"/>
  <c r="R91" i="221"/>
  <c r="F87" i="221"/>
  <c r="R87" i="221" s="1"/>
  <c r="R86" i="221" s="1"/>
  <c r="R86" i="220"/>
  <c r="F109" i="219"/>
  <c r="R91" i="219"/>
  <c r="F87" i="219"/>
  <c r="R87" i="219" s="1"/>
  <c r="F109" i="218"/>
  <c r="R91" i="218"/>
  <c r="F87" i="218"/>
  <c r="R87" i="218" s="1"/>
  <c r="F109" i="217"/>
  <c r="R91" i="217"/>
  <c r="F87" i="217"/>
  <c r="R87" i="217" s="1"/>
  <c r="F109" i="216"/>
  <c r="R91" i="216"/>
  <c r="F87" i="216"/>
  <c r="R87" i="216" s="1"/>
  <c r="R86" i="216" s="1"/>
  <c r="F109" i="215"/>
  <c r="R91" i="215"/>
  <c r="F87" i="215"/>
  <c r="R87" i="215" s="1"/>
  <c r="R86" i="215" s="1"/>
  <c r="F109" i="214"/>
  <c r="R91" i="214"/>
  <c r="F87" i="214"/>
  <c r="R87" i="214" s="1"/>
  <c r="R86" i="214" s="1"/>
  <c r="Q109" i="212"/>
  <c r="Q87" i="212"/>
  <c r="R87" i="212" s="1"/>
  <c r="R95" i="212"/>
  <c r="R91" i="212"/>
  <c r="F109" i="211"/>
  <c r="R91" i="211"/>
  <c r="F87" i="211"/>
  <c r="R87" i="211" s="1"/>
  <c r="R86" i="211" s="1"/>
  <c r="F109" i="210"/>
  <c r="R91" i="210"/>
  <c r="F87" i="210"/>
  <c r="R87" i="210" s="1"/>
  <c r="R86" i="210" s="1"/>
  <c r="Q109" i="209"/>
  <c r="Q87" i="209"/>
  <c r="F109" i="209"/>
  <c r="R91" i="209"/>
  <c r="F87" i="209"/>
  <c r="R87" i="209" s="1"/>
  <c r="R95" i="209"/>
  <c r="R2" i="209"/>
  <c r="F109" i="207"/>
  <c r="R91" i="207"/>
  <c r="F87" i="207"/>
  <c r="R87" i="207" s="1"/>
  <c r="R86" i="207" s="1"/>
  <c r="N109" i="206"/>
  <c r="N87" i="206"/>
  <c r="F109" i="206"/>
  <c r="R91" i="206"/>
  <c r="F87" i="206"/>
  <c r="F109" i="204"/>
  <c r="R91" i="204"/>
  <c r="F87" i="204"/>
  <c r="R87" i="204" s="1"/>
  <c r="F109" i="203"/>
  <c r="R91" i="203"/>
  <c r="F87" i="203"/>
  <c r="R87" i="203" s="1"/>
  <c r="R86" i="203" s="1"/>
  <c r="R87" i="202"/>
  <c r="R86" i="202" s="1"/>
  <c r="R87" i="201"/>
  <c r="R86" i="201" s="1"/>
  <c r="F109" i="200"/>
  <c r="R91" i="200"/>
  <c r="F87" i="200"/>
  <c r="R87" i="200" s="1"/>
  <c r="N109" i="199"/>
  <c r="N87" i="199"/>
  <c r="F109" i="199"/>
  <c r="R91" i="199"/>
  <c r="F87" i="199"/>
  <c r="R95" i="199"/>
  <c r="R87" i="198"/>
  <c r="R86" i="198" s="1"/>
  <c r="Q91" i="197"/>
  <c r="R95" i="197"/>
  <c r="F109" i="196"/>
  <c r="R91" i="196"/>
  <c r="F87" i="196"/>
  <c r="R87" i="196" s="1"/>
  <c r="R86" i="196" s="1"/>
  <c r="N109" i="196"/>
  <c r="N87" i="196"/>
  <c r="R87" i="194"/>
  <c r="R86" i="194" s="1"/>
  <c r="F109" i="193"/>
  <c r="R91" i="193"/>
  <c r="F87" i="193"/>
  <c r="R87" i="193" s="1"/>
  <c r="R86" i="193" s="1"/>
  <c r="F109" i="192"/>
  <c r="R91" i="192"/>
  <c r="F87" i="192"/>
  <c r="R87" i="192" s="1"/>
  <c r="R86" i="192" s="1"/>
  <c r="F109" i="190"/>
  <c r="R91" i="190"/>
  <c r="F87" i="190"/>
  <c r="R87" i="190" s="1"/>
  <c r="R86" i="190" s="1"/>
  <c r="Q95" i="189"/>
  <c r="R2" i="189"/>
  <c r="F109" i="189"/>
  <c r="F87" i="189"/>
  <c r="F109" i="188"/>
  <c r="R91" i="188"/>
  <c r="F87" i="188"/>
  <c r="R87" i="188" s="1"/>
  <c r="Q91" i="187"/>
  <c r="R95" i="187"/>
  <c r="O91" i="185"/>
  <c r="R95" i="185"/>
  <c r="N87" i="185"/>
  <c r="N109" i="185"/>
  <c r="Q95" i="184"/>
  <c r="R2" i="184"/>
  <c r="F109" i="183"/>
  <c r="R91" i="183"/>
  <c r="F87" i="183"/>
  <c r="R87" i="183" s="1"/>
  <c r="R86" i="183" s="1"/>
  <c r="F109" i="182"/>
  <c r="R91" i="182"/>
  <c r="F87" i="182"/>
  <c r="R87" i="182" s="1"/>
  <c r="Q109" i="181"/>
  <c r="Q87" i="181"/>
  <c r="R87" i="181" s="1"/>
  <c r="R86" i="181" s="1"/>
  <c r="R87" i="180"/>
  <c r="R86" i="180" s="1"/>
  <c r="N109" i="179"/>
  <c r="N87" i="179"/>
  <c r="R87" i="179" s="1"/>
  <c r="R91" i="179"/>
  <c r="N87" i="178"/>
  <c r="N109" i="178"/>
  <c r="F109" i="178"/>
  <c r="R91" i="178"/>
  <c r="F87" i="178"/>
  <c r="R87" i="178" s="1"/>
  <c r="F109" i="177"/>
  <c r="R91" i="177"/>
  <c r="F87" i="177"/>
  <c r="R87" i="177" s="1"/>
  <c r="R86" i="177" s="1"/>
  <c r="Q109" i="176"/>
  <c r="Q87" i="176"/>
  <c r="R95" i="176"/>
  <c r="N91" i="176"/>
  <c r="F109" i="175"/>
  <c r="R91" i="175"/>
  <c r="F87" i="175"/>
  <c r="R87" i="175" s="1"/>
  <c r="F109" i="174"/>
  <c r="R91" i="174"/>
  <c r="F87" i="174"/>
  <c r="R87" i="174" s="1"/>
  <c r="Q109" i="173"/>
  <c r="Q87" i="173"/>
  <c r="R2" i="173"/>
  <c r="O91" i="173"/>
  <c r="R95" i="173"/>
  <c r="N109" i="233" l="1"/>
  <c r="N87" i="233"/>
  <c r="R87" i="233" s="1"/>
  <c r="R91" i="233"/>
  <c r="R86" i="232"/>
  <c r="R86" i="229"/>
  <c r="R87" i="223"/>
  <c r="R86" i="223" s="1"/>
  <c r="R86" i="219"/>
  <c r="R86" i="218"/>
  <c r="R86" i="217"/>
  <c r="R86" i="212"/>
  <c r="R86" i="209"/>
  <c r="R87" i="206"/>
  <c r="R86" i="206" s="1"/>
  <c r="R86" i="204"/>
  <c r="R86" i="200"/>
  <c r="R87" i="199"/>
  <c r="R86" i="199" s="1"/>
  <c r="Q109" i="197"/>
  <c r="Q87" i="197"/>
  <c r="R87" i="197" s="1"/>
  <c r="R86" i="197" s="1"/>
  <c r="R91" i="197"/>
  <c r="Q91" i="189"/>
  <c r="R95" i="189"/>
  <c r="R86" i="188"/>
  <c r="Q109" i="187"/>
  <c r="Q87" i="187"/>
  <c r="R87" i="187" s="1"/>
  <c r="R86" i="187" s="1"/>
  <c r="R91" i="187"/>
  <c r="O87" i="185"/>
  <c r="R87" i="185" s="1"/>
  <c r="R86" i="185" s="1"/>
  <c r="O109" i="185"/>
  <c r="R91" i="185"/>
  <c r="Q91" i="184"/>
  <c r="R95" i="184"/>
  <c r="R86" i="182"/>
  <c r="R86" i="179"/>
  <c r="R86" i="178"/>
  <c r="N109" i="176"/>
  <c r="N87" i="176"/>
  <c r="R87" i="176" s="1"/>
  <c r="R91" i="176"/>
  <c r="R86" i="175"/>
  <c r="R86" i="174"/>
  <c r="O87" i="173"/>
  <c r="R87" i="173" s="1"/>
  <c r="R86" i="173" s="1"/>
  <c r="O109" i="173"/>
  <c r="R91" i="173"/>
  <c r="R86" i="233" l="1"/>
  <c r="Q109" i="189"/>
  <c r="Q87" i="189"/>
  <c r="R87" i="189" s="1"/>
  <c r="R91" i="189"/>
  <c r="Q109" i="184"/>
  <c r="Q87" i="184"/>
  <c r="R87" i="184" s="1"/>
  <c r="R91" i="184"/>
  <c r="R86" i="176"/>
  <c r="R86" i="189" l="1"/>
  <c r="R86" i="184"/>
  <c r="G86" i="172" l="1"/>
  <c r="Q83" i="172"/>
  <c r="P83" i="172"/>
  <c r="O83" i="172"/>
  <c r="N83" i="172"/>
  <c r="M83" i="172"/>
  <c r="L83" i="172"/>
  <c r="K83" i="172"/>
  <c r="J83" i="172"/>
  <c r="I83" i="172"/>
  <c r="H83" i="172"/>
  <c r="G83" i="172"/>
  <c r="Q76" i="172"/>
  <c r="P76" i="172"/>
  <c r="D63" i="172"/>
  <c r="P47" i="172"/>
  <c r="O47" i="172"/>
  <c r="M47" i="172"/>
  <c r="L47" i="172"/>
  <c r="J47" i="172"/>
  <c r="I47" i="172"/>
  <c r="H47" i="172"/>
  <c r="G47" i="172"/>
  <c r="P45" i="172"/>
  <c r="O45" i="172"/>
  <c r="N45" i="172"/>
  <c r="M45" i="172"/>
  <c r="K45" i="172"/>
  <c r="J45" i="172"/>
  <c r="H45" i="172"/>
  <c r="G45" i="172"/>
  <c r="D42" i="172"/>
  <c r="R41" i="172"/>
  <c r="Q40" i="172"/>
  <c r="P40" i="172"/>
  <c r="O40" i="172"/>
  <c r="N40" i="172"/>
  <c r="M40" i="172"/>
  <c r="L40" i="172"/>
  <c r="K40" i="172"/>
  <c r="J40" i="172"/>
  <c r="I40" i="172"/>
  <c r="H40" i="172"/>
  <c r="G40" i="172"/>
  <c r="F40" i="172"/>
  <c r="R39" i="172"/>
  <c r="R38" i="172"/>
  <c r="D29" i="172"/>
  <c r="K29" i="172" s="1"/>
  <c r="D17" i="172"/>
  <c r="D15" i="172"/>
  <c r="D8" i="172"/>
  <c r="K8" i="172" s="1"/>
  <c r="N7" i="172"/>
  <c r="D7" i="172"/>
  <c r="F7" i="172" s="1"/>
  <c r="D6" i="172"/>
  <c r="O6" i="172" s="1"/>
  <c r="D3" i="172"/>
  <c r="P3" i="172" s="1"/>
  <c r="D1" i="172"/>
  <c r="D97" i="172" s="1"/>
  <c r="D99" i="171"/>
  <c r="G86" i="171"/>
  <c r="Q83" i="171"/>
  <c r="P83" i="171"/>
  <c r="O83" i="171"/>
  <c r="N83" i="171"/>
  <c r="M83" i="171"/>
  <c r="L83" i="171"/>
  <c r="K83" i="171"/>
  <c r="J83" i="171"/>
  <c r="I83" i="171"/>
  <c r="H83" i="171"/>
  <c r="G83" i="171"/>
  <c r="Q76" i="171"/>
  <c r="P76" i="171"/>
  <c r="D67" i="171"/>
  <c r="D65" i="171"/>
  <c r="K65" i="171" s="1"/>
  <c r="D64" i="171"/>
  <c r="D60" i="171"/>
  <c r="D54" i="171"/>
  <c r="D52" i="171"/>
  <c r="K52" i="171" s="1"/>
  <c r="D51" i="171"/>
  <c r="D49" i="171"/>
  <c r="P47" i="171"/>
  <c r="O47" i="171"/>
  <c r="M47" i="171"/>
  <c r="L47" i="171"/>
  <c r="J47" i="171"/>
  <c r="I47" i="171"/>
  <c r="H47" i="171"/>
  <c r="G47" i="171"/>
  <c r="P45" i="171"/>
  <c r="O45" i="171"/>
  <c r="N45" i="171"/>
  <c r="M45" i="171"/>
  <c r="K45" i="171"/>
  <c r="J45" i="171"/>
  <c r="H45" i="171"/>
  <c r="G45" i="171"/>
  <c r="R41" i="171"/>
  <c r="Q40" i="171"/>
  <c r="P40" i="171"/>
  <c r="O40" i="171"/>
  <c r="N40" i="171"/>
  <c r="M40" i="171"/>
  <c r="L40" i="171"/>
  <c r="K40" i="171"/>
  <c r="J40" i="171"/>
  <c r="I40" i="171"/>
  <c r="H40" i="171"/>
  <c r="G40" i="171"/>
  <c r="F40" i="171"/>
  <c r="R39" i="171"/>
  <c r="R38" i="171"/>
  <c r="O10" i="171"/>
  <c r="K10" i="171"/>
  <c r="D10" i="171"/>
  <c r="K9" i="171"/>
  <c r="G9" i="171"/>
  <c r="D9" i="171"/>
  <c r="M9" i="171" s="1"/>
  <c r="I7" i="171"/>
  <c r="D7" i="171"/>
  <c r="D6" i="171"/>
  <c r="O4" i="171"/>
  <c r="I4" i="171"/>
  <c r="D4" i="171"/>
  <c r="D3" i="171"/>
  <c r="D1" i="171"/>
  <c r="D69" i="171" s="1"/>
  <c r="D103" i="170"/>
  <c r="G86" i="170"/>
  <c r="Q83" i="170"/>
  <c r="P83" i="170"/>
  <c r="O83" i="170"/>
  <c r="N83" i="170"/>
  <c r="M83" i="170"/>
  <c r="L83" i="170"/>
  <c r="K83" i="170"/>
  <c r="J83" i="170"/>
  <c r="I83" i="170"/>
  <c r="H83" i="170"/>
  <c r="G83" i="170"/>
  <c r="Q76" i="170"/>
  <c r="P76" i="170"/>
  <c r="D59" i="170"/>
  <c r="K56" i="170"/>
  <c r="F56" i="170"/>
  <c r="D56" i="170"/>
  <c r="P47" i="170"/>
  <c r="O47" i="170"/>
  <c r="M47" i="170"/>
  <c r="L47" i="170"/>
  <c r="J47" i="170"/>
  <c r="I47" i="170"/>
  <c r="H47" i="170"/>
  <c r="G47" i="170"/>
  <c r="P45" i="170"/>
  <c r="O45" i="170"/>
  <c r="N45" i="170"/>
  <c r="M45" i="170"/>
  <c r="K45" i="170"/>
  <c r="J45" i="170"/>
  <c r="H45" i="170"/>
  <c r="G45" i="170"/>
  <c r="D44" i="170"/>
  <c r="D42" i="170"/>
  <c r="R41" i="170"/>
  <c r="Q40" i="170"/>
  <c r="P40" i="170"/>
  <c r="O40" i="170"/>
  <c r="N40" i="170"/>
  <c r="M40" i="170"/>
  <c r="L40" i="170"/>
  <c r="K40" i="170"/>
  <c r="J40" i="170"/>
  <c r="I40" i="170"/>
  <c r="H40" i="170"/>
  <c r="G40" i="170"/>
  <c r="F40" i="170"/>
  <c r="R39" i="170"/>
  <c r="R38" i="170"/>
  <c r="P32" i="170"/>
  <c r="N32" i="170"/>
  <c r="K32" i="170"/>
  <c r="I32" i="170"/>
  <c r="H32" i="170"/>
  <c r="G32" i="170"/>
  <c r="D32" i="170"/>
  <c r="J32" i="170" s="1"/>
  <c r="D30" i="170"/>
  <c r="P29" i="170"/>
  <c r="N29" i="170"/>
  <c r="M29" i="170"/>
  <c r="J29" i="170"/>
  <c r="H29" i="170"/>
  <c r="G29" i="170"/>
  <c r="D29" i="170"/>
  <c r="D27" i="170"/>
  <c r="M26" i="170"/>
  <c r="D26" i="170"/>
  <c r="D24" i="170"/>
  <c r="P17" i="170"/>
  <c r="N17" i="170"/>
  <c r="M17" i="170"/>
  <c r="J17" i="170"/>
  <c r="H17" i="170"/>
  <c r="G17" i="170"/>
  <c r="D17" i="170"/>
  <c r="D15" i="170"/>
  <c r="F15" i="170" s="1"/>
  <c r="D13" i="170"/>
  <c r="K12" i="170"/>
  <c r="D12" i="170"/>
  <c r="D11" i="170"/>
  <c r="P10" i="170"/>
  <c r="J10" i="170"/>
  <c r="D10" i="170"/>
  <c r="O10" i="170" s="1"/>
  <c r="P9" i="170"/>
  <c r="O9" i="170"/>
  <c r="M9" i="170"/>
  <c r="L9" i="170"/>
  <c r="J9" i="170"/>
  <c r="I9" i="170"/>
  <c r="G9" i="170"/>
  <c r="F9" i="170"/>
  <c r="D9" i="170"/>
  <c r="O8" i="170"/>
  <c r="N8" i="170"/>
  <c r="I8" i="170"/>
  <c r="H8" i="170"/>
  <c r="D8" i="170"/>
  <c r="M8" i="170" s="1"/>
  <c r="P7" i="170"/>
  <c r="J7" i="170"/>
  <c r="D7" i="170"/>
  <c r="O7" i="170" s="1"/>
  <c r="P6" i="170"/>
  <c r="O6" i="170"/>
  <c r="M6" i="170"/>
  <c r="L6" i="170"/>
  <c r="J6" i="170"/>
  <c r="I6" i="170"/>
  <c r="G6" i="170"/>
  <c r="F6" i="170"/>
  <c r="D6" i="170"/>
  <c r="O5" i="170"/>
  <c r="N5" i="170"/>
  <c r="I5" i="170"/>
  <c r="H5" i="170"/>
  <c r="D5" i="170"/>
  <c r="M5" i="170" s="1"/>
  <c r="P4" i="170"/>
  <c r="J4" i="170"/>
  <c r="D4" i="170"/>
  <c r="O4" i="170" s="1"/>
  <c r="O3" i="170"/>
  <c r="M3" i="170"/>
  <c r="L3" i="170"/>
  <c r="I3" i="170"/>
  <c r="G3" i="170"/>
  <c r="F3" i="170"/>
  <c r="D3" i="170"/>
  <c r="D2" i="170"/>
  <c r="D1" i="170"/>
  <c r="D105" i="169"/>
  <c r="D102" i="169"/>
  <c r="D101" i="169"/>
  <c r="D90" i="169"/>
  <c r="G86" i="169"/>
  <c r="Q83" i="169"/>
  <c r="P83" i="169"/>
  <c r="O83" i="169"/>
  <c r="N83" i="169"/>
  <c r="M83" i="169"/>
  <c r="L83" i="169"/>
  <c r="K83" i="169"/>
  <c r="J83" i="169"/>
  <c r="I83" i="169"/>
  <c r="H83" i="169"/>
  <c r="G83" i="169"/>
  <c r="D82" i="169"/>
  <c r="Q76" i="169"/>
  <c r="P76" i="169"/>
  <c r="N74" i="169"/>
  <c r="H74" i="169"/>
  <c r="D74" i="169"/>
  <c r="K73" i="169"/>
  <c r="J73" i="169"/>
  <c r="D73" i="169"/>
  <c r="D72" i="169"/>
  <c r="K72" i="169" s="1"/>
  <c r="D71" i="169"/>
  <c r="D69" i="169"/>
  <c r="D68" i="169"/>
  <c r="I65" i="169"/>
  <c r="H65" i="169"/>
  <c r="D65" i="169"/>
  <c r="N65" i="169" s="1"/>
  <c r="D64" i="169"/>
  <c r="K61" i="169"/>
  <c r="H61" i="169"/>
  <c r="D61" i="169"/>
  <c r="P61" i="169" s="1"/>
  <c r="K59" i="169"/>
  <c r="J59" i="169"/>
  <c r="D59" i="169"/>
  <c r="P59" i="169" s="1"/>
  <c r="D57" i="169"/>
  <c r="N54" i="169"/>
  <c r="K54" i="169"/>
  <c r="I54" i="169"/>
  <c r="D54" i="169"/>
  <c r="M53" i="169"/>
  <c r="K53" i="169"/>
  <c r="D53" i="169"/>
  <c r="N50" i="169"/>
  <c r="H50" i="169"/>
  <c r="D50" i="169"/>
  <c r="K49" i="169"/>
  <c r="I49" i="169"/>
  <c r="D49" i="169"/>
  <c r="P47" i="169"/>
  <c r="O47" i="169"/>
  <c r="M47" i="169"/>
  <c r="L47" i="169"/>
  <c r="J47" i="169"/>
  <c r="I47" i="169"/>
  <c r="H47" i="169"/>
  <c r="G47" i="169"/>
  <c r="P45" i="169"/>
  <c r="O45" i="169"/>
  <c r="N45" i="169"/>
  <c r="M45" i="169"/>
  <c r="K45" i="169"/>
  <c r="J45" i="169"/>
  <c r="H45" i="169"/>
  <c r="G45" i="169"/>
  <c r="D44" i="169"/>
  <c r="R41" i="169"/>
  <c r="Q40" i="169"/>
  <c r="P40" i="169"/>
  <c r="O40" i="169"/>
  <c r="N40" i="169"/>
  <c r="M40" i="169"/>
  <c r="L40" i="169"/>
  <c r="K40" i="169"/>
  <c r="J40" i="169"/>
  <c r="I40" i="169"/>
  <c r="H40" i="169"/>
  <c r="G40" i="169"/>
  <c r="F40" i="169"/>
  <c r="R40" i="169" s="1"/>
  <c r="R39" i="169"/>
  <c r="R38" i="169"/>
  <c r="D36" i="169"/>
  <c r="P33" i="169"/>
  <c r="I33" i="169"/>
  <c r="F33" i="169"/>
  <c r="D33" i="169"/>
  <c r="M33" i="169" s="1"/>
  <c r="L32" i="169"/>
  <c r="J32" i="169"/>
  <c r="H32" i="169"/>
  <c r="F32" i="169"/>
  <c r="D32" i="169"/>
  <c r="M32" i="169" s="1"/>
  <c r="D30" i="169"/>
  <c r="K29" i="169"/>
  <c r="H29" i="169"/>
  <c r="D29" i="169"/>
  <c r="N29" i="169" s="1"/>
  <c r="D26" i="169"/>
  <c r="J26" i="169" s="1"/>
  <c r="D17" i="169"/>
  <c r="K17" i="169" s="1"/>
  <c r="J13" i="169"/>
  <c r="H13" i="169"/>
  <c r="D13" i="169"/>
  <c r="N13" i="169" s="1"/>
  <c r="D11" i="169"/>
  <c r="F11" i="169" s="1"/>
  <c r="O9" i="169"/>
  <c r="L9" i="169"/>
  <c r="H9" i="169"/>
  <c r="F9" i="169"/>
  <c r="D9" i="169"/>
  <c r="K9" i="169" s="1"/>
  <c r="L6" i="169"/>
  <c r="D6" i="169"/>
  <c r="P3" i="169"/>
  <c r="O3" i="169"/>
  <c r="N3" i="169"/>
  <c r="J3" i="169"/>
  <c r="I3" i="169"/>
  <c r="H3" i="169"/>
  <c r="F3" i="169"/>
  <c r="D3" i="169"/>
  <c r="D2" i="169"/>
  <c r="D1" i="169"/>
  <c r="G86" i="168"/>
  <c r="Q83" i="168"/>
  <c r="P83" i="168"/>
  <c r="O83" i="168"/>
  <c r="N83" i="168"/>
  <c r="M83" i="168"/>
  <c r="L83" i="168"/>
  <c r="K83" i="168"/>
  <c r="J83" i="168"/>
  <c r="I83" i="168"/>
  <c r="H83" i="168"/>
  <c r="G83" i="168"/>
  <c r="Q76" i="168"/>
  <c r="P76" i="168"/>
  <c r="P47" i="168"/>
  <c r="O47" i="168"/>
  <c r="M47" i="168"/>
  <c r="L47" i="168"/>
  <c r="J47" i="168"/>
  <c r="I47" i="168"/>
  <c r="H47" i="168"/>
  <c r="G47" i="168"/>
  <c r="P45" i="168"/>
  <c r="O45" i="168"/>
  <c r="N45" i="168"/>
  <c r="M45" i="168"/>
  <c r="K45" i="168"/>
  <c r="J45" i="168"/>
  <c r="H45" i="168"/>
  <c r="G45" i="168"/>
  <c r="R41" i="168"/>
  <c r="Q40" i="168"/>
  <c r="P40" i="168"/>
  <c r="O40" i="168"/>
  <c r="N40" i="168"/>
  <c r="M40" i="168"/>
  <c r="L40" i="168"/>
  <c r="K40" i="168"/>
  <c r="J40" i="168"/>
  <c r="I40" i="168"/>
  <c r="H40" i="168"/>
  <c r="G40" i="168"/>
  <c r="F40" i="168"/>
  <c r="R40" i="168" s="1"/>
  <c r="R39" i="168"/>
  <c r="R38" i="168"/>
  <c r="D30" i="168"/>
  <c r="D24" i="168"/>
  <c r="D13" i="168"/>
  <c r="K13" i="168" s="1"/>
  <c r="D12" i="168"/>
  <c r="D1" i="168"/>
  <c r="D33" i="168" s="1"/>
  <c r="D97" i="167"/>
  <c r="G86" i="167"/>
  <c r="Q83" i="167"/>
  <c r="P83" i="167"/>
  <c r="O83" i="167"/>
  <c r="N83" i="167"/>
  <c r="M83" i="167"/>
  <c r="L83" i="167"/>
  <c r="K83" i="167"/>
  <c r="J83" i="167"/>
  <c r="I83" i="167"/>
  <c r="H83" i="167"/>
  <c r="G83" i="167"/>
  <c r="D80" i="167"/>
  <c r="F80" i="167" s="1"/>
  <c r="Q76" i="167"/>
  <c r="P76" i="167"/>
  <c r="P55" i="167"/>
  <c r="D55" i="167"/>
  <c r="G55" i="167" s="1"/>
  <c r="D54" i="167"/>
  <c r="D53" i="167"/>
  <c r="L53" i="167" s="1"/>
  <c r="P47" i="167"/>
  <c r="O47" i="167"/>
  <c r="M47" i="167"/>
  <c r="L47" i="167"/>
  <c r="J47" i="167"/>
  <c r="I47" i="167"/>
  <c r="H47" i="167"/>
  <c r="G47" i="167"/>
  <c r="P45" i="167"/>
  <c r="O45" i="167"/>
  <c r="N45" i="167"/>
  <c r="M45" i="167"/>
  <c r="K45" i="167"/>
  <c r="J45" i="167"/>
  <c r="H45" i="167"/>
  <c r="G45" i="167"/>
  <c r="D43" i="167"/>
  <c r="F43" i="167" s="1"/>
  <c r="F45" i="167" s="1"/>
  <c r="R41" i="167"/>
  <c r="Q40" i="167"/>
  <c r="P40" i="167"/>
  <c r="O40" i="167"/>
  <c r="N40" i="167"/>
  <c r="M40" i="167"/>
  <c r="L40" i="167"/>
  <c r="K40" i="167"/>
  <c r="J40" i="167"/>
  <c r="I40" i="167"/>
  <c r="H40" i="167"/>
  <c r="G40" i="167"/>
  <c r="F40" i="167"/>
  <c r="R40" i="167" s="1"/>
  <c r="R39" i="167"/>
  <c r="R38" i="167"/>
  <c r="D36" i="167"/>
  <c r="D33" i="167"/>
  <c r="O30" i="167"/>
  <c r="D30" i="167"/>
  <c r="K30" i="167" s="1"/>
  <c r="D17" i="167"/>
  <c r="D15" i="167"/>
  <c r="M3" i="167"/>
  <c r="G3" i="167"/>
  <c r="D3" i="167"/>
  <c r="N3" i="167" s="1"/>
  <c r="D2" i="167"/>
  <c r="D1" i="167"/>
  <c r="D71" i="167" s="1"/>
  <c r="D99" i="166"/>
  <c r="D97" i="166"/>
  <c r="G86" i="166"/>
  <c r="Q83" i="166"/>
  <c r="P83" i="166"/>
  <c r="O83" i="166"/>
  <c r="N83" i="166"/>
  <c r="M83" i="166"/>
  <c r="L83" i="166"/>
  <c r="K83" i="166"/>
  <c r="J83" i="166"/>
  <c r="I83" i="166"/>
  <c r="H83" i="166"/>
  <c r="G83" i="166"/>
  <c r="Q76" i="166"/>
  <c r="P76" i="166"/>
  <c r="D74" i="166"/>
  <c r="D73" i="166"/>
  <c r="D71" i="166"/>
  <c r="F71" i="166" s="1"/>
  <c r="D69" i="166"/>
  <c r="D61" i="166"/>
  <c r="P61" i="166" s="1"/>
  <c r="D60" i="166"/>
  <c r="D59" i="166"/>
  <c r="J59" i="166" s="1"/>
  <c r="K58" i="166"/>
  <c r="D58" i="166"/>
  <c r="F58" i="166" s="1"/>
  <c r="D56" i="166"/>
  <c r="D53" i="166"/>
  <c r="K53" i="166" s="1"/>
  <c r="D50" i="166"/>
  <c r="D49" i="166"/>
  <c r="N49" i="166" s="1"/>
  <c r="P47" i="166"/>
  <c r="O47" i="166"/>
  <c r="M47" i="166"/>
  <c r="L47" i="166"/>
  <c r="J47" i="166"/>
  <c r="I47" i="166"/>
  <c r="H47" i="166"/>
  <c r="G47" i="166"/>
  <c r="D46" i="166"/>
  <c r="P45" i="166"/>
  <c r="O45" i="166"/>
  <c r="N45" i="166"/>
  <c r="M45" i="166"/>
  <c r="K45" i="166"/>
  <c r="J45" i="166"/>
  <c r="H45" i="166"/>
  <c r="G45" i="166"/>
  <c r="R41" i="166"/>
  <c r="Q40" i="166"/>
  <c r="P40" i="166"/>
  <c r="O40" i="166"/>
  <c r="N40" i="166"/>
  <c r="M40" i="166"/>
  <c r="L40" i="166"/>
  <c r="K40" i="166"/>
  <c r="J40" i="166"/>
  <c r="I40" i="166"/>
  <c r="H40" i="166"/>
  <c r="G40" i="166"/>
  <c r="F40" i="166"/>
  <c r="R39" i="166"/>
  <c r="R38" i="166"/>
  <c r="D36" i="166"/>
  <c r="O30" i="166"/>
  <c r="N30" i="166"/>
  <c r="I30" i="166"/>
  <c r="D30" i="166"/>
  <c r="O27" i="166"/>
  <c r="N27" i="166"/>
  <c r="L27" i="166"/>
  <c r="D27" i="166"/>
  <c r="P26" i="166"/>
  <c r="J26" i="166"/>
  <c r="D26" i="166"/>
  <c r="D24" i="166"/>
  <c r="D17" i="166"/>
  <c r="D11" i="166"/>
  <c r="F11" i="166" s="1"/>
  <c r="D9" i="166"/>
  <c r="K9" i="166" s="1"/>
  <c r="L8" i="166"/>
  <c r="K8" i="166"/>
  <c r="D8" i="166"/>
  <c r="N6" i="166"/>
  <c r="K6" i="166"/>
  <c r="D6" i="166"/>
  <c r="D2" i="166"/>
  <c r="D1" i="166"/>
  <c r="D82" i="166" s="1"/>
  <c r="G86" i="165"/>
  <c r="Q83" i="165"/>
  <c r="P83" i="165"/>
  <c r="O83" i="165"/>
  <c r="N83" i="165"/>
  <c r="M83" i="165"/>
  <c r="L83" i="165"/>
  <c r="K83" i="165"/>
  <c r="J83" i="165"/>
  <c r="I83" i="165"/>
  <c r="H83" i="165"/>
  <c r="G83" i="165"/>
  <c r="Q76" i="165"/>
  <c r="P76" i="165"/>
  <c r="P47" i="165"/>
  <c r="O47" i="165"/>
  <c r="M47" i="165"/>
  <c r="L47" i="165"/>
  <c r="J47" i="165"/>
  <c r="I47" i="165"/>
  <c r="H47" i="165"/>
  <c r="G47" i="165"/>
  <c r="P45" i="165"/>
  <c r="O45" i="165"/>
  <c r="N45" i="165"/>
  <c r="M45" i="165"/>
  <c r="K45" i="165"/>
  <c r="J45" i="165"/>
  <c r="H45" i="165"/>
  <c r="G45" i="165"/>
  <c r="R41" i="165"/>
  <c r="Q40" i="165"/>
  <c r="P40" i="165"/>
  <c r="O40" i="165"/>
  <c r="N40" i="165"/>
  <c r="M40" i="165"/>
  <c r="L40" i="165"/>
  <c r="K40" i="165"/>
  <c r="R40" i="165" s="1"/>
  <c r="J40" i="165"/>
  <c r="I40" i="165"/>
  <c r="H40" i="165"/>
  <c r="G40" i="165"/>
  <c r="F40" i="165"/>
  <c r="R39" i="165"/>
  <c r="R38" i="165"/>
  <c r="D1" i="165"/>
  <c r="D54" i="165" s="1"/>
  <c r="D107" i="164"/>
  <c r="D95" i="164" s="1"/>
  <c r="D106" i="164"/>
  <c r="D103" i="164"/>
  <c r="G86" i="164"/>
  <c r="Q83" i="164"/>
  <c r="P83" i="164"/>
  <c r="O83" i="164"/>
  <c r="N83" i="164"/>
  <c r="M83" i="164"/>
  <c r="L83" i="164"/>
  <c r="K83" i="164"/>
  <c r="J83" i="164"/>
  <c r="I83" i="164"/>
  <c r="H83" i="164"/>
  <c r="G83" i="164"/>
  <c r="D82" i="164"/>
  <c r="F82" i="164" s="1"/>
  <c r="Q76" i="164"/>
  <c r="P76" i="164"/>
  <c r="D68" i="164"/>
  <c r="D62" i="164"/>
  <c r="P61" i="164"/>
  <c r="G61" i="164"/>
  <c r="D61" i="164"/>
  <c r="P47" i="164"/>
  <c r="O47" i="164"/>
  <c r="M47" i="164"/>
  <c r="L47" i="164"/>
  <c r="J47" i="164"/>
  <c r="I47" i="164"/>
  <c r="H47" i="164"/>
  <c r="G47" i="164"/>
  <c r="P45" i="164"/>
  <c r="O45" i="164"/>
  <c r="N45" i="164"/>
  <c r="M45" i="164"/>
  <c r="K45" i="164"/>
  <c r="J45" i="164"/>
  <c r="H45" i="164"/>
  <c r="G45" i="164"/>
  <c r="D44" i="164"/>
  <c r="D43" i="164"/>
  <c r="F43" i="164" s="1"/>
  <c r="F45" i="164" s="1"/>
  <c r="R41" i="164"/>
  <c r="Q40" i="164"/>
  <c r="P40" i="164"/>
  <c r="O40" i="164"/>
  <c r="N40" i="164"/>
  <c r="M40" i="164"/>
  <c r="L40" i="164"/>
  <c r="K40" i="164"/>
  <c r="J40" i="164"/>
  <c r="I40" i="164"/>
  <c r="H40" i="164"/>
  <c r="G40" i="164"/>
  <c r="F40" i="164"/>
  <c r="R39" i="164"/>
  <c r="R38" i="164"/>
  <c r="D33" i="164"/>
  <c r="P31" i="164"/>
  <c r="N31" i="164"/>
  <c r="M31" i="164"/>
  <c r="G31" i="164"/>
  <c r="D31" i="164"/>
  <c r="N29" i="164"/>
  <c r="H29" i="164"/>
  <c r="F29" i="164"/>
  <c r="D29" i="164"/>
  <c r="P17" i="164"/>
  <c r="L17" i="164"/>
  <c r="K17" i="164"/>
  <c r="J17" i="164"/>
  <c r="F17" i="164"/>
  <c r="D17" i="164"/>
  <c r="D15" i="164"/>
  <c r="D11" i="164"/>
  <c r="P9" i="164"/>
  <c r="D9" i="164"/>
  <c r="K8" i="164"/>
  <c r="G8" i="164"/>
  <c r="F8" i="164"/>
  <c r="D8" i="164"/>
  <c r="M8" i="164" s="1"/>
  <c r="O6" i="164"/>
  <c r="K6" i="164"/>
  <c r="J6" i="164"/>
  <c r="I6" i="164"/>
  <c r="D6" i="164"/>
  <c r="P6" i="164" s="1"/>
  <c r="M5" i="164"/>
  <c r="L5" i="164"/>
  <c r="D5" i="164"/>
  <c r="P3" i="164"/>
  <c r="D3" i="164"/>
  <c r="K3" i="164" s="1"/>
  <c r="D2" i="164"/>
  <c r="D1" i="164"/>
  <c r="D97" i="164" s="1"/>
  <c r="D27" i="240"/>
  <c r="E27" i="240"/>
  <c r="F27" i="240"/>
  <c r="G27" i="240"/>
  <c r="H27" i="240"/>
  <c r="I27" i="240"/>
  <c r="J27" i="240"/>
  <c r="K27" i="240"/>
  <c r="L27" i="240"/>
  <c r="M27" i="240"/>
  <c r="N27" i="240"/>
  <c r="C27" i="240"/>
  <c r="D27" i="239"/>
  <c r="E27" i="239"/>
  <c r="F27" i="239"/>
  <c r="G27" i="239"/>
  <c r="H27" i="239"/>
  <c r="J27" i="239"/>
  <c r="K27" i="239"/>
  <c r="L27" i="239"/>
  <c r="M27" i="239"/>
  <c r="D103" i="163"/>
  <c r="D90" i="163"/>
  <c r="G86" i="163"/>
  <c r="Q83" i="163"/>
  <c r="P83" i="163"/>
  <c r="O83" i="163"/>
  <c r="N83" i="163"/>
  <c r="M83" i="163"/>
  <c r="L83" i="163"/>
  <c r="K83" i="163"/>
  <c r="J83" i="163"/>
  <c r="I83" i="163"/>
  <c r="H83" i="163"/>
  <c r="G83" i="163"/>
  <c r="D81" i="163"/>
  <c r="D80" i="163"/>
  <c r="Q76" i="163"/>
  <c r="P76" i="163"/>
  <c r="M75" i="163"/>
  <c r="D75" i="163"/>
  <c r="D72" i="163"/>
  <c r="F72" i="163" s="1"/>
  <c r="P47" i="163"/>
  <c r="O47" i="163"/>
  <c r="M47" i="163"/>
  <c r="L47" i="163"/>
  <c r="J47" i="163"/>
  <c r="I47" i="163"/>
  <c r="H47" i="163"/>
  <c r="G47" i="163"/>
  <c r="P45" i="163"/>
  <c r="O45" i="163"/>
  <c r="N45" i="163"/>
  <c r="M45" i="163"/>
  <c r="K45" i="163"/>
  <c r="J45" i="163"/>
  <c r="H45" i="163"/>
  <c r="G45" i="163"/>
  <c r="D44" i="163"/>
  <c r="R41" i="163"/>
  <c r="Q40" i="163"/>
  <c r="P40" i="163"/>
  <c r="O40" i="163"/>
  <c r="N40" i="163"/>
  <c r="M40" i="163"/>
  <c r="L40" i="163"/>
  <c r="K40" i="163"/>
  <c r="J40" i="163"/>
  <c r="I40" i="163"/>
  <c r="H40" i="163"/>
  <c r="G40" i="163"/>
  <c r="F40" i="163"/>
  <c r="R40" i="163" s="1"/>
  <c r="R39" i="163"/>
  <c r="R38" i="163"/>
  <c r="D33" i="163"/>
  <c r="D32" i="163"/>
  <c r="N29" i="163"/>
  <c r="K29" i="163"/>
  <c r="D29" i="163"/>
  <c r="M29" i="163" s="1"/>
  <c r="K17" i="163"/>
  <c r="D17" i="163"/>
  <c r="N17" i="163" s="1"/>
  <c r="D15" i="163"/>
  <c r="P13" i="163"/>
  <c r="K13" i="163"/>
  <c r="F13" i="163"/>
  <c r="D13" i="163"/>
  <c r="O13" i="163" s="1"/>
  <c r="L12" i="163"/>
  <c r="I12" i="163"/>
  <c r="F12" i="163"/>
  <c r="D12" i="163"/>
  <c r="K12" i="163" s="1"/>
  <c r="D10" i="163"/>
  <c r="P10" i="163" s="1"/>
  <c r="K7" i="163"/>
  <c r="H7" i="163"/>
  <c r="D7" i="163"/>
  <c r="P7" i="163" s="1"/>
  <c r="D4" i="163"/>
  <c r="D1" i="163"/>
  <c r="D107" i="163" s="1"/>
  <c r="D95" i="163" s="1"/>
  <c r="D26" i="240"/>
  <c r="E26" i="240"/>
  <c r="F26" i="240"/>
  <c r="G26" i="240"/>
  <c r="H26" i="240"/>
  <c r="I26" i="240"/>
  <c r="J26" i="240"/>
  <c r="K26" i="240"/>
  <c r="L26" i="240"/>
  <c r="M26" i="240"/>
  <c r="N26" i="240"/>
  <c r="C26" i="240"/>
  <c r="D26" i="239"/>
  <c r="E26" i="239"/>
  <c r="F26" i="239"/>
  <c r="G26" i="239"/>
  <c r="H26" i="239"/>
  <c r="J26" i="239"/>
  <c r="K26" i="239"/>
  <c r="L26" i="239"/>
  <c r="M26" i="239"/>
  <c r="D106" i="162"/>
  <c r="D102" i="162"/>
  <c r="D93" i="162" s="1"/>
  <c r="D97" i="162"/>
  <c r="J93" i="162"/>
  <c r="F93" i="162"/>
  <c r="G86" i="162"/>
  <c r="Q83" i="162"/>
  <c r="P83" i="162"/>
  <c r="O83" i="162"/>
  <c r="N83" i="162"/>
  <c r="M83" i="162"/>
  <c r="L83" i="162"/>
  <c r="K83" i="162"/>
  <c r="J83" i="162"/>
  <c r="I83" i="162"/>
  <c r="H83" i="162"/>
  <c r="G83" i="162"/>
  <c r="Q76" i="162"/>
  <c r="P76" i="162"/>
  <c r="D75" i="162"/>
  <c r="D73" i="162"/>
  <c r="D72" i="162"/>
  <c r="F72" i="162" s="1"/>
  <c r="D68" i="162"/>
  <c r="P58" i="162"/>
  <c r="L58" i="162"/>
  <c r="F58" i="162"/>
  <c r="D58" i="162"/>
  <c r="M58" i="162" s="1"/>
  <c r="P56" i="162"/>
  <c r="N56" i="162"/>
  <c r="H56" i="162"/>
  <c r="D56" i="162"/>
  <c r="O56" i="162" s="1"/>
  <c r="P47" i="162"/>
  <c r="O47" i="162"/>
  <c r="M47" i="162"/>
  <c r="L47" i="162"/>
  <c r="J47" i="162"/>
  <c r="I47" i="162"/>
  <c r="H47" i="162"/>
  <c r="G47" i="162"/>
  <c r="P45" i="162"/>
  <c r="O45" i="162"/>
  <c r="N45" i="162"/>
  <c r="M45" i="162"/>
  <c r="K45" i="162"/>
  <c r="J45" i="162"/>
  <c r="H45" i="162"/>
  <c r="G45" i="162"/>
  <c r="F45" i="162"/>
  <c r="R43" i="162"/>
  <c r="D43" i="162"/>
  <c r="F43" i="162" s="1"/>
  <c r="D42" i="162"/>
  <c r="R41" i="162"/>
  <c r="Q40" i="162"/>
  <c r="P40" i="162"/>
  <c r="O40" i="162"/>
  <c r="N40" i="162"/>
  <c r="M40" i="162"/>
  <c r="L40" i="162"/>
  <c r="K40" i="162"/>
  <c r="J40" i="162"/>
  <c r="I40" i="162"/>
  <c r="H40" i="162"/>
  <c r="G40" i="162"/>
  <c r="F40" i="162"/>
  <c r="R39" i="162"/>
  <c r="R38" i="162"/>
  <c r="D32" i="162"/>
  <c r="K31" i="162"/>
  <c r="D31" i="162"/>
  <c r="L31" i="162" s="1"/>
  <c r="O30" i="162"/>
  <c r="I30" i="162"/>
  <c r="G30" i="162"/>
  <c r="D30" i="162"/>
  <c r="M30" i="162" s="1"/>
  <c r="K29" i="162"/>
  <c r="D29" i="162"/>
  <c r="K28" i="162"/>
  <c r="G28" i="162"/>
  <c r="D28" i="162"/>
  <c r="L28" i="162" s="1"/>
  <c r="J26" i="162"/>
  <c r="H26" i="162"/>
  <c r="D26" i="162"/>
  <c r="O26" i="162" s="1"/>
  <c r="L24" i="162"/>
  <c r="D24" i="162"/>
  <c r="F24" i="162" s="1"/>
  <c r="K17" i="162"/>
  <c r="D17" i="162"/>
  <c r="P17" i="162" s="1"/>
  <c r="O16" i="162"/>
  <c r="K16" i="162"/>
  <c r="G16" i="162"/>
  <c r="F16" i="162"/>
  <c r="D16" i="162"/>
  <c r="L16" i="162" s="1"/>
  <c r="D15" i="162"/>
  <c r="O14" i="162"/>
  <c r="K14" i="162"/>
  <c r="G14" i="162"/>
  <c r="F14" i="162"/>
  <c r="D14" i="162"/>
  <c r="L14" i="162" s="1"/>
  <c r="I12" i="162"/>
  <c r="G12" i="162"/>
  <c r="D12" i="162"/>
  <c r="M12" i="162" s="1"/>
  <c r="P10" i="162"/>
  <c r="I10" i="162"/>
  <c r="D10" i="162"/>
  <c r="O10" i="162" s="1"/>
  <c r="D9" i="162"/>
  <c r="P9" i="162" s="1"/>
  <c r="O8" i="162"/>
  <c r="M8" i="162"/>
  <c r="L8" i="162"/>
  <c r="I8" i="162"/>
  <c r="G8" i="162"/>
  <c r="F8" i="162"/>
  <c r="D8" i="162"/>
  <c r="O7" i="162"/>
  <c r="I7" i="162"/>
  <c r="D7" i="162"/>
  <c r="N7" i="162" s="1"/>
  <c r="D6" i="162"/>
  <c r="P6" i="162" s="1"/>
  <c r="O5" i="162"/>
  <c r="M5" i="162"/>
  <c r="L5" i="162"/>
  <c r="I5" i="162"/>
  <c r="G5" i="162"/>
  <c r="F5" i="162"/>
  <c r="D5" i="162"/>
  <c r="O4" i="162"/>
  <c r="I4" i="162"/>
  <c r="D4" i="162"/>
  <c r="N4" i="162" s="1"/>
  <c r="D3" i="162"/>
  <c r="P3" i="162" s="1"/>
  <c r="D2" i="162"/>
  <c r="D1" i="162"/>
  <c r="D103" i="162" s="1"/>
  <c r="D25" i="240"/>
  <c r="E25" i="240"/>
  <c r="F25" i="240"/>
  <c r="G25" i="240"/>
  <c r="H25" i="240"/>
  <c r="I25" i="240"/>
  <c r="J25" i="240"/>
  <c r="K25" i="240"/>
  <c r="L25" i="240"/>
  <c r="M25" i="240"/>
  <c r="N25" i="240"/>
  <c r="C25" i="240"/>
  <c r="D25" i="239"/>
  <c r="E25" i="239"/>
  <c r="F25" i="239"/>
  <c r="G25" i="239"/>
  <c r="H25" i="239"/>
  <c r="J25" i="239"/>
  <c r="K25" i="239"/>
  <c r="L25" i="239"/>
  <c r="M25" i="239"/>
  <c r="D107" i="161"/>
  <c r="D95" i="161" s="1"/>
  <c r="D101" i="161"/>
  <c r="G86" i="161"/>
  <c r="Q83" i="161"/>
  <c r="P83" i="161"/>
  <c r="O83" i="161"/>
  <c r="N83" i="161"/>
  <c r="M83" i="161"/>
  <c r="L83" i="161"/>
  <c r="K83" i="161"/>
  <c r="J83" i="161"/>
  <c r="I83" i="161"/>
  <c r="H83" i="161"/>
  <c r="G83" i="161"/>
  <c r="D80" i="161"/>
  <c r="Q76" i="161"/>
  <c r="P76" i="161"/>
  <c r="P47" i="161"/>
  <c r="O47" i="161"/>
  <c r="M47" i="161"/>
  <c r="L47" i="161"/>
  <c r="J47" i="161"/>
  <c r="I47" i="161"/>
  <c r="H47" i="161"/>
  <c r="G47" i="161"/>
  <c r="D46" i="161"/>
  <c r="P45" i="161"/>
  <c r="O45" i="161"/>
  <c r="N45" i="161"/>
  <c r="M45" i="161"/>
  <c r="K45" i="161"/>
  <c r="J45" i="161"/>
  <c r="H45" i="161"/>
  <c r="G45" i="161"/>
  <c r="R41" i="161"/>
  <c r="Q40" i="161"/>
  <c r="P40" i="161"/>
  <c r="O40" i="161"/>
  <c r="N40" i="161"/>
  <c r="M40" i="161"/>
  <c r="L40" i="161"/>
  <c r="K40" i="161"/>
  <c r="J40" i="161"/>
  <c r="I40" i="161"/>
  <c r="H40" i="161"/>
  <c r="G40" i="161"/>
  <c r="F40" i="161"/>
  <c r="R39" i="161"/>
  <c r="R38" i="161"/>
  <c r="N30" i="161"/>
  <c r="D30" i="161"/>
  <c r="K27" i="161"/>
  <c r="D27" i="161"/>
  <c r="O27" i="161" s="1"/>
  <c r="P26" i="161"/>
  <c r="D26" i="161"/>
  <c r="D24" i="161"/>
  <c r="N13" i="161"/>
  <c r="D13" i="161"/>
  <c r="H12" i="161"/>
  <c r="D12" i="161"/>
  <c r="N12" i="161" s="1"/>
  <c r="D8" i="161"/>
  <c r="N5" i="161"/>
  <c r="K5" i="161"/>
  <c r="G5" i="161"/>
  <c r="D5" i="161"/>
  <c r="D3" i="161"/>
  <c r="D2" i="161"/>
  <c r="D1" i="161"/>
  <c r="D55" i="161" s="1"/>
  <c r="D24" i="240"/>
  <c r="E24" i="240"/>
  <c r="F24" i="240"/>
  <c r="G24" i="240"/>
  <c r="H24" i="240"/>
  <c r="I24" i="240"/>
  <c r="J24" i="240"/>
  <c r="K24" i="240"/>
  <c r="L24" i="240"/>
  <c r="M24" i="240"/>
  <c r="N24" i="240"/>
  <c r="C24" i="240"/>
  <c r="D24" i="239"/>
  <c r="E24" i="239"/>
  <c r="F24" i="239"/>
  <c r="G24" i="239"/>
  <c r="H24" i="239"/>
  <c r="J24" i="239"/>
  <c r="K24" i="239"/>
  <c r="L24" i="239"/>
  <c r="M24" i="239"/>
  <c r="G86" i="160"/>
  <c r="Q83" i="160"/>
  <c r="P83" i="160"/>
  <c r="O83" i="160"/>
  <c r="N83" i="160"/>
  <c r="M83" i="160"/>
  <c r="L83" i="160"/>
  <c r="K83" i="160"/>
  <c r="J83" i="160"/>
  <c r="I83" i="160"/>
  <c r="H83" i="160"/>
  <c r="G83" i="160"/>
  <c r="Q76" i="160"/>
  <c r="P76" i="160"/>
  <c r="D63" i="160"/>
  <c r="P47" i="160"/>
  <c r="O47" i="160"/>
  <c r="M47" i="160"/>
  <c r="L47" i="160"/>
  <c r="J47" i="160"/>
  <c r="I47" i="160"/>
  <c r="H47" i="160"/>
  <c r="G47" i="160"/>
  <c r="P45" i="160"/>
  <c r="O45" i="160"/>
  <c r="N45" i="160"/>
  <c r="M45" i="160"/>
  <c r="K45" i="160"/>
  <c r="J45" i="160"/>
  <c r="H45" i="160"/>
  <c r="G45" i="160"/>
  <c r="R41" i="160"/>
  <c r="R40" i="160"/>
  <c r="Q40" i="160"/>
  <c r="P40" i="160"/>
  <c r="O40" i="160"/>
  <c r="N40" i="160"/>
  <c r="M40" i="160"/>
  <c r="L40" i="160"/>
  <c r="K40" i="160"/>
  <c r="J40" i="160"/>
  <c r="I40" i="160"/>
  <c r="H40" i="160"/>
  <c r="G40" i="160"/>
  <c r="F40" i="160"/>
  <c r="R39" i="160"/>
  <c r="R38" i="160"/>
  <c r="D10" i="160"/>
  <c r="I10" i="160" s="1"/>
  <c r="D1" i="160"/>
  <c r="D73" i="160" s="1"/>
  <c r="D23" i="240"/>
  <c r="E23" i="240"/>
  <c r="F23" i="240"/>
  <c r="G23" i="240"/>
  <c r="H23" i="240"/>
  <c r="I23" i="240"/>
  <c r="J23" i="240"/>
  <c r="K23" i="240"/>
  <c r="L23" i="240"/>
  <c r="M23" i="240"/>
  <c r="N23" i="240"/>
  <c r="C23" i="240"/>
  <c r="D23" i="239"/>
  <c r="E23" i="239"/>
  <c r="F23" i="239"/>
  <c r="G23" i="239"/>
  <c r="H23" i="239"/>
  <c r="J23" i="239"/>
  <c r="K23" i="239"/>
  <c r="L23" i="239"/>
  <c r="M23" i="239"/>
  <c r="D97" i="159"/>
  <c r="D90" i="159"/>
  <c r="G86" i="159"/>
  <c r="Q83" i="159"/>
  <c r="P83" i="159"/>
  <c r="O83" i="159"/>
  <c r="N83" i="159"/>
  <c r="M83" i="159"/>
  <c r="L83" i="159"/>
  <c r="K83" i="159"/>
  <c r="J83" i="159"/>
  <c r="I83" i="159"/>
  <c r="H83" i="159"/>
  <c r="G83" i="159"/>
  <c r="D82" i="159"/>
  <c r="D80" i="159"/>
  <c r="Q76" i="159"/>
  <c r="P76" i="159"/>
  <c r="K58" i="159"/>
  <c r="D58" i="159"/>
  <c r="L58" i="159" s="1"/>
  <c r="D55" i="159"/>
  <c r="P47" i="159"/>
  <c r="O47" i="159"/>
  <c r="M47" i="159"/>
  <c r="L47" i="159"/>
  <c r="J47" i="159"/>
  <c r="I47" i="159"/>
  <c r="H47" i="159"/>
  <c r="G47" i="159"/>
  <c r="P45" i="159"/>
  <c r="O45" i="159"/>
  <c r="N45" i="159"/>
  <c r="M45" i="159"/>
  <c r="K45" i="159"/>
  <c r="J45" i="159"/>
  <c r="H45" i="159"/>
  <c r="G45" i="159"/>
  <c r="R41" i="159"/>
  <c r="Q40" i="159"/>
  <c r="P40" i="159"/>
  <c r="O40" i="159"/>
  <c r="N40" i="159"/>
  <c r="M40" i="159"/>
  <c r="L40" i="159"/>
  <c r="K40" i="159"/>
  <c r="J40" i="159"/>
  <c r="I40" i="159"/>
  <c r="H40" i="159"/>
  <c r="G40" i="159"/>
  <c r="F40" i="159"/>
  <c r="R40" i="159" s="1"/>
  <c r="R39" i="159"/>
  <c r="R38" i="159"/>
  <c r="D31" i="159"/>
  <c r="D14" i="159"/>
  <c r="N9" i="159"/>
  <c r="D9" i="159"/>
  <c r="I9" i="159" s="1"/>
  <c r="I7" i="159"/>
  <c r="F7" i="159"/>
  <c r="D7" i="159"/>
  <c r="M7" i="159" s="1"/>
  <c r="O5" i="159"/>
  <c r="I5" i="159"/>
  <c r="D5" i="159"/>
  <c r="N5" i="159" s="1"/>
  <c r="D4" i="159"/>
  <c r="P4" i="159" s="1"/>
  <c r="D2" i="159"/>
  <c r="D1" i="159"/>
  <c r="M22" i="240"/>
  <c r="N22" i="240"/>
  <c r="D22" i="240"/>
  <c r="E22" i="240"/>
  <c r="F22" i="240"/>
  <c r="G22" i="240"/>
  <c r="H22" i="240"/>
  <c r="I22" i="240"/>
  <c r="J22" i="240"/>
  <c r="K22" i="240"/>
  <c r="L22" i="240"/>
  <c r="C22" i="240"/>
  <c r="D22" i="239"/>
  <c r="E22" i="239"/>
  <c r="F22" i="239"/>
  <c r="G22" i="239"/>
  <c r="H22" i="239"/>
  <c r="J22" i="239"/>
  <c r="K22" i="239"/>
  <c r="L22" i="239"/>
  <c r="M22" i="239"/>
  <c r="D104" i="158"/>
  <c r="D94" i="158" s="1"/>
  <c r="H94" i="158" s="1"/>
  <c r="D89" i="158"/>
  <c r="G86" i="158"/>
  <c r="Q83" i="158"/>
  <c r="P83" i="158"/>
  <c r="O83" i="158"/>
  <c r="N83" i="158"/>
  <c r="M83" i="158"/>
  <c r="L83" i="158"/>
  <c r="K83" i="158"/>
  <c r="J83" i="158"/>
  <c r="I83" i="158"/>
  <c r="H83" i="158"/>
  <c r="G83" i="158"/>
  <c r="Q76" i="158"/>
  <c r="P76" i="158"/>
  <c r="P47" i="158"/>
  <c r="O47" i="158"/>
  <c r="M47" i="158"/>
  <c r="L47" i="158"/>
  <c r="J47" i="158"/>
  <c r="I47" i="158"/>
  <c r="H47" i="158"/>
  <c r="G47" i="158"/>
  <c r="P45" i="158"/>
  <c r="O45" i="158"/>
  <c r="N45" i="158"/>
  <c r="M45" i="158"/>
  <c r="K45" i="158"/>
  <c r="J45" i="158"/>
  <c r="H45" i="158"/>
  <c r="G45" i="158"/>
  <c r="R41" i="158"/>
  <c r="Q40" i="158"/>
  <c r="P40" i="158"/>
  <c r="O40" i="158"/>
  <c r="N40" i="158"/>
  <c r="M40" i="158"/>
  <c r="L40" i="158"/>
  <c r="K40" i="158"/>
  <c r="J40" i="158"/>
  <c r="I40" i="158"/>
  <c r="H40" i="158"/>
  <c r="G40" i="158"/>
  <c r="F40" i="158"/>
  <c r="R39" i="158"/>
  <c r="R38" i="158"/>
  <c r="D15" i="158"/>
  <c r="D7" i="158"/>
  <c r="L7" i="158" s="1"/>
  <c r="M6" i="158"/>
  <c r="G6" i="158"/>
  <c r="D6" i="158"/>
  <c r="D4" i="158"/>
  <c r="P4" i="158" s="1"/>
  <c r="M3" i="158"/>
  <c r="G3" i="158"/>
  <c r="D3" i="158"/>
  <c r="D1" i="158"/>
  <c r="M21" i="240"/>
  <c r="N21" i="240"/>
  <c r="D21" i="240"/>
  <c r="E21" i="240"/>
  <c r="F21" i="240"/>
  <c r="G21" i="240"/>
  <c r="H21" i="240"/>
  <c r="I21" i="240"/>
  <c r="J21" i="240"/>
  <c r="K21" i="240"/>
  <c r="L21" i="240"/>
  <c r="C21" i="240"/>
  <c r="D21" i="239"/>
  <c r="E21" i="239"/>
  <c r="F21" i="239"/>
  <c r="G21" i="239"/>
  <c r="H21" i="239"/>
  <c r="J21" i="239"/>
  <c r="K21" i="239"/>
  <c r="L21" i="239"/>
  <c r="M21" i="239"/>
  <c r="G86" i="157"/>
  <c r="Q83" i="157"/>
  <c r="P83" i="157"/>
  <c r="O83" i="157"/>
  <c r="N83" i="157"/>
  <c r="M83" i="157"/>
  <c r="L83" i="157"/>
  <c r="K83" i="157"/>
  <c r="J83" i="157"/>
  <c r="I83" i="157"/>
  <c r="H83" i="157"/>
  <c r="G83" i="157"/>
  <c r="Q76" i="157"/>
  <c r="P76" i="157"/>
  <c r="P47" i="157"/>
  <c r="O47" i="157"/>
  <c r="M47" i="157"/>
  <c r="L47" i="157"/>
  <c r="J47" i="157"/>
  <c r="I47" i="157"/>
  <c r="H47" i="157"/>
  <c r="G47" i="157"/>
  <c r="P45" i="157"/>
  <c r="O45" i="157"/>
  <c r="N45" i="157"/>
  <c r="M45" i="157"/>
  <c r="K45" i="157"/>
  <c r="J45" i="157"/>
  <c r="H45" i="157"/>
  <c r="G45" i="157"/>
  <c r="R41" i="157"/>
  <c r="Q40" i="157"/>
  <c r="P40" i="157"/>
  <c r="O40" i="157"/>
  <c r="N40" i="157"/>
  <c r="M40" i="157"/>
  <c r="L40" i="157"/>
  <c r="K40" i="157"/>
  <c r="J40" i="157"/>
  <c r="I40" i="157"/>
  <c r="H40" i="157"/>
  <c r="G40" i="157"/>
  <c r="F40" i="157"/>
  <c r="R39" i="157"/>
  <c r="R38" i="157"/>
  <c r="D1" i="157"/>
  <c r="D20" i="240"/>
  <c r="E20" i="240"/>
  <c r="F20" i="240"/>
  <c r="G20" i="240"/>
  <c r="H20" i="240"/>
  <c r="I20" i="240"/>
  <c r="J20" i="240"/>
  <c r="K20" i="240"/>
  <c r="L20" i="240"/>
  <c r="M20" i="240"/>
  <c r="N20" i="240"/>
  <c r="C20" i="240"/>
  <c r="D20" i="239"/>
  <c r="E20" i="239"/>
  <c r="F20" i="239"/>
  <c r="G20" i="239"/>
  <c r="H20" i="239"/>
  <c r="J20" i="239"/>
  <c r="K20" i="239"/>
  <c r="L20" i="239"/>
  <c r="M20" i="239"/>
  <c r="G86" i="156"/>
  <c r="Q83" i="156"/>
  <c r="P83" i="156"/>
  <c r="O83" i="156"/>
  <c r="N83" i="156"/>
  <c r="M83" i="156"/>
  <c r="L83" i="156"/>
  <c r="K83" i="156"/>
  <c r="J83" i="156"/>
  <c r="I83" i="156"/>
  <c r="H83" i="156"/>
  <c r="G83" i="156"/>
  <c r="Q76" i="156"/>
  <c r="P76" i="156"/>
  <c r="P47" i="156"/>
  <c r="O47" i="156"/>
  <c r="M47" i="156"/>
  <c r="L47" i="156"/>
  <c r="J47" i="156"/>
  <c r="I47" i="156"/>
  <c r="H47" i="156"/>
  <c r="G47" i="156"/>
  <c r="P45" i="156"/>
  <c r="O45" i="156"/>
  <c r="N45" i="156"/>
  <c r="M45" i="156"/>
  <c r="K45" i="156"/>
  <c r="J45" i="156"/>
  <c r="H45" i="156"/>
  <c r="G45" i="156"/>
  <c r="R41" i="156"/>
  <c r="Q40" i="156"/>
  <c r="P40" i="156"/>
  <c r="O40" i="156"/>
  <c r="N40" i="156"/>
  <c r="M40" i="156"/>
  <c r="L40" i="156"/>
  <c r="K40" i="156"/>
  <c r="J40" i="156"/>
  <c r="I40" i="156"/>
  <c r="H40" i="156"/>
  <c r="G40" i="156"/>
  <c r="F40" i="156"/>
  <c r="R40" i="156" s="1"/>
  <c r="R39" i="156"/>
  <c r="R38" i="156"/>
  <c r="D1" i="156"/>
  <c r="D19" i="240"/>
  <c r="E19" i="240"/>
  <c r="F19" i="240"/>
  <c r="G19" i="240"/>
  <c r="H19" i="240"/>
  <c r="I19" i="240"/>
  <c r="J19" i="240"/>
  <c r="K19" i="240"/>
  <c r="L19" i="240"/>
  <c r="M19" i="240"/>
  <c r="N19" i="240"/>
  <c r="C19" i="240"/>
  <c r="D19" i="239"/>
  <c r="E19" i="239"/>
  <c r="F19" i="239"/>
  <c r="G19" i="239"/>
  <c r="H19" i="239"/>
  <c r="J19" i="239"/>
  <c r="K19" i="239"/>
  <c r="L19" i="239"/>
  <c r="M19" i="239"/>
  <c r="D107" i="155"/>
  <c r="D95" i="155" s="1"/>
  <c r="G86" i="155"/>
  <c r="Q83" i="155"/>
  <c r="P83" i="155"/>
  <c r="O83" i="155"/>
  <c r="N83" i="155"/>
  <c r="M83" i="155"/>
  <c r="L83" i="155"/>
  <c r="K83" i="155"/>
  <c r="J83" i="155"/>
  <c r="I83" i="155"/>
  <c r="H83" i="155"/>
  <c r="G83" i="155"/>
  <c r="Q76" i="155"/>
  <c r="P76" i="155"/>
  <c r="D67" i="155"/>
  <c r="H67" i="155" s="1"/>
  <c r="D65" i="155"/>
  <c r="N65" i="155" s="1"/>
  <c r="N64" i="155"/>
  <c r="D64" i="155"/>
  <c r="K64" i="155" s="1"/>
  <c r="D60" i="155"/>
  <c r="F60" i="155" s="1"/>
  <c r="N54" i="155"/>
  <c r="D54" i="155"/>
  <c r="K54" i="155" s="1"/>
  <c r="D52" i="155"/>
  <c r="N51" i="155"/>
  <c r="D51" i="155"/>
  <c r="G51" i="155" s="1"/>
  <c r="D49" i="155"/>
  <c r="P47" i="155"/>
  <c r="O47" i="155"/>
  <c r="M47" i="155"/>
  <c r="L47" i="155"/>
  <c r="J47" i="155"/>
  <c r="I47" i="155"/>
  <c r="H47" i="155"/>
  <c r="G47" i="155"/>
  <c r="P45" i="155"/>
  <c r="O45" i="155"/>
  <c r="N45" i="155"/>
  <c r="M45" i="155"/>
  <c r="K45" i="155"/>
  <c r="J45" i="155"/>
  <c r="H45" i="155"/>
  <c r="G45" i="155"/>
  <c r="R41" i="155"/>
  <c r="Q40" i="155"/>
  <c r="P40" i="155"/>
  <c r="O40" i="155"/>
  <c r="N40" i="155"/>
  <c r="M40" i="155"/>
  <c r="L40" i="155"/>
  <c r="K40" i="155"/>
  <c r="J40" i="155"/>
  <c r="I40" i="155"/>
  <c r="H40" i="155"/>
  <c r="G40" i="155"/>
  <c r="F40" i="155"/>
  <c r="R40" i="155" s="1"/>
  <c r="R39" i="155"/>
  <c r="R38" i="155"/>
  <c r="D28" i="155"/>
  <c r="N28" i="155" s="1"/>
  <c r="L16" i="155"/>
  <c r="D16" i="155"/>
  <c r="N14" i="155"/>
  <c r="L14" i="155"/>
  <c r="D14" i="155"/>
  <c r="D11" i="155"/>
  <c r="F11" i="155" s="1"/>
  <c r="I7" i="155"/>
  <c r="H7" i="155"/>
  <c r="D7" i="155"/>
  <c r="K7" i="155" s="1"/>
  <c r="L5" i="155"/>
  <c r="K5" i="155"/>
  <c r="F5" i="155"/>
  <c r="D5" i="155"/>
  <c r="D2" i="155"/>
  <c r="D1" i="155"/>
  <c r="D102" i="155" s="1"/>
  <c r="D97" i="154"/>
  <c r="G86" i="154"/>
  <c r="Q83" i="154"/>
  <c r="P83" i="154"/>
  <c r="O83" i="154"/>
  <c r="N83" i="154"/>
  <c r="M83" i="154"/>
  <c r="L83" i="154"/>
  <c r="K83" i="154"/>
  <c r="J83" i="154"/>
  <c r="I83" i="154"/>
  <c r="H83" i="154"/>
  <c r="G83" i="154"/>
  <c r="Q76" i="154"/>
  <c r="P76" i="154"/>
  <c r="D59" i="154"/>
  <c r="D56" i="154"/>
  <c r="P47" i="154"/>
  <c r="O47" i="154"/>
  <c r="M47" i="154"/>
  <c r="L47" i="154"/>
  <c r="J47" i="154"/>
  <c r="I47" i="154"/>
  <c r="H47" i="154"/>
  <c r="G47" i="154"/>
  <c r="P45" i="154"/>
  <c r="O45" i="154"/>
  <c r="N45" i="154"/>
  <c r="M45" i="154"/>
  <c r="K45" i="154"/>
  <c r="J45" i="154"/>
  <c r="H45" i="154"/>
  <c r="G45" i="154"/>
  <c r="D44" i="154"/>
  <c r="D42" i="154"/>
  <c r="R41" i="154"/>
  <c r="Q40" i="154"/>
  <c r="P40" i="154"/>
  <c r="O40" i="154"/>
  <c r="N40" i="154"/>
  <c r="M40" i="154"/>
  <c r="L40" i="154"/>
  <c r="K40" i="154"/>
  <c r="J40" i="154"/>
  <c r="I40" i="154"/>
  <c r="H40" i="154"/>
  <c r="G40" i="154"/>
  <c r="F40" i="154"/>
  <c r="R39" i="154"/>
  <c r="R38" i="154"/>
  <c r="P32" i="154"/>
  <c r="K32" i="154"/>
  <c r="D32" i="154"/>
  <c r="D29" i="154"/>
  <c r="D17" i="154"/>
  <c r="D15" i="154"/>
  <c r="F11" i="154"/>
  <c r="D11" i="154"/>
  <c r="R11" i="154" s="1"/>
  <c r="O10" i="154"/>
  <c r="N10" i="154"/>
  <c r="M10" i="154"/>
  <c r="I10" i="154"/>
  <c r="H10" i="154"/>
  <c r="G10" i="154"/>
  <c r="D10" i="154"/>
  <c r="O9" i="154"/>
  <c r="K9" i="154"/>
  <c r="J9" i="154"/>
  <c r="D9" i="154"/>
  <c r="P9" i="154" s="1"/>
  <c r="M8" i="154"/>
  <c r="L8" i="154"/>
  <c r="D8" i="154"/>
  <c r="O7" i="154"/>
  <c r="N7" i="154"/>
  <c r="M7" i="154"/>
  <c r="I7" i="154"/>
  <c r="H7" i="154"/>
  <c r="G7" i="154"/>
  <c r="D7" i="154"/>
  <c r="I6" i="154"/>
  <c r="D6" i="154"/>
  <c r="P6" i="154" s="1"/>
  <c r="D5" i="154"/>
  <c r="M5" i="154" s="1"/>
  <c r="O4" i="154"/>
  <c r="N4" i="154"/>
  <c r="M4" i="154"/>
  <c r="I4" i="154"/>
  <c r="H4" i="154"/>
  <c r="G4" i="154"/>
  <c r="D4" i="154"/>
  <c r="P3" i="154"/>
  <c r="O3" i="154"/>
  <c r="D3" i="154"/>
  <c r="D2" i="154"/>
  <c r="D1" i="154"/>
  <c r="D103" i="154" s="1"/>
  <c r="D100" i="153"/>
  <c r="D99" i="153"/>
  <c r="D88" i="153"/>
  <c r="G86" i="153"/>
  <c r="Q83" i="153"/>
  <c r="P83" i="153"/>
  <c r="O83" i="153"/>
  <c r="N83" i="153"/>
  <c r="M83" i="153"/>
  <c r="L83" i="153"/>
  <c r="K83" i="153"/>
  <c r="J83" i="153"/>
  <c r="I83" i="153"/>
  <c r="H83" i="153"/>
  <c r="G83" i="153"/>
  <c r="Q76" i="153"/>
  <c r="P76" i="153"/>
  <c r="D57" i="153"/>
  <c r="P47" i="153"/>
  <c r="O47" i="153"/>
  <c r="M47" i="153"/>
  <c r="L47" i="153"/>
  <c r="J47" i="153"/>
  <c r="I47" i="153"/>
  <c r="H47" i="153"/>
  <c r="G47" i="153"/>
  <c r="P45" i="153"/>
  <c r="O45" i="153"/>
  <c r="N45" i="153"/>
  <c r="M45" i="153"/>
  <c r="K45" i="153"/>
  <c r="J45" i="153"/>
  <c r="H45" i="153"/>
  <c r="G45" i="153"/>
  <c r="D43" i="153"/>
  <c r="R41" i="153"/>
  <c r="Q40" i="153"/>
  <c r="P40" i="153"/>
  <c r="O40" i="153"/>
  <c r="N40" i="153"/>
  <c r="M40" i="153"/>
  <c r="L40" i="153"/>
  <c r="K40" i="153"/>
  <c r="J40" i="153"/>
  <c r="I40" i="153"/>
  <c r="H40" i="153"/>
  <c r="G40" i="153"/>
  <c r="F40" i="153"/>
  <c r="R39" i="153"/>
  <c r="R38" i="153"/>
  <c r="M32" i="153"/>
  <c r="L32" i="153"/>
  <c r="D32" i="153"/>
  <c r="G32" i="153" s="1"/>
  <c r="P30" i="153"/>
  <c r="D30" i="153"/>
  <c r="D24" i="153"/>
  <c r="D15" i="153"/>
  <c r="D13" i="153"/>
  <c r="D12" i="153"/>
  <c r="D6" i="153"/>
  <c r="D3" i="153"/>
  <c r="D1" i="153"/>
  <c r="D90" i="153" s="1"/>
  <c r="G86" i="152"/>
  <c r="Q83" i="152"/>
  <c r="P83" i="152"/>
  <c r="O83" i="152"/>
  <c r="N83" i="152"/>
  <c r="M83" i="152"/>
  <c r="L83" i="152"/>
  <c r="K83" i="152"/>
  <c r="J83" i="152"/>
  <c r="I83" i="152"/>
  <c r="H83" i="152"/>
  <c r="G83" i="152"/>
  <c r="Q76" i="152"/>
  <c r="P76" i="152"/>
  <c r="P47" i="152"/>
  <c r="O47" i="152"/>
  <c r="M47" i="152"/>
  <c r="L47" i="152"/>
  <c r="J47" i="152"/>
  <c r="I47" i="152"/>
  <c r="H47" i="152"/>
  <c r="G47" i="152"/>
  <c r="P45" i="152"/>
  <c r="O45" i="152"/>
  <c r="N45" i="152"/>
  <c r="M45" i="152"/>
  <c r="K45" i="152"/>
  <c r="J45" i="152"/>
  <c r="H45" i="152"/>
  <c r="G45" i="152"/>
  <c r="R41" i="152"/>
  <c r="Q40" i="152"/>
  <c r="P40" i="152"/>
  <c r="O40" i="152"/>
  <c r="N40" i="152"/>
  <c r="M40" i="152"/>
  <c r="L40" i="152"/>
  <c r="K40" i="152"/>
  <c r="J40" i="152"/>
  <c r="I40" i="152"/>
  <c r="H40" i="152"/>
  <c r="G40" i="152"/>
  <c r="F40" i="152"/>
  <c r="R39" i="152"/>
  <c r="R38" i="152"/>
  <c r="D1" i="152"/>
  <c r="D79" i="152" s="1"/>
  <c r="G86" i="151"/>
  <c r="Q83" i="151"/>
  <c r="P83" i="151"/>
  <c r="O83" i="151"/>
  <c r="N83" i="151"/>
  <c r="M83" i="151"/>
  <c r="L83" i="151"/>
  <c r="K83" i="151"/>
  <c r="J83" i="151"/>
  <c r="I83" i="151"/>
  <c r="H83" i="151"/>
  <c r="G83" i="151"/>
  <c r="Q76" i="151"/>
  <c r="P76" i="151"/>
  <c r="D56" i="151"/>
  <c r="P47" i="151"/>
  <c r="O47" i="151"/>
  <c r="M47" i="151"/>
  <c r="L47" i="151"/>
  <c r="J47" i="151"/>
  <c r="I47" i="151"/>
  <c r="H47" i="151"/>
  <c r="G47" i="151"/>
  <c r="P45" i="151"/>
  <c r="O45" i="151"/>
  <c r="N45" i="151"/>
  <c r="M45" i="151"/>
  <c r="K45" i="151"/>
  <c r="J45" i="151"/>
  <c r="H45" i="151"/>
  <c r="G45" i="151"/>
  <c r="R41" i="151"/>
  <c r="Q40" i="151"/>
  <c r="P40" i="151"/>
  <c r="O40" i="151"/>
  <c r="N40" i="151"/>
  <c r="M40" i="151"/>
  <c r="L40" i="151"/>
  <c r="K40" i="151"/>
  <c r="J40" i="151"/>
  <c r="I40" i="151"/>
  <c r="H40" i="151"/>
  <c r="G40" i="151"/>
  <c r="F40" i="151"/>
  <c r="R40" i="151" s="1"/>
  <c r="R39" i="151"/>
  <c r="R38" i="151"/>
  <c r="D10" i="151"/>
  <c r="K10" i="151" s="1"/>
  <c r="L4" i="151"/>
  <c r="D4" i="151"/>
  <c r="D1" i="151"/>
  <c r="D82" i="151" s="1"/>
  <c r="G86" i="150"/>
  <c r="Q83" i="150"/>
  <c r="P83" i="150"/>
  <c r="O83" i="150"/>
  <c r="N83" i="150"/>
  <c r="M83" i="150"/>
  <c r="L83" i="150"/>
  <c r="K83" i="150"/>
  <c r="J83" i="150"/>
  <c r="I83" i="150"/>
  <c r="H83" i="150"/>
  <c r="G83" i="150"/>
  <c r="Q76" i="150"/>
  <c r="P76" i="150"/>
  <c r="P47" i="150"/>
  <c r="O47" i="150"/>
  <c r="M47" i="150"/>
  <c r="L47" i="150"/>
  <c r="J47" i="150"/>
  <c r="I47" i="150"/>
  <c r="H47" i="150"/>
  <c r="G47" i="150"/>
  <c r="P45" i="150"/>
  <c r="O45" i="150"/>
  <c r="N45" i="150"/>
  <c r="M45" i="150"/>
  <c r="K45" i="150"/>
  <c r="J45" i="150"/>
  <c r="H45" i="150"/>
  <c r="G45" i="150"/>
  <c r="R41" i="150"/>
  <c r="Q40" i="150"/>
  <c r="P40" i="150"/>
  <c r="O40" i="150"/>
  <c r="N40" i="150"/>
  <c r="M40" i="150"/>
  <c r="L40" i="150"/>
  <c r="K40" i="150"/>
  <c r="J40" i="150"/>
  <c r="I40" i="150"/>
  <c r="H40" i="150"/>
  <c r="G40" i="150"/>
  <c r="F40" i="150"/>
  <c r="R40" i="150" s="1"/>
  <c r="R39" i="150"/>
  <c r="R38" i="150"/>
  <c r="D1" i="150"/>
  <c r="G86" i="149"/>
  <c r="Q83" i="149"/>
  <c r="P83" i="149"/>
  <c r="O83" i="149"/>
  <c r="N83" i="149"/>
  <c r="M83" i="149"/>
  <c r="L83" i="149"/>
  <c r="K83" i="149"/>
  <c r="J83" i="149"/>
  <c r="I83" i="149"/>
  <c r="H83" i="149"/>
  <c r="G83" i="149"/>
  <c r="Q76" i="149"/>
  <c r="P76" i="149"/>
  <c r="P47" i="149"/>
  <c r="O47" i="149"/>
  <c r="M47" i="149"/>
  <c r="L47" i="149"/>
  <c r="J47" i="149"/>
  <c r="I47" i="149"/>
  <c r="H47" i="149"/>
  <c r="G47" i="149"/>
  <c r="P45" i="149"/>
  <c r="O45" i="149"/>
  <c r="N45" i="149"/>
  <c r="M45" i="149"/>
  <c r="K45" i="149"/>
  <c r="J45" i="149"/>
  <c r="H45" i="149"/>
  <c r="G45" i="149"/>
  <c r="R41" i="149"/>
  <c r="Q40" i="149"/>
  <c r="P40" i="149"/>
  <c r="O40" i="149"/>
  <c r="N40" i="149"/>
  <c r="M40" i="149"/>
  <c r="L40" i="149"/>
  <c r="K40" i="149"/>
  <c r="J40" i="149"/>
  <c r="I40" i="149"/>
  <c r="H40" i="149"/>
  <c r="G40" i="149"/>
  <c r="F40" i="149"/>
  <c r="R40" i="149" s="1"/>
  <c r="R39" i="149"/>
  <c r="R38" i="149"/>
  <c r="D1" i="149"/>
  <c r="D88" i="149" s="1"/>
  <c r="G86" i="148"/>
  <c r="Q83" i="148"/>
  <c r="P83" i="148"/>
  <c r="O83" i="148"/>
  <c r="N83" i="148"/>
  <c r="M83" i="148"/>
  <c r="L83" i="148"/>
  <c r="K83" i="148"/>
  <c r="J83" i="148"/>
  <c r="I83" i="148"/>
  <c r="H83" i="148"/>
  <c r="G83" i="148"/>
  <c r="Q76" i="148"/>
  <c r="P76" i="148"/>
  <c r="D71" i="148"/>
  <c r="D66" i="148"/>
  <c r="D53" i="148"/>
  <c r="D50" i="148"/>
  <c r="P47" i="148"/>
  <c r="O47" i="148"/>
  <c r="M47" i="148"/>
  <c r="L47" i="148"/>
  <c r="J47" i="148"/>
  <c r="I47" i="148"/>
  <c r="H47" i="148"/>
  <c r="G47" i="148"/>
  <c r="P45" i="148"/>
  <c r="O45" i="148"/>
  <c r="N45" i="148"/>
  <c r="M45" i="148"/>
  <c r="K45" i="148"/>
  <c r="J45" i="148"/>
  <c r="H45" i="148"/>
  <c r="G45" i="148"/>
  <c r="R41" i="148"/>
  <c r="Q40" i="148"/>
  <c r="P40" i="148"/>
  <c r="O40" i="148"/>
  <c r="N40" i="148"/>
  <c r="M40" i="148"/>
  <c r="L40" i="148"/>
  <c r="K40" i="148"/>
  <c r="J40" i="148"/>
  <c r="I40" i="148"/>
  <c r="H40" i="148"/>
  <c r="G40" i="148"/>
  <c r="F40" i="148"/>
  <c r="R39" i="148"/>
  <c r="R38" i="148"/>
  <c r="P29" i="148"/>
  <c r="O29" i="148"/>
  <c r="D29" i="148"/>
  <c r="I29" i="148" s="1"/>
  <c r="D28" i="148"/>
  <c r="P17" i="148"/>
  <c r="O17" i="148"/>
  <c r="D17" i="148"/>
  <c r="J17" i="148" s="1"/>
  <c r="D16" i="148"/>
  <c r="L16" i="148" s="1"/>
  <c r="D11" i="148"/>
  <c r="F11" i="148" s="1"/>
  <c r="P5" i="148"/>
  <c r="D5" i="148"/>
  <c r="J5" i="148" s="1"/>
  <c r="D1" i="148"/>
  <c r="G86" i="147"/>
  <c r="Q83" i="147"/>
  <c r="P83" i="147"/>
  <c r="O83" i="147"/>
  <c r="N83" i="147"/>
  <c r="M83" i="147"/>
  <c r="L83" i="147"/>
  <c r="K83" i="147"/>
  <c r="J83" i="147"/>
  <c r="I83" i="147"/>
  <c r="H83" i="147"/>
  <c r="G83" i="147"/>
  <c r="Q76" i="147"/>
  <c r="P76" i="147"/>
  <c r="P47" i="147"/>
  <c r="O47" i="147"/>
  <c r="M47" i="147"/>
  <c r="L47" i="147"/>
  <c r="J47" i="147"/>
  <c r="I47" i="147"/>
  <c r="H47" i="147"/>
  <c r="G47" i="147"/>
  <c r="P45" i="147"/>
  <c r="O45" i="147"/>
  <c r="N45" i="147"/>
  <c r="M45" i="147"/>
  <c r="K45" i="147"/>
  <c r="J45" i="147"/>
  <c r="H45" i="147"/>
  <c r="G45" i="147"/>
  <c r="R41" i="147"/>
  <c r="Q40" i="147"/>
  <c r="P40" i="147"/>
  <c r="O40" i="147"/>
  <c r="N40" i="147"/>
  <c r="M40" i="147"/>
  <c r="L40" i="147"/>
  <c r="K40" i="147"/>
  <c r="J40" i="147"/>
  <c r="I40" i="147"/>
  <c r="H40" i="147"/>
  <c r="G40" i="147"/>
  <c r="F40" i="147"/>
  <c r="R40" i="147" s="1"/>
  <c r="R39" i="147"/>
  <c r="R38" i="147"/>
  <c r="D1" i="147"/>
  <c r="G86" i="146"/>
  <c r="Q83" i="146"/>
  <c r="P83" i="146"/>
  <c r="O83" i="146"/>
  <c r="N83" i="146"/>
  <c r="M83" i="146"/>
  <c r="L83" i="146"/>
  <c r="K83" i="146"/>
  <c r="J83" i="146"/>
  <c r="I83" i="146"/>
  <c r="H83" i="146"/>
  <c r="G83" i="146"/>
  <c r="Q76" i="146"/>
  <c r="P76" i="146"/>
  <c r="P47" i="146"/>
  <c r="O47" i="146"/>
  <c r="M47" i="146"/>
  <c r="L47" i="146"/>
  <c r="J47" i="146"/>
  <c r="I47" i="146"/>
  <c r="H47" i="146"/>
  <c r="G47" i="146"/>
  <c r="P45" i="146"/>
  <c r="O45" i="146"/>
  <c r="N45" i="146"/>
  <c r="M45" i="146"/>
  <c r="K45" i="146"/>
  <c r="J45" i="146"/>
  <c r="H45" i="146"/>
  <c r="G45" i="146"/>
  <c r="R41" i="146"/>
  <c r="Q40" i="146"/>
  <c r="P40" i="146"/>
  <c r="O40" i="146"/>
  <c r="N40" i="146"/>
  <c r="M40" i="146"/>
  <c r="L40" i="146"/>
  <c r="K40" i="146"/>
  <c r="J40" i="146"/>
  <c r="I40" i="146"/>
  <c r="H40" i="146"/>
  <c r="G40" i="146"/>
  <c r="F40" i="146"/>
  <c r="R40" i="146" s="1"/>
  <c r="R39" i="146"/>
  <c r="R38" i="146"/>
  <c r="D1" i="146"/>
  <c r="D103" i="145"/>
  <c r="G86" i="145"/>
  <c r="Q83" i="145"/>
  <c r="P83" i="145"/>
  <c r="O83" i="145"/>
  <c r="N83" i="145"/>
  <c r="M83" i="145"/>
  <c r="L83" i="145"/>
  <c r="K83" i="145"/>
  <c r="J83" i="145"/>
  <c r="I83" i="145"/>
  <c r="H83" i="145"/>
  <c r="G83" i="145"/>
  <c r="Q76" i="145"/>
  <c r="P76" i="145"/>
  <c r="D61" i="145"/>
  <c r="J61" i="145" s="1"/>
  <c r="D59" i="145"/>
  <c r="O59" i="145" s="1"/>
  <c r="D58" i="145"/>
  <c r="M58" i="145" s="1"/>
  <c r="P47" i="145"/>
  <c r="O47" i="145"/>
  <c r="M47" i="145"/>
  <c r="L47" i="145"/>
  <c r="J47" i="145"/>
  <c r="I47" i="145"/>
  <c r="H47" i="145"/>
  <c r="G47" i="145"/>
  <c r="P45" i="145"/>
  <c r="O45" i="145"/>
  <c r="N45" i="145"/>
  <c r="M45" i="145"/>
  <c r="K45" i="145"/>
  <c r="J45" i="145"/>
  <c r="H45" i="145"/>
  <c r="G45" i="145"/>
  <c r="R41" i="145"/>
  <c r="Q40" i="145"/>
  <c r="P40" i="145"/>
  <c r="O40" i="145"/>
  <c r="N40" i="145"/>
  <c r="M40" i="145"/>
  <c r="L40" i="145"/>
  <c r="K40" i="145"/>
  <c r="J40" i="145"/>
  <c r="I40" i="145"/>
  <c r="H40" i="145"/>
  <c r="G40" i="145"/>
  <c r="F40" i="145"/>
  <c r="R40" i="145" s="1"/>
  <c r="R39" i="145"/>
  <c r="R38" i="145"/>
  <c r="D1" i="145"/>
  <c r="D67" i="145" s="1"/>
  <c r="D106" i="144"/>
  <c r="D90" i="144"/>
  <c r="G86" i="144"/>
  <c r="Q83" i="144"/>
  <c r="P83" i="144"/>
  <c r="O83" i="144"/>
  <c r="N83" i="144"/>
  <c r="M83" i="144"/>
  <c r="L83" i="144"/>
  <c r="K83" i="144"/>
  <c r="J83" i="144"/>
  <c r="I83" i="144"/>
  <c r="H83" i="144"/>
  <c r="G83" i="144"/>
  <c r="D82" i="144"/>
  <c r="F82" i="144" s="1"/>
  <c r="Q76" i="144"/>
  <c r="P76" i="144"/>
  <c r="P47" i="144"/>
  <c r="O47" i="144"/>
  <c r="M47" i="144"/>
  <c r="L47" i="144"/>
  <c r="J47" i="144"/>
  <c r="I47" i="144"/>
  <c r="H47" i="144"/>
  <c r="G47" i="144"/>
  <c r="P45" i="144"/>
  <c r="O45" i="144"/>
  <c r="N45" i="144"/>
  <c r="M45" i="144"/>
  <c r="K45" i="144"/>
  <c r="J45" i="144"/>
  <c r="H45" i="144"/>
  <c r="G45" i="144"/>
  <c r="R41" i="144"/>
  <c r="Q40" i="144"/>
  <c r="P40" i="144"/>
  <c r="O40" i="144"/>
  <c r="N40" i="144"/>
  <c r="M40" i="144"/>
  <c r="L40" i="144"/>
  <c r="K40" i="144"/>
  <c r="J40" i="144"/>
  <c r="I40" i="144"/>
  <c r="H40" i="144"/>
  <c r="G40" i="144"/>
  <c r="F40" i="144"/>
  <c r="R40" i="144" s="1"/>
  <c r="R39" i="144"/>
  <c r="R38" i="144"/>
  <c r="D28" i="144"/>
  <c r="L28" i="144" s="1"/>
  <c r="D16" i="144"/>
  <c r="D14" i="144"/>
  <c r="L14" i="144" s="1"/>
  <c r="O7" i="144"/>
  <c r="L7" i="144"/>
  <c r="D7" i="144"/>
  <c r="I7" i="144" s="1"/>
  <c r="N6" i="144"/>
  <c r="D6" i="144"/>
  <c r="D1" i="144"/>
  <c r="G86" i="143"/>
  <c r="Q83" i="143"/>
  <c r="P83" i="143"/>
  <c r="O83" i="143"/>
  <c r="N83" i="143"/>
  <c r="M83" i="143"/>
  <c r="L83" i="143"/>
  <c r="K83" i="143"/>
  <c r="J83" i="143"/>
  <c r="I83" i="143"/>
  <c r="H83" i="143"/>
  <c r="G83" i="143"/>
  <c r="Q76" i="143"/>
  <c r="P76" i="143"/>
  <c r="P47" i="143"/>
  <c r="O47" i="143"/>
  <c r="M47" i="143"/>
  <c r="L47" i="143"/>
  <c r="J47" i="143"/>
  <c r="I47" i="143"/>
  <c r="H47" i="143"/>
  <c r="G47" i="143"/>
  <c r="P45" i="143"/>
  <c r="O45" i="143"/>
  <c r="N45" i="143"/>
  <c r="M45" i="143"/>
  <c r="K45" i="143"/>
  <c r="J45" i="143"/>
  <c r="H45" i="143"/>
  <c r="G45" i="143"/>
  <c r="R41" i="143"/>
  <c r="Q40" i="143"/>
  <c r="P40" i="143"/>
  <c r="O40" i="143"/>
  <c r="N40" i="143"/>
  <c r="M40" i="143"/>
  <c r="L40" i="143"/>
  <c r="K40" i="143"/>
  <c r="J40" i="143"/>
  <c r="I40" i="143"/>
  <c r="H40" i="143"/>
  <c r="G40" i="143"/>
  <c r="F40" i="143"/>
  <c r="R40" i="143" s="1"/>
  <c r="R39" i="143"/>
  <c r="R38" i="143"/>
  <c r="D32" i="143"/>
  <c r="O32" i="143" s="1"/>
  <c r="K30" i="143"/>
  <c r="I30" i="143"/>
  <c r="D30" i="143"/>
  <c r="O30" i="143" s="1"/>
  <c r="O28" i="143"/>
  <c r="M28" i="143"/>
  <c r="D28" i="143"/>
  <c r="O27" i="143"/>
  <c r="D27" i="143"/>
  <c r="D26" i="143"/>
  <c r="D24" i="143"/>
  <c r="O16" i="143"/>
  <c r="M16" i="143"/>
  <c r="I16" i="143"/>
  <c r="D16" i="143"/>
  <c r="D15" i="143"/>
  <c r="K13" i="143"/>
  <c r="I13" i="143"/>
  <c r="D13" i="143"/>
  <c r="O13" i="143" s="1"/>
  <c r="K12" i="143"/>
  <c r="I12" i="143"/>
  <c r="D12" i="143"/>
  <c r="D1" i="143"/>
  <c r="D29" i="143" s="1"/>
  <c r="D97" i="142"/>
  <c r="G86" i="142"/>
  <c r="Q83" i="142"/>
  <c r="P83" i="142"/>
  <c r="O83" i="142"/>
  <c r="N83" i="142"/>
  <c r="M83" i="142"/>
  <c r="L83" i="142"/>
  <c r="K83" i="142"/>
  <c r="J83" i="142"/>
  <c r="I83" i="142"/>
  <c r="H83" i="142"/>
  <c r="G83" i="142"/>
  <c r="D80" i="142"/>
  <c r="Q76" i="142"/>
  <c r="P76" i="142"/>
  <c r="D55" i="142"/>
  <c r="P47" i="142"/>
  <c r="O47" i="142"/>
  <c r="M47" i="142"/>
  <c r="L47" i="142"/>
  <c r="J47" i="142"/>
  <c r="I47" i="142"/>
  <c r="H47" i="142"/>
  <c r="G47" i="142"/>
  <c r="P45" i="142"/>
  <c r="O45" i="142"/>
  <c r="N45" i="142"/>
  <c r="M45" i="142"/>
  <c r="K45" i="142"/>
  <c r="J45" i="142"/>
  <c r="H45" i="142"/>
  <c r="G45" i="142"/>
  <c r="R41" i="142"/>
  <c r="Q40" i="142"/>
  <c r="P40" i="142"/>
  <c r="O40" i="142"/>
  <c r="N40" i="142"/>
  <c r="M40" i="142"/>
  <c r="L40" i="142"/>
  <c r="K40" i="142"/>
  <c r="J40" i="142"/>
  <c r="I40" i="142"/>
  <c r="H40" i="142"/>
  <c r="G40" i="142"/>
  <c r="F40" i="142"/>
  <c r="R40" i="142" s="1"/>
  <c r="R39" i="142"/>
  <c r="R38" i="142"/>
  <c r="D36" i="142"/>
  <c r="D33" i="142"/>
  <c r="D27" i="142"/>
  <c r="D26" i="142"/>
  <c r="P10" i="142"/>
  <c r="D10" i="142"/>
  <c r="K10" i="142" s="1"/>
  <c r="D6" i="142"/>
  <c r="D3" i="142"/>
  <c r="D1" i="142"/>
  <c r="D90" i="142" s="1"/>
  <c r="D98" i="141"/>
  <c r="D97" i="141"/>
  <c r="D89" i="141"/>
  <c r="G86" i="141"/>
  <c r="Q83" i="141"/>
  <c r="P83" i="141"/>
  <c r="O83" i="141"/>
  <c r="N83" i="141"/>
  <c r="M83" i="141"/>
  <c r="L83" i="141"/>
  <c r="K83" i="141"/>
  <c r="J83" i="141"/>
  <c r="I83" i="141"/>
  <c r="H83" i="141"/>
  <c r="G83" i="141"/>
  <c r="D79" i="141"/>
  <c r="D77" i="141"/>
  <c r="Q76" i="141"/>
  <c r="P76" i="141"/>
  <c r="L59" i="141"/>
  <c r="F59" i="141"/>
  <c r="D59" i="141"/>
  <c r="P59" i="141" s="1"/>
  <c r="P47" i="141"/>
  <c r="O47" i="141"/>
  <c r="M47" i="141"/>
  <c r="L47" i="141"/>
  <c r="J47" i="141"/>
  <c r="I47" i="141"/>
  <c r="H47" i="141"/>
  <c r="G47" i="141"/>
  <c r="D46" i="141"/>
  <c r="P45" i="141"/>
  <c r="O45" i="141"/>
  <c r="N45" i="141"/>
  <c r="M45" i="141"/>
  <c r="K45" i="141"/>
  <c r="J45" i="141"/>
  <c r="H45" i="141"/>
  <c r="G45" i="141"/>
  <c r="R41" i="141"/>
  <c r="Q40" i="141"/>
  <c r="P40" i="141"/>
  <c r="O40" i="141"/>
  <c r="N40" i="141"/>
  <c r="M40" i="141"/>
  <c r="L40" i="141"/>
  <c r="K40" i="141"/>
  <c r="J40" i="141"/>
  <c r="I40" i="141"/>
  <c r="H40" i="141"/>
  <c r="G40" i="141"/>
  <c r="F40" i="141"/>
  <c r="R40" i="141" s="1"/>
  <c r="R39" i="141"/>
  <c r="R38" i="141"/>
  <c r="I33" i="141"/>
  <c r="F33" i="141"/>
  <c r="D33" i="141"/>
  <c r="F32" i="141"/>
  <c r="D32" i="141"/>
  <c r="M32" i="141" s="1"/>
  <c r="P27" i="141"/>
  <c r="O27" i="141"/>
  <c r="D27" i="141"/>
  <c r="D26" i="141"/>
  <c r="K26" i="141" s="1"/>
  <c r="F15" i="141"/>
  <c r="D15" i="141"/>
  <c r="L15" i="141" s="1"/>
  <c r="D11" i="141"/>
  <c r="P10" i="141"/>
  <c r="O10" i="141"/>
  <c r="J10" i="141"/>
  <c r="I10" i="141"/>
  <c r="D10" i="141"/>
  <c r="L9" i="141"/>
  <c r="F9" i="141"/>
  <c r="D9" i="141"/>
  <c r="P7" i="141"/>
  <c r="O7" i="141"/>
  <c r="J7" i="141"/>
  <c r="I7" i="141"/>
  <c r="D7" i="141"/>
  <c r="N7" i="141" s="1"/>
  <c r="L6" i="141"/>
  <c r="F6" i="141"/>
  <c r="D6" i="141"/>
  <c r="P4" i="141"/>
  <c r="O4" i="141"/>
  <c r="J4" i="141"/>
  <c r="I4" i="141"/>
  <c r="D4" i="141"/>
  <c r="N4" i="141" s="1"/>
  <c r="L3" i="141"/>
  <c r="F3" i="141"/>
  <c r="D3" i="141"/>
  <c r="D1" i="141"/>
  <c r="D103" i="140"/>
  <c r="D97" i="140"/>
  <c r="G86" i="140"/>
  <c r="Q83" i="140"/>
  <c r="P83" i="140"/>
  <c r="O83" i="140"/>
  <c r="N83" i="140"/>
  <c r="M83" i="140"/>
  <c r="L83" i="140"/>
  <c r="K83" i="140"/>
  <c r="J83" i="140"/>
  <c r="I83" i="140"/>
  <c r="H83" i="140"/>
  <c r="G83" i="140"/>
  <c r="Q76" i="140"/>
  <c r="P76" i="140"/>
  <c r="D56" i="140"/>
  <c r="P47" i="140"/>
  <c r="O47" i="140"/>
  <c r="M47" i="140"/>
  <c r="L47" i="140"/>
  <c r="J47" i="140"/>
  <c r="I47" i="140"/>
  <c r="H47" i="140"/>
  <c r="G47" i="140"/>
  <c r="P45" i="140"/>
  <c r="O45" i="140"/>
  <c r="N45" i="140"/>
  <c r="M45" i="140"/>
  <c r="K45" i="140"/>
  <c r="J45" i="140"/>
  <c r="H45" i="140"/>
  <c r="G45" i="140"/>
  <c r="D42" i="140"/>
  <c r="R41" i="140"/>
  <c r="Q40" i="140"/>
  <c r="P40" i="140"/>
  <c r="O40" i="140"/>
  <c r="N40" i="140"/>
  <c r="M40" i="140"/>
  <c r="L40" i="140"/>
  <c r="K40" i="140"/>
  <c r="J40" i="140"/>
  <c r="I40" i="140"/>
  <c r="H40" i="140"/>
  <c r="G40" i="140"/>
  <c r="F40" i="140"/>
  <c r="R40" i="140" s="1"/>
  <c r="R39" i="140"/>
  <c r="R38" i="140"/>
  <c r="L33" i="140"/>
  <c r="J33" i="140"/>
  <c r="D33" i="140"/>
  <c r="M32" i="140"/>
  <c r="D32" i="140"/>
  <c r="K32" i="140" s="1"/>
  <c r="O30" i="140"/>
  <c r="L30" i="140"/>
  <c r="I30" i="140"/>
  <c r="F30" i="140"/>
  <c r="D30" i="140"/>
  <c r="K30" i="140" s="1"/>
  <c r="N29" i="140"/>
  <c r="D29" i="140"/>
  <c r="M29" i="140" s="1"/>
  <c r="O27" i="140"/>
  <c r="L27" i="140"/>
  <c r="K27" i="140"/>
  <c r="I27" i="140"/>
  <c r="F27" i="140"/>
  <c r="D27" i="140"/>
  <c r="N26" i="140"/>
  <c r="M26" i="140"/>
  <c r="J26" i="140"/>
  <c r="F26" i="140"/>
  <c r="D26" i="140"/>
  <c r="F24" i="140"/>
  <c r="D24" i="140"/>
  <c r="N17" i="140"/>
  <c r="D17" i="140"/>
  <c r="M17" i="140" s="1"/>
  <c r="D15" i="140"/>
  <c r="F15" i="140" s="1"/>
  <c r="O13" i="140"/>
  <c r="L13" i="140"/>
  <c r="F13" i="140"/>
  <c r="D13" i="140"/>
  <c r="K13" i="140" s="1"/>
  <c r="L12" i="140"/>
  <c r="F12" i="140"/>
  <c r="D12" i="140"/>
  <c r="K12" i="140" s="1"/>
  <c r="D10" i="140"/>
  <c r="P10" i="140" s="1"/>
  <c r="N7" i="140"/>
  <c r="K7" i="140"/>
  <c r="D7" i="140"/>
  <c r="D4" i="140"/>
  <c r="D1" i="140"/>
  <c r="D59" i="140" s="1"/>
  <c r="D105" i="139"/>
  <c r="D100" i="139"/>
  <c r="D88" i="139"/>
  <c r="G86" i="139"/>
  <c r="Q83" i="139"/>
  <c r="P83" i="139"/>
  <c r="O83" i="139"/>
  <c r="N83" i="139"/>
  <c r="M83" i="139"/>
  <c r="L83" i="139"/>
  <c r="K83" i="139"/>
  <c r="J83" i="139"/>
  <c r="I83" i="139"/>
  <c r="H83" i="139"/>
  <c r="G83" i="139"/>
  <c r="Q76" i="139"/>
  <c r="P76" i="139"/>
  <c r="D71" i="139"/>
  <c r="D69" i="139"/>
  <c r="D67" i="139"/>
  <c r="D66" i="139"/>
  <c r="L66" i="139" s="1"/>
  <c r="L64" i="139"/>
  <c r="K64" i="139"/>
  <c r="D64" i="139"/>
  <c r="L57" i="139"/>
  <c r="F57" i="139"/>
  <c r="D57" i="139"/>
  <c r="L54" i="139"/>
  <c r="K54" i="139"/>
  <c r="D54" i="139"/>
  <c r="L53" i="139"/>
  <c r="F53" i="139"/>
  <c r="D53" i="139"/>
  <c r="D51" i="139"/>
  <c r="D50" i="139"/>
  <c r="P47" i="139"/>
  <c r="O47" i="139"/>
  <c r="M47" i="139"/>
  <c r="L47" i="139"/>
  <c r="J47" i="139"/>
  <c r="I47" i="139"/>
  <c r="H47" i="139"/>
  <c r="G47" i="139"/>
  <c r="P45" i="139"/>
  <c r="O45" i="139"/>
  <c r="N45" i="139"/>
  <c r="M45" i="139"/>
  <c r="K45" i="139"/>
  <c r="J45" i="139"/>
  <c r="H45" i="139"/>
  <c r="G45" i="139"/>
  <c r="D43" i="139"/>
  <c r="R41" i="139"/>
  <c r="Q40" i="139"/>
  <c r="P40" i="139"/>
  <c r="O40" i="139"/>
  <c r="N40" i="139"/>
  <c r="M40" i="139"/>
  <c r="L40" i="139"/>
  <c r="K40" i="139"/>
  <c r="J40" i="139"/>
  <c r="I40" i="139"/>
  <c r="H40" i="139"/>
  <c r="G40" i="139"/>
  <c r="F40" i="139"/>
  <c r="R39" i="139"/>
  <c r="R38" i="139"/>
  <c r="F36" i="139"/>
  <c r="D36" i="139"/>
  <c r="D33" i="139"/>
  <c r="L33" i="139" s="1"/>
  <c r="J32" i="139"/>
  <c r="D32" i="139"/>
  <c r="O30" i="139"/>
  <c r="L30" i="139"/>
  <c r="K30" i="139"/>
  <c r="H30" i="139"/>
  <c r="F30" i="139"/>
  <c r="D30" i="139"/>
  <c r="P29" i="139"/>
  <c r="M29" i="139"/>
  <c r="K29" i="139"/>
  <c r="J29" i="139"/>
  <c r="H29" i="139"/>
  <c r="G29" i="139"/>
  <c r="D29" i="139"/>
  <c r="L27" i="139"/>
  <c r="I27" i="139"/>
  <c r="H27" i="139"/>
  <c r="D27" i="139"/>
  <c r="N26" i="139"/>
  <c r="M26" i="139"/>
  <c r="I26" i="139"/>
  <c r="F26" i="139"/>
  <c r="D26" i="139"/>
  <c r="J26" i="139" s="1"/>
  <c r="F24" i="139"/>
  <c r="D24" i="139"/>
  <c r="P17" i="139"/>
  <c r="M17" i="139"/>
  <c r="K17" i="139"/>
  <c r="J17" i="139"/>
  <c r="H17" i="139"/>
  <c r="G17" i="139"/>
  <c r="D17" i="139"/>
  <c r="L15" i="139"/>
  <c r="R15" i="139" s="1"/>
  <c r="D15" i="139"/>
  <c r="F15" i="139" s="1"/>
  <c r="L13" i="139"/>
  <c r="I13" i="139"/>
  <c r="H13" i="139"/>
  <c r="D13" i="139"/>
  <c r="L12" i="139"/>
  <c r="K12" i="139"/>
  <c r="H12" i="139"/>
  <c r="F12" i="139"/>
  <c r="D12" i="139"/>
  <c r="I12" i="139" s="1"/>
  <c r="D11" i="139"/>
  <c r="F11" i="139" s="1"/>
  <c r="J10" i="139"/>
  <c r="D10" i="139"/>
  <c r="M10" i="139" s="1"/>
  <c r="O8" i="139"/>
  <c r="L8" i="139"/>
  <c r="K8" i="139"/>
  <c r="H8" i="139"/>
  <c r="F8" i="139"/>
  <c r="D8" i="139"/>
  <c r="P7" i="139"/>
  <c r="M7" i="139"/>
  <c r="K7" i="139"/>
  <c r="J7" i="139"/>
  <c r="H7" i="139"/>
  <c r="G7" i="139"/>
  <c r="D7" i="139"/>
  <c r="L5" i="139"/>
  <c r="I5" i="139"/>
  <c r="H5" i="139"/>
  <c r="D5" i="139"/>
  <c r="M4" i="139"/>
  <c r="H4" i="139"/>
  <c r="D4" i="139"/>
  <c r="K4" i="139" s="1"/>
  <c r="D2" i="139"/>
  <c r="D1" i="139"/>
  <c r="D103" i="138"/>
  <c r="D102" i="138"/>
  <c r="G86" i="138"/>
  <c r="Q83" i="138"/>
  <c r="P83" i="138"/>
  <c r="O83" i="138"/>
  <c r="N83" i="138"/>
  <c r="M83" i="138"/>
  <c r="L83" i="138"/>
  <c r="K83" i="138"/>
  <c r="J83" i="138"/>
  <c r="I83" i="138"/>
  <c r="H83" i="138"/>
  <c r="G83" i="138"/>
  <c r="Q76" i="138"/>
  <c r="P76" i="138"/>
  <c r="L72" i="138"/>
  <c r="I72" i="138"/>
  <c r="D72" i="138"/>
  <c r="D67" i="138"/>
  <c r="H67" i="138" s="1"/>
  <c r="N64" i="138"/>
  <c r="D64" i="138"/>
  <c r="P59" i="138"/>
  <c r="N59" i="138"/>
  <c r="K59" i="138"/>
  <c r="D59" i="138"/>
  <c r="N56" i="138"/>
  <c r="M56" i="138"/>
  <c r="D56" i="138"/>
  <c r="D54" i="138"/>
  <c r="P47" i="138"/>
  <c r="O47" i="138"/>
  <c r="M47" i="138"/>
  <c r="L47" i="138"/>
  <c r="J47" i="138"/>
  <c r="I47" i="138"/>
  <c r="H47" i="138"/>
  <c r="G47" i="138"/>
  <c r="P45" i="138"/>
  <c r="O45" i="138"/>
  <c r="N45" i="138"/>
  <c r="M45" i="138"/>
  <c r="K45" i="138"/>
  <c r="J45" i="138"/>
  <c r="H45" i="138"/>
  <c r="G45" i="138"/>
  <c r="D44" i="138"/>
  <c r="D43" i="138"/>
  <c r="R41" i="138"/>
  <c r="Q40" i="138"/>
  <c r="P40" i="138"/>
  <c r="O40" i="138"/>
  <c r="N40" i="138"/>
  <c r="M40" i="138"/>
  <c r="L40" i="138"/>
  <c r="K40" i="138"/>
  <c r="J40" i="138"/>
  <c r="I40" i="138"/>
  <c r="H40" i="138"/>
  <c r="G40" i="138"/>
  <c r="F40" i="138"/>
  <c r="R39" i="138"/>
  <c r="R38" i="138"/>
  <c r="P33" i="138"/>
  <c r="N33" i="138"/>
  <c r="K33" i="138"/>
  <c r="D33" i="138"/>
  <c r="O31" i="138"/>
  <c r="N31" i="138"/>
  <c r="M31" i="138"/>
  <c r="D31" i="138"/>
  <c r="G31" i="138" s="1"/>
  <c r="O29" i="138"/>
  <c r="D29" i="138"/>
  <c r="N28" i="138"/>
  <c r="M28" i="138"/>
  <c r="D28" i="138"/>
  <c r="P27" i="138"/>
  <c r="D27" i="138"/>
  <c r="I27" i="138" s="1"/>
  <c r="G17" i="138"/>
  <c r="F17" i="138"/>
  <c r="D17" i="138"/>
  <c r="O17" i="138" s="1"/>
  <c r="D16" i="138"/>
  <c r="N16" i="138" s="1"/>
  <c r="D15" i="138"/>
  <c r="N14" i="138"/>
  <c r="M14" i="138"/>
  <c r="K14" i="138"/>
  <c r="I14" i="138"/>
  <c r="D14" i="138"/>
  <c r="L13" i="138"/>
  <c r="D13" i="138"/>
  <c r="J13" i="138" s="1"/>
  <c r="I12" i="138"/>
  <c r="F12" i="138"/>
  <c r="D12" i="138"/>
  <c r="L12" i="138" s="1"/>
  <c r="D10" i="138"/>
  <c r="J10" i="138" s="1"/>
  <c r="L9" i="138"/>
  <c r="K9" i="138"/>
  <c r="J9" i="138"/>
  <c r="D9" i="138"/>
  <c r="N7" i="138"/>
  <c r="K7" i="138"/>
  <c r="J7" i="138"/>
  <c r="D7" i="138"/>
  <c r="H7" i="138" s="1"/>
  <c r="P6" i="138"/>
  <c r="L6" i="138"/>
  <c r="K6" i="138"/>
  <c r="J6" i="138"/>
  <c r="G6" i="138"/>
  <c r="F6" i="138"/>
  <c r="D6" i="138"/>
  <c r="P4" i="138"/>
  <c r="N4" i="138"/>
  <c r="K4" i="138"/>
  <c r="J4" i="138"/>
  <c r="I4" i="138"/>
  <c r="H4" i="138"/>
  <c r="D4" i="138"/>
  <c r="D3" i="138"/>
  <c r="D1" i="138"/>
  <c r="D1" i="16"/>
  <c r="K3" i="172" l="1"/>
  <c r="O17" i="172"/>
  <c r="I17" i="172"/>
  <c r="N17" i="172"/>
  <c r="H17" i="172"/>
  <c r="M17" i="172"/>
  <c r="G17" i="172"/>
  <c r="L17" i="172"/>
  <c r="F17" i="172"/>
  <c r="I42" i="172"/>
  <c r="I45" i="172" s="1"/>
  <c r="F3" i="172"/>
  <c r="Q3" i="172" s="1"/>
  <c r="L3" i="172"/>
  <c r="F6" i="172"/>
  <c r="L6" i="172"/>
  <c r="J17" i="172"/>
  <c r="G3" i="172"/>
  <c r="M3" i="172"/>
  <c r="D4" i="172"/>
  <c r="D25" i="172" s="1"/>
  <c r="G6" i="172"/>
  <c r="M6" i="172"/>
  <c r="F8" i="172"/>
  <c r="K17" i="172"/>
  <c r="D32" i="172"/>
  <c r="D57" i="172"/>
  <c r="D69" i="172"/>
  <c r="O29" i="172"/>
  <c r="I29" i="172"/>
  <c r="N29" i="172"/>
  <c r="H29" i="172"/>
  <c r="Q29" i="172" s="1"/>
  <c r="M29" i="172"/>
  <c r="G29" i="172"/>
  <c r="L29" i="172"/>
  <c r="F29" i="172"/>
  <c r="L7" i="172"/>
  <c r="K7" i="172"/>
  <c r="P7" i="172"/>
  <c r="J7" i="172"/>
  <c r="O7" i="172"/>
  <c r="I7" i="172"/>
  <c r="R42" i="172"/>
  <c r="D107" i="172"/>
  <c r="D95" i="172" s="1"/>
  <c r="D101" i="172"/>
  <c r="D82" i="172"/>
  <c r="D80" i="172"/>
  <c r="D58" i="172"/>
  <c r="D55" i="172"/>
  <c r="D106" i="172"/>
  <c r="D100" i="172"/>
  <c r="D91" i="172"/>
  <c r="D88" i="172"/>
  <c r="D43" i="172"/>
  <c r="D45" i="172" s="1"/>
  <c r="D104" i="172"/>
  <c r="D94" i="172" s="1"/>
  <c r="D98" i="172"/>
  <c r="D92" i="172" s="1"/>
  <c r="D89" i="172"/>
  <c r="D81" i="172"/>
  <c r="D79" i="172"/>
  <c r="D77" i="172"/>
  <c r="D62" i="172"/>
  <c r="D90" i="172"/>
  <c r="D56" i="172"/>
  <c r="D31" i="172"/>
  <c r="D28" i="172"/>
  <c r="D16" i="172"/>
  <c r="D14" i="172"/>
  <c r="D105" i="172"/>
  <c r="D75" i="172"/>
  <c r="D74" i="172"/>
  <c r="D73" i="172"/>
  <c r="D72" i="172"/>
  <c r="D68" i="172"/>
  <c r="D61" i="172"/>
  <c r="D36" i="172"/>
  <c r="D10" i="172"/>
  <c r="D103" i="172"/>
  <c r="D71" i="172"/>
  <c r="D67" i="172"/>
  <c r="D66" i="172"/>
  <c r="D65" i="172"/>
  <c r="D64" i="172"/>
  <c r="D60" i="172"/>
  <c r="D54" i="172"/>
  <c r="D53" i="172"/>
  <c r="D52" i="172"/>
  <c r="D51" i="172"/>
  <c r="D50" i="172"/>
  <c r="D49" i="172"/>
  <c r="D44" i="172"/>
  <c r="D33" i="172"/>
  <c r="D30" i="172"/>
  <c r="D27" i="172"/>
  <c r="D26" i="172"/>
  <c r="D24" i="172"/>
  <c r="D13" i="172"/>
  <c r="D12" i="172"/>
  <c r="D102" i="172"/>
  <c r="D93" i="172" s="1"/>
  <c r="D59" i="172"/>
  <c r="D9" i="172"/>
  <c r="H3" i="172"/>
  <c r="N3" i="172"/>
  <c r="H6" i="172"/>
  <c r="N6" i="172"/>
  <c r="G7" i="172"/>
  <c r="Q7" i="172" s="1"/>
  <c r="D11" i="172"/>
  <c r="P17" i="172"/>
  <c r="P29" i="172"/>
  <c r="D99" i="172"/>
  <c r="F15" i="172"/>
  <c r="P8" i="172"/>
  <c r="J8" i="172"/>
  <c r="O8" i="172"/>
  <c r="I8" i="172"/>
  <c r="N8" i="172"/>
  <c r="H8" i="172"/>
  <c r="Q8" i="172" s="1"/>
  <c r="M8" i="172"/>
  <c r="G8" i="172"/>
  <c r="J29" i="172"/>
  <c r="D2" i="172"/>
  <c r="I3" i="172"/>
  <c r="O3" i="172"/>
  <c r="D5" i="172"/>
  <c r="I6" i="172"/>
  <c r="H7" i="172"/>
  <c r="L8" i="172"/>
  <c r="D46" i="172"/>
  <c r="K6" i="172"/>
  <c r="Q6" i="172"/>
  <c r="F63" i="172"/>
  <c r="R63" i="172" s="1"/>
  <c r="J3" i="172"/>
  <c r="J6" i="172"/>
  <c r="R6" i="172" s="1"/>
  <c r="P6" i="172"/>
  <c r="M7" i="172"/>
  <c r="R40" i="172"/>
  <c r="P3" i="171"/>
  <c r="J3" i="171"/>
  <c r="O3" i="171"/>
  <c r="I3" i="171"/>
  <c r="N3" i="171"/>
  <c r="H3" i="171"/>
  <c r="L3" i="171"/>
  <c r="F3" i="171"/>
  <c r="N51" i="171"/>
  <c r="H51" i="171"/>
  <c r="M51" i="171"/>
  <c r="G51" i="171"/>
  <c r="L51" i="171"/>
  <c r="F51" i="171"/>
  <c r="R51" i="171" s="1"/>
  <c r="J51" i="171"/>
  <c r="O51" i="171"/>
  <c r="I51" i="171"/>
  <c r="K51" i="171"/>
  <c r="F69" i="171"/>
  <c r="G3" i="171"/>
  <c r="Q3" i="171" s="1"/>
  <c r="K4" i="171"/>
  <c r="N7" i="171"/>
  <c r="H7" i="171"/>
  <c r="M7" i="171"/>
  <c r="G7" i="171"/>
  <c r="L7" i="171"/>
  <c r="F7" i="171"/>
  <c r="P7" i="171"/>
  <c r="J7" i="171"/>
  <c r="K3" i="171"/>
  <c r="P6" i="171"/>
  <c r="J6" i="171"/>
  <c r="O6" i="171"/>
  <c r="I6" i="171"/>
  <c r="N6" i="171"/>
  <c r="H6" i="171"/>
  <c r="L6" i="171"/>
  <c r="F6" i="171"/>
  <c r="Q6" i="171" s="1"/>
  <c r="R6" i="171" s="1"/>
  <c r="N54" i="171"/>
  <c r="H54" i="171"/>
  <c r="M54" i="171"/>
  <c r="G54" i="171"/>
  <c r="L54" i="171"/>
  <c r="F54" i="171"/>
  <c r="P54" i="171"/>
  <c r="J54" i="171"/>
  <c r="O54" i="171"/>
  <c r="I54" i="171"/>
  <c r="K54" i="171"/>
  <c r="M3" i="171"/>
  <c r="G6" i="171"/>
  <c r="K7" i="171"/>
  <c r="N10" i="171"/>
  <c r="H10" i="171"/>
  <c r="M10" i="171"/>
  <c r="G10" i="171"/>
  <c r="L10" i="171"/>
  <c r="Q10" i="171" s="1"/>
  <c r="F10" i="171"/>
  <c r="P10" i="171"/>
  <c r="J10" i="171"/>
  <c r="K6" i="171"/>
  <c r="O7" i="171"/>
  <c r="P9" i="171"/>
  <c r="J9" i="171"/>
  <c r="O9" i="171"/>
  <c r="I9" i="171"/>
  <c r="N9" i="171"/>
  <c r="H9" i="171"/>
  <c r="L9" i="171"/>
  <c r="F9" i="171"/>
  <c r="I10" i="171"/>
  <c r="N4" i="171"/>
  <c r="H4" i="171"/>
  <c r="M4" i="171"/>
  <c r="G4" i="171"/>
  <c r="L4" i="171"/>
  <c r="F4" i="171"/>
  <c r="Q4" i="171" s="1"/>
  <c r="P4" i="171"/>
  <c r="J4" i="171"/>
  <c r="M6" i="171"/>
  <c r="N64" i="171"/>
  <c r="H64" i="171"/>
  <c r="M64" i="171"/>
  <c r="G64" i="171"/>
  <c r="L64" i="171"/>
  <c r="F64" i="171"/>
  <c r="J64" i="171"/>
  <c r="I64" i="171"/>
  <c r="H67" i="171"/>
  <c r="R67" i="171" s="1"/>
  <c r="D12" i="171"/>
  <c r="D13" i="171"/>
  <c r="D24" i="171"/>
  <c r="D26" i="171"/>
  <c r="D27" i="171"/>
  <c r="D30" i="171"/>
  <c r="D33" i="171"/>
  <c r="D57" i="171"/>
  <c r="K64" i="171"/>
  <c r="N49" i="171"/>
  <c r="H49" i="171"/>
  <c r="M49" i="171"/>
  <c r="G49" i="171"/>
  <c r="L49" i="171"/>
  <c r="F49" i="171"/>
  <c r="J49" i="171"/>
  <c r="I49" i="171"/>
  <c r="D102" i="171"/>
  <c r="D93" i="171" s="1"/>
  <c r="D90" i="171"/>
  <c r="D75" i="171"/>
  <c r="D74" i="171"/>
  <c r="D73" i="171"/>
  <c r="D72" i="171"/>
  <c r="D68" i="171"/>
  <c r="D63" i="171"/>
  <c r="D61" i="171"/>
  <c r="D46" i="171"/>
  <c r="D107" i="171"/>
  <c r="D95" i="171" s="1"/>
  <c r="D101" i="171"/>
  <c r="D82" i="171"/>
  <c r="D80" i="171"/>
  <c r="D58" i="171"/>
  <c r="D55" i="171"/>
  <c r="D106" i="171"/>
  <c r="D100" i="171"/>
  <c r="D91" i="171"/>
  <c r="D88" i="171"/>
  <c r="D43" i="171"/>
  <c r="D104" i="171"/>
  <c r="D94" i="171" s="1"/>
  <c r="D98" i="171"/>
  <c r="D89" i="171"/>
  <c r="D81" i="171"/>
  <c r="D79" i="171"/>
  <c r="D77" i="171"/>
  <c r="D62" i="171"/>
  <c r="D103" i="171"/>
  <c r="D97" i="171"/>
  <c r="D59" i="171"/>
  <c r="D56" i="171"/>
  <c r="D44" i="171"/>
  <c r="D42" i="171"/>
  <c r="D14" i="171"/>
  <c r="D16" i="171"/>
  <c r="D28" i="171"/>
  <c r="D31" i="171"/>
  <c r="K49" i="171"/>
  <c r="D105" i="171"/>
  <c r="N52" i="171"/>
  <c r="H52" i="171"/>
  <c r="M52" i="171"/>
  <c r="G52" i="171"/>
  <c r="L52" i="171"/>
  <c r="F52" i="171"/>
  <c r="R52" i="171" s="1"/>
  <c r="J52" i="171"/>
  <c r="O52" i="171"/>
  <c r="I52" i="171"/>
  <c r="N65" i="171"/>
  <c r="H65" i="171"/>
  <c r="M65" i="171"/>
  <c r="G65" i="171"/>
  <c r="O65" i="171" s="1"/>
  <c r="L65" i="171"/>
  <c r="F65" i="171"/>
  <c r="J65" i="171"/>
  <c r="I65" i="171"/>
  <c r="D2" i="171"/>
  <c r="D5" i="171"/>
  <c r="D8" i="171"/>
  <c r="D11" i="171"/>
  <c r="R40" i="171"/>
  <c r="D50" i="171"/>
  <c r="D53" i="171"/>
  <c r="D66" i="171"/>
  <c r="D71" i="171"/>
  <c r="F60" i="171"/>
  <c r="R60" i="171" s="1"/>
  <c r="D15" i="171"/>
  <c r="D17" i="171"/>
  <c r="D29" i="171"/>
  <c r="D32" i="171"/>
  <c r="D36" i="171"/>
  <c r="P27" i="170"/>
  <c r="J27" i="170"/>
  <c r="O27" i="170"/>
  <c r="I27" i="170"/>
  <c r="L27" i="170"/>
  <c r="Q27" i="170" s="1"/>
  <c r="N27" i="170"/>
  <c r="H27" i="170"/>
  <c r="F27" i="170"/>
  <c r="M27" i="170"/>
  <c r="G27" i="170"/>
  <c r="P30" i="170"/>
  <c r="J30" i="170"/>
  <c r="F30" i="170"/>
  <c r="O30" i="170"/>
  <c r="I30" i="170"/>
  <c r="L30" i="170"/>
  <c r="N30" i="170"/>
  <c r="Q30" i="170" s="1"/>
  <c r="H30" i="170"/>
  <c r="M30" i="170"/>
  <c r="G30" i="170"/>
  <c r="R42" i="170"/>
  <c r="I42" i="170"/>
  <c r="I45" i="170" s="1"/>
  <c r="J12" i="170"/>
  <c r="I12" i="170"/>
  <c r="N12" i="170"/>
  <c r="H12" i="170"/>
  <c r="L12" i="170"/>
  <c r="F12" i="170"/>
  <c r="M12" i="170"/>
  <c r="O12" i="170" s="1"/>
  <c r="G12" i="170"/>
  <c r="F24" i="170"/>
  <c r="L24" i="170" s="1"/>
  <c r="R24" i="170" s="1"/>
  <c r="K27" i="170"/>
  <c r="K30" i="170"/>
  <c r="P13" i="170"/>
  <c r="J13" i="170"/>
  <c r="F13" i="170"/>
  <c r="Q13" i="170" s="1"/>
  <c r="O13" i="170"/>
  <c r="I13" i="170"/>
  <c r="L13" i="170"/>
  <c r="N13" i="170"/>
  <c r="H13" i="170"/>
  <c r="R13" i="170"/>
  <c r="M13" i="170"/>
  <c r="G13" i="170"/>
  <c r="L15" i="170"/>
  <c r="R15" i="170" s="1"/>
  <c r="K13" i="170"/>
  <c r="K26" i="170"/>
  <c r="F26" i="170"/>
  <c r="J26" i="170"/>
  <c r="N26" i="170"/>
  <c r="P26" i="170"/>
  <c r="I26" i="170"/>
  <c r="O26" i="170"/>
  <c r="H26" i="170"/>
  <c r="P59" i="170"/>
  <c r="J59" i="170"/>
  <c r="O59" i="170"/>
  <c r="I59" i="170"/>
  <c r="N59" i="170"/>
  <c r="H59" i="170"/>
  <c r="M59" i="170"/>
  <c r="G59" i="170"/>
  <c r="L59" i="170"/>
  <c r="F59" i="170"/>
  <c r="Q59" i="170" s="1"/>
  <c r="D102" i="170"/>
  <c r="D93" i="170" s="1"/>
  <c r="D90" i="170"/>
  <c r="D75" i="170"/>
  <c r="D74" i="170"/>
  <c r="D73" i="170"/>
  <c r="D72" i="170"/>
  <c r="D68" i="170"/>
  <c r="D63" i="170"/>
  <c r="D61" i="170"/>
  <c r="D46" i="170"/>
  <c r="D107" i="170"/>
  <c r="D95" i="170" s="1"/>
  <c r="D101" i="170"/>
  <c r="D82" i="170"/>
  <c r="D80" i="170"/>
  <c r="D58" i="170"/>
  <c r="D55" i="170"/>
  <c r="D106" i="170"/>
  <c r="D100" i="170"/>
  <c r="D91" i="170"/>
  <c r="D88" i="170"/>
  <c r="D105" i="170"/>
  <c r="D99" i="170"/>
  <c r="D71" i="170"/>
  <c r="D69" i="170"/>
  <c r="D67" i="170"/>
  <c r="D66" i="170"/>
  <c r="D65" i="170"/>
  <c r="D64" i="170"/>
  <c r="D60" i="170"/>
  <c r="D57" i="170"/>
  <c r="D54" i="170"/>
  <c r="D53" i="170"/>
  <c r="D52" i="170"/>
  <c r="D51" i="170"/>
  <c r="D50" i="170"/>
  <c r="D49" i="170"/>
  <c r="D36" i="170"/>
  <c r="D104" i="170"/>
  <c r="D94" i="170" s="1"/>
  <c r="D98" i="170"/>
  <c r="D89" i="170"/>
  <c r="D81" i="170"/>
  <c r="D79" i="170"/>
  <c r="D77" i="170"/>
  <c r="D62" i="170"/>
  <c r="H3" i="170"/>
  <c r="N3" i="170"/>
  <c r="F4" i="170"/>
  <c r="L4" i="170"/>
  <c r="J5" i="170"/>
  <c r="P5" i="170"/>
  <c r="H6" i="170"/>
  <c r="N6" i="170"/>
  <c r="F7" i="170"/>
  <c r="L7" i="170"/>
  <c r="J8" i="170"/>
  <c r="P8" i="170"/>
  <c r="H9" i="170"/>
  <c r="N9" i="170"/>
  <c r="F10" i="170"/>
  <c r="L10" i="170"/>
  <c r="D14" i="170"/>
  <c r="D16" i="170"/>
  <c r="I17" i="170"/>
  <c r="O17" i="170"/>
  <c r="R17" i="170" s="1"/>
  <c r="D28" i="170"/>
  <c r="D37" i="170" s="1"/>
  <c r="I29" i="170"/>
  <c r="O29" i="170"/>
  <c r="D31" i="170"/>
  <c r="D33" i="170"/>
  <c r="D43" i="170"/>
  <c r="D45" i="170" s="1"/>
  <c r="L56" i="170"/>
  <c r="K59" i="170"/>
  <c r="D97" i="170"/>
  <c r="K4" i="170"/>
  <c r="K7" i="170"/>
  <c r="K10" i="170"/>
  <c r="G4" i="170"/>
  <c r="M4" i="170"/>
  <c r="K5" i="170"/>
  <c r="Q5" i="170"/>
  <c r="G7" i="170"/>
  <c r="M7" i="170"/>
  <c r="K8" i="170"/>
  <c r="G10" i="170"/>
  <c r="M10" i="170"/>
  <c r="R44" i="170"/>
  <c r="J3" i="170"/>
  <c r="P3" i="170"/>
  <c r="H4" i="170"/>
  <c r="N4" i="170"/>
  <c r="F5" i="170"/>
  <c r="L5" i="170"/>
  <c r="H7" i="170"/>
  <c r="N7" i="170"/>
  <c r="F8" i="170"/>
  <c r="L8" i="170"/>
  <c r="H10" i="170"/>
  <c r="N10" i="170"/>
  <c r="F11" i="170"/>
  <c r="R11" i="170" s="1"/>
  <c r="K17" i="170"/>
  <c r="D25" i="170"/>
  <c r="K29" i="170"/>
  <c r="L32" i="170"/>
  <c r="F32" i="170"/>
  <c r="O32" i="170"/>
  <c r="M32" i="170"/>
  <c r="L44" i="170"/>
  <c r="L45" i="170" s="1"/>
  <c r="K3" i="170"/>
  <c r="I4" i="170"/>
  <c r="G5" i="170"/>
  <c r="K6" i="170"/>
  <c r="I7" i="170"/>
  <c r="G8" i="170"/>
  <c r="Q8" i="170" s="1"/>
  <c r="K9" i="170"/>
  <c r="I10" i="170"/>
  <c r="F17" i="170"/>
  <c r="Q17" i="170" s="1"/>
  <c r="L17" i="170"/>
  <c r="F29" i="170"/>
  <c r="L29" i="170"/>
  <c r="R40" i="170"/>
  <c r="P56" i="170"/>
  <c r="J56" i="170"/>
  <c r="O56" i="170"/>
  <c r="I56" i="170"/>
  <c r="N56" i="170"/>
  <c r="H56" i="170"/>
  <c r="M56" i="170"/>
  <c r="G56" i="170"/>
  <c r="M30" i="169"/>
  <c r="G30" i="169"/>
  <c r="N30" i="169"/>
  <c r="F30" i="169"/>
  <c r="Q30" i="169" s="1"/>
  <c r="J30" i="169"/>
  <c r="L57" i="169"/>
  <c r="F57" i="169"/>
  <c r="P57" i="169"/>
  <c r="J57" i="169"/>
  <c r="I57" i="169"/>
  <c r="N57" i="169"/>
  <c r="H57" i="169"/>
  <c r="N6" i="169"/>
  <c r="R11" i="169"/>
  <c r="G17" i="169"/>
  <c r="I26" i="169"/>
  <c r="H30" i="169"/>
  <c r="G57" i="169"/>
  <c r="L64" i="169"/>
  <c r="F64" i="169"/>
  <c r="R64" i="169" s="1"/>
  <c r="J64" i="169"/>
  <c r="O64" i="169"/>
  <c r="G64" i="169"/>
  <c r="M64" i="169"/>
  <c r="H64" i="169"/>
  <c r="H72" i="169"/>
  <c r="D106" i="169"/>
  <c r="D93" i="169" s="1"/>
  <c r="D100" i="169"/>
  <c r="D91" i="169"/>
  <c r="D88" i="169"/>
  <c r="D43" i="169"/>
  <c r="D104" i="169"/>
  <c r="D94" i="169" s="1"/>
  <c r="D98" i="169"/>
  <c r="D89" i="169"/>
  <c r="D81" i="169"/>
  <c r="D79" i="169"/>
  <c r="D77" i="169"/>
  <c r="D62" i="169"/>
  <c r="D107" i="169"/>
  <c r="D95" i="169" s="1"/>
  <c r="D97" i="169"/>
  <c r="D92" i="169" s="1"/>
  <c r="D80" i="169"/>
  <c r="D58" i="169"/>
  <c r="D56" i="169"/>
  <c r="D46" i="169"/>
  <c r="D31" i="169"/>
  <c r="D28" i="169"/>
  <c r="D37" i="169" s="1"/>
  <c r="D16" i="169"/>
  <c r="D14" i="169"/>
  <c r="D99" i="169"/>
  <c r="D63" i="169"/>
  <c r="D60" i="169"/>
  <c r="D52" i="169"/>
  <c r="D51" i="169"/>
  <c r="D27" i="169"/>
  <c r="D103" i="169"/>
  <c r="D75" i="169"/>
  <c r="D66" i="169"/>
  <c r="D55" i="169"/>
  <c r="D42" i="169"/>
  <c r="D10" i="169"/>
  <c r="D7" i="169"/>
  <c r="D4" i="169"/>
  <c r="K3" i="169"/>
  <c r="D5" i="169"/>
  <c r="F6" i="169"/>
  <c r="Q6" i="169" s="1"/>
  <c r="R6" i="169" s="1"/>
  <c r="O6" i="169"/>
  <c r="D8" i="169"/>
  <c r="I9" i="169"/>
  <c r="D12" i="169"/>
  <c r="K13" i="169"/>
  <c r="D15" i="169"/>
  <c r="H17" i="169"/>
  <c r="D24" i="169"/>
  <c r="L29" i="169"/>
  <c r="I30" i="169"/>
  <c r="J33" i="169"/>
  <c r="K57" i="169"/>
  <c r="O59" i="169"/>
  <c r="N61" i="169"/>
  <c r="I64" i="169"/>
  <c r="D67" i="169"/>
  <c r="O26" i="169"/>
  <c r="H26" i="169"/>
  <c r="K26" i="169"/>
  <c r="P26" i="169"/>
  <c r="F26" i="169"/>
  <c r="I72" i="169"/>
  <c r="M72" i="169"/>
  <c r="G72" i="169"/>
  <c r="O72" i="169" s="1"/>
  <c r="R72" i="169" s="1"/>
  <c r="F72" i="169"/>
  <c r="N72" i="169"/>
  <c r="J72" i="169"/>
  <c r="M3" i="169"/>
  <c r="G3" i="169"/>
  <c r="L3" i="169"/>
  <c r="H6" i="169"/>
  <c r="M26" i="169"/>
  <c r="K30" i="169"/>
  <c r="O32" i="169"/>
  <c r="I32" i="169"/>
  <c r="N32" i="169"/>
  <c r="G32" i="169"/>
  <c r="K32" i="169"/>
  <c r="P32" i="169"/>
  <c r="L50" i="169"/>
  <c r="F50" i="169"/>
  <c r="O50" i="169" s="1"/>
  <c r="J50" i="169"/>
  <c r="I50" i="169"/>
  <c r="G50" i="169"/>
  <c r="M50" i="169"/>
  <c r="L54" i="169"/>
  <c r="F54" i="169"/>
  <c r="P54" i="169"/>
  <c r="J54" i="169"/>
  <c r="O54" i="169"/>
  <c r="G54" i="169"/>
  <c r="M54" i="169"/>
  <c r="H54" i="169"/>
  <c r="M57" i="169"/>
  <c r="K64" i="169"/>
  <c r="F68" i="169"/>
  <c r="R68" i="169" s="1"/>
  <c r="L72" i="169"/>
  <c r="I74" i="169"/>
  <c r="M74" i="169"/>
  <c r="G74" i="169"/>
  <c r="J74" i="169"/>
  <c r="L74" i="169"/>
  <c r="F74" i="169"/>
  <c r="O17" i="169"/>
  <c r="I17" i="169"/>
  <c r="M17" i="169"/>
  <c r="F17" i="169"/>
  <c r="Q17" i="169" s="1"/>
  <c r="J17" i="169"/>
  <c r="P17" i="169"/>
  <c r="P30" i="169"/>
  <c r="P6" i="169"/>
  <c r="J6" i="169"/>
  <c r="M6" i="169"/>
  <c r="G6" i="169"/>
  <c r="I6" i="169"/>
  <c r="M13" i="169"/>
  <c r="P13" i="169"/>
  <c r="I13" i="169"/>
  <c r="L13" i="169"/>
  <c r="F13" i="169"/>
  <c r="Q13" i="169" s="1"/>
  <c r="O13" i="169"/>
  <c r="L17" i="169"/>
  <c r="N26" i="169"/>
  <c r="O29" i="169"/>
  <c r="I29" i="169"/>
  <c r="M29" i="169"/>
  <c r="F29" i="169"/>
  <c r="Q29" i="169" s="1"/>
  <c r="J29" i="169"/>
  <c r="P29" i="169"/>
  <c r="L30" i="169"/>
  <c r="L49" i="169"/>
  <c r="F49" i="169"/>
  <c r="J49" i="169"/>
  <c r="M49" i="169"/>
  <c r="H49" i="169"/>
  <c r="N49" i="169"/>
  <c r="L53" i="169"/>
  <c r="F53" i="169"/>
  <c r="O53" i="169" s="1"/>
  <c r="J53" i="169"/>
  <c r="I53" i="169"/>
  <c r="N53" i="169"/>
  <c r="H53" i="169"/>
  <c r="O57" i="169"/>
  <c r="N64" i="169"/>
  <c r="F69" i="169"/>
  <c r="I73" i="169"/>
  <c r="M73" i="169"/>
  <c r="G73" i="169"/>
  <c r="L73" i="169"/>
  <c r="N73" i="169"/>
  <c r="H73" i="169"/>
  <c r="O73" i="169" s="1"/>
  <c r="F82" i="169"/>
  <c r="R82" i="169" s="1"/>
  <c r="Q90" i="169"/>
  <c r="L90" i="169" s="1"/>
  <c r="R90" i="169" s="1"/>
  <c r="L44" i="169"/>
  <c r="L45" i="169" s="1"/>
  <c r="R44" i="169"/>
  <c r="K6" i="169"/>
  <c r="P9" i="169"/>
  <c r="J9" i="169"/>
  <c r="M9" i="169"/>
  <c r="G9" i="169"/>
  <c r="Q9" i="169" s="1"/>
  <c r="N9" i="169"/>
  <c r="G13" i="169"/>
  <c r="N17" i="169"/>
  <c r="G29" i="169"/>
  <c r="O30" i="169"/>
  <c r="N33" i="169"/>
  <c r="L33" i="169"/>
  <c r="Q33" i="169" s="1"/>
  <c r="O33" i="169"/>
  <c r="G33" i="169"/>
  <c r="H33" i="169"/>
  <c r="K33" i="169"/>
  <c r="F36" i="169"/>
  <c r="L36" i="169" s="1"/>
  <c r="R36" i="169"/>
  <c r="G49" i="169"/>
  <c r="K50" i="169"/>
  <c r="G53" i="169"/>
  <c r="N59" i="169"/>
  <c r="H59" i="169"/>
  <c r="L59" i="169"/>
  <c r="F59" i="169"/>
  <c r="I59" i="169"/>
  <c r="G59" i="169"/>
  <c r="M59" i="169"/>
  <c r="O61" i="169"/>
  <c r="I61" i="169"/>
  <c r="M61" i="169"/>
  <c r="G61" i="169"/>
  <c r="Q61" i="169" s="1"/>
  <c r="R61" i="169" s="1"/>
  <c r="J61" i="169"/>
  <c r="L61" i="169"/>
  <c r="F61" i="169"/>
  <c r="L65" i="169"/>
  <c r="F65" i="169"/>
  <c r="O65" i="169" s="1"/>
  <c r="J65" i="169"/>
  <c r="M65" i="169"/>
  <c r="K65" i="169"/>
  <c r="G65" i="169"/>
  <c r="L69" i="169"/>
  <c r="R69" i="169" s="1"/>
  <c r="F71" i="169"/>
  <c r="R71" i="169"/>
  <c r="D76" i="169"/>
  <c r="F73" i="169"/>
  <c r="K74" i="169"/>
  <c r="N33" i="168"/>
  <c r="J33" i="168"/>
  <c r="M33" i="168"/>
  <c r="P33" i="168"/>
  <c r="I33" i="168"/>
  <c r="O33" i="168"/>
  <c r="H33" i="168"/>
  <c r="G33" i="168"/>
  <c r="L33" i="168"/>
  <c r="F33" i="168"/>
  <c r="K33" i="168"/>
  <c r="J12" i="168"/>
  <c r="M12" i="168"/>
  <c r="I12" i="168"/>
  <c r="N12" i="168"/>
  <c r="H12" i="168"/>
  <c r="G12" i="168"/>
  <c r="L12" i="168"/>
  <c r="F12" i="168"/>
  <c r="P30" i="168"/>
  <c r="J30" i="168"/>
  <c r="G30" i="168"/>
  <c r="O30" i="168"/>
  <c r="I30" i="168"/>
  <c r="N30" i="168"/>
  <c r="H30" i="168"/>
  <c r="M30" i="168"/>
  <c r="L30" i="168"/>
  <c r="F30" i="168"/>
  <c r="Q30" i="168" s="1"/>
  <c r="K12" i="168"/>
  <c r="K30" i="168"/>
  <c r="F24" i="168"/>
  <c r="L24" i="168" s="1"/>
  <c r="D102" i="168"/>
  <c r="D93" i="168" s="1"/>
  <c r="D90" i="168"/>
  <c r="D75" i="168"/>
  <c r="D74" i="168"/>
  <c r="D73" i="168"/>
  <c r="D72" i="168"/>
  <c r="D68" i="168"/>
  <c r="D63" i="168"/>
  <c r="D61" i="168"/>
  <c r="D46" i="168"/>
  <c r="D107" i="168"/>
  <c r="D95" i="168" s="1"/>
  <c r="D101" i="168"/>
  <c r="D82" i="168"/>
  <c r="D80" i="168"/>
  <c r="D58" i="168"/>
  <c r="D55" i="168"/>
  <c r="D106" i="168"/>
  <c r="D100" i="168"/>
  <c r="D91" i="168"/>
  <c r="D88" i="168"/>
  <c r="D43" i="168"/>
  <c r="D105" i="168"/>
  <c r="D99" i="168"/>
  <c r="D71" i="168"/>
  <c r="D69" i="168"/>
  <c r="D67" i="168"/>
  <c r="D66" i="168"/>
  <c r="D65" i="168"/>
  <c r="D64" i="168"/>
  <c r="D60" i="168"/>
  <c r="D57" i="168"/>
  <c r="D54" i="168"/>
  <c r="D53" i="168"/>
  <c r="D52" i="168"/>
  <c r="D51" i="168"/>
  <c r="D50" i="168"/>
  <c r="D49" i="168"/>
  <c r="D36" i="168"/>
  <c r="D104" i="168"/>
  <c r="D94" i="168" s="1"/>
  <c r="D98" i="168"/>
  <c r="D89" i="168"/>
  <c r="D81" i="168"/>
  <c r="D79" i="168"/>
  <c r="D77" i="168"/>
  <c r="D62" i="168"/>
  <c r="D9" i="168"/>
  <c r="D6" i="168"/>
  <c r="D3" i="168"/>
  <c r="D16" i="168"/>
  <c r="D32" i="168"/>
  <c r="D29" i="168"/>
  <c r="D17" i="168"/>
  <c r="D15" i="168"/>
  <c r="D31" i="168"/>
  <c r="D14" i="168"/>
  <c r="D103" i="168"/>
  <c r="D11" i="168"/>
  <c r="D8" i="168"/>
  <c r="D5" i="168"/>
  <c r="D2" i="168"/>
  <c r="D97" i="168"/>
  <c r="D92" i="168" s="1"/>
  <c r="D28" i="168"/>
  <c r="D59" i="168"/>
  <c r="D44" i="168"/>
  <c r="D10" i="168"/>
  <c r="D7" i="168"/>
  <c r="D4" i="168"/>
  <c r="D56" i="168"/>
  <c r="D42" i="168"/>
  <c r="D26" i="168"/>
  <c r="P13" i="168"/>
  <c r="J13" i="168"/>
  <c r="M13" i="168"/>
  <c r="O13" i="168"/>
  <c r="I13" i="168"/>
  <c r="N13" i="168"/>
  <c r="H13" i="168"/>
  <c r="G13" i="168"/>
  <c r="L13" i="168"/>
  <c r="F13" i="168"/>
  <c r="Q13" i="168" s="1"/>
  <c r="D27" i="168"/>
  <c r="P54" i="167"/>
  <c r="J54" i="167"/>
  <c r="I54" i="167"/>
  <c r="O54" i="167"/>
  <c r="G54" i="167"/>
  <c r="L54" i="167"/>
  <c r="N54" i="167"/>
  <c r="F54" i="167"/>
  <c r="Q54" i="167" s="1"/>
  <c r="M54" i="167"/>
  <c r="K54" i="167"/>
  <c r="H54" i="167"/>
  <c r="L15" i="167"/>
  <c r="F15" i="167"/>
  <c r="R15" i="167" s="1"/>
  <c r="R71" i="167"/>
  <c r="F71" i="167"/>
  <c r="P17" i="167"/>
  <c r="J17" i="167"/>
  <c r="M17" i="167"/>
  <c r="G17" i="167"/>
  <c r="L17" i="167"/>
  <c r="O17" i="167"/>
  <c r="K17" i="167"/>
  <c r="F17" i="167"/>
  <c r="I17" i="167"/>
  <c r="H17" i="167"/>
  <c r="L33" i="167"/>
  <c r="M33" i="167"/>
  <c r="F33" i="167"/>
  <c r="P33" i="167"/>
  <c r="H33" i="167"/>
  <c r="K33" i="167"/>
  <c r="O33" i="167"/>
  <c r="G33" i="167"/>
  <c r="Q33" i="167" s="1"/>
  <c r="N33" i="167"/>
  <c r="J33" i="167"/>
  <c r="I33" i="167"/>
  <c r="L3" i="167"/>
  <c r="F3" i="167"/>
  <c r="K3" i="167"/>
  <c r="J3" i="167"/>
  <c r="P3" i="167"/>
  <c r="I3" i="167"/>
  <c r="O3" i="167"/>
  <c r="H3" i="167"/>
  <c r="N17" i="167"/>
  <c r="F36" i="167"/>
  <c r="L36" i="167" s="1"/>
  <c r="R36" i="167" s="1"/>
  <c r="H30" i="167"/>
  <c r="D31" i="167"/>
  <c r="D50" i="167"/>
  <c r="H53" i="167"/>
  <c r="D58" i="167"/>
  <c r="D105" i="167"/>
  <c r="R43" i="167"/>
  <c r="N55" i="167"/>
  <c r="H55" i="167"/>
  <c r="J55" i="167"/>
  <c r="K55" i="167"/>
  <c r="O55" i="167"/>
  <c r="F55" i="167"/>
  <c r="Q55" i="167" s="1"/>
  <c r="D10" i="167"/>
  <c r="D11" i="167"/>
  <c r="D14" i="167"/>
  <c r="D16" i="167"/>
  <c r="D28" i="167"/>
  <c r="I30" i="167"/>
  <c r="D44" i="167"/>
  <c r="D46" i="167"/>
  <c r="I53" i="167"/>
  <c r="I55" i="167"/>
  <c r="D59" i="167"/>
  <c r="D88" i="167"/>
  <c r="D106" i="167"/>
  <c r="R80" i="167"/>
  <c r="D7" i="167"/>
  <c r="D8" i="167"/>
  <c r="D9" i="167"/>
  <c r="D32" i="167"/>
  <c r="L55" i="167"/>
  <c r="D64" i="167"/>
  <c r="L30" i="167"/>
  <c r="F30" i="167"/>
  <c r="N30" i="167"/>
  <c r="G30" i="167"/>
  <c r="Q30" i="167" s="1"/>
  <c r="J30" i="167"/>
  <c r="P30" i="167"/>
  <c r="J53" i="167"/>
  <c r="O53" i="167" s="1"/>
  <c r="N53" i="167"/>
  <c r="G53" i="167"/>
  <c r="K53" i="167"/>
  <c r="F53" i="167"/>
  <c r="R53" i="167" s="1"/>
  <c r="D104" i="167"/>
  <c r="D94" i="167" s="1"/>
  <c r="D98" i="167"/>
  <c r="D89" i="167"/>
  <c r="D81" i="167"/>
  <c r="D79" i="167"/>
  <c r="D77" i="167"/>
  <c r="D62" i="167"/>
  <c r="D102" i="167"/>
  <c r="D65" i="167"/>
  <c r="D63" i="167"/>
  <c r="D60" i="167"/>
  <c r="D52" i="167"/>
  <c r="D49" i="167"/>
  <c r="D42" i="167"/>
  <c r="D103" i="167"/>
  <c r="D73" i="167"/>
  <c r="D69" i="167"/>
  <c r="D66" i="167"/>
  <c r="D56" i="167"/>
  <c r="D101" i="167"/>
  <c r="D82" i="167"/>
  <c r="D68" i="167"/>
  <c r="D61" i="167"/>
  <c r="D100" i="167"/>
  <c r="D92" i="167" s="1"/>
  <c r="D91" i="167"/>
  <c r="D75" i="167"/>
  <c r="D107" i="167"/>
  <c r="D95" i="167" s="1"/>
  <c r="D99" i="167"/>
  <c r="D72" i="167"/>
  <c r="D57" i="167"/>
  <c r="D51" i="167"/>
  <c r="D27" i="167"/>
  <c r="D26" i="167"/>
  <c r="D24" i="167"/>
  <c r="D13" i="167"/>
  <c r="D12" i="167"/>
  <c r="D4" i="167"/>
  <c r="D5" i="167"/>
  <c r="D6" i="167"/>
  <c r="D29" i="167"/>
  <c r="M30" i="167"/>
  <c r="M53" i="167"/>
  <c r="M55" i="167"/>
  <c r="D67" i="167"/>
  <c r="D74" i="167"/>
  <c r="D90" i="167"/>
  <c r="F82" i="166"/>
  <c r="R82" i="166"/>
  <c r="F60" i="166"/>
  <c r="R60" i="166" s="1"/>
  <c r="K46" i="166"/>
  <c r="K47" i="166" s="1"/>
  <c r="N46" i="166"/>
  <c r="N47" i="166" s="1"/>
  <c r="M49" i="166"/>
  <c r="L17" i="166"/>
  <c r="F17" i="166"/>
  <c r="J17" i="166"/>
  <c r="P17" i="166"/>
  <c r="I17" i="166"/>
  <c r="O17" i="166"/>
  <c r="N56" i="166"/>
  <c r="H56" i="166"/>
  <c r="L56" i="166"/>
  <c r="F56" i="166"/>
  <c r="I56" i="166"/>
  <c r="M56" i="166"/>
  <c r="P56" i="166"/>
  <c r="O56" i="166"/>
  <c r="F69" i="166"/>
  <c r="R69" i="166"/>
  <c r="M6" i="166"/>
  <c r="G6" i="166"/>
  <c r="Q6" i="166" s="1"/>
  <c r="L6" i="166"/>
  <c r="F6" i="166"/>
  <c r="O6" i="166"/>
  <c r="M8" i="166"/>
  <c r="R11" i="166"/>
  <c r="H17" i="166"/>
  <c r="G53" i="166"/>
  <c r="G56" i="166"/>
  <c r="Q56" i="166" s="1"/>
  <c r="K26" i="166"/>
  <c r="O26" i="166"/>
  <c r="H26" i="166"/>
  <c r="N26" i="166"/>
  <c r="M26" i="166"/>
  <c r="P27" i="166"/>
  <c r="J27" i="166"/>
  <c r="M27" i="166"/>
  <c r="G27" i="166"/>
  <c r="I27" i="166"/>
  <c r="H27" i="166"/>
  <c r="Q27" i="166" s="1"/>
  <c r="P30" i="166"/>
  <c r="J30" i="166"/>
  <c r="M30" i="166"/>
  <c r="G30" i="166"/>
  <c r="L30" i="166"/>
  <c r="K30" i="166"/>
  <c r="L50" i="166"/>
  <c r="F50" i="166"/>
  <c r="J50" i="166"/>
  <c r="M50" i="166"/>
  <c r="H50" i="166"/>
  <c r="K50" i="166"/>
  <c r="I50" i="166"/>
  <c r="I53" i="166"/>
  <c r="J56" i="166"/>
  <c r="I74" i="166"/>
  <c r="M74" i="166"/>
  <c r="G74" i="166"/>
  <c r="L74" i="166"/>
  <c r="H74" i="166"/>
  <c r="K74" i="166"/>
  <c r="J74" i="166"/>
  <c r="D3" i="166"/>
  <c r="D5" i="166"/>
  <c r="I6" i="166"/>
  <c r="G8" i="166"/>
  <c r="Q8" i="166" s="1"/>
  <c r="D16" i="166"/>
  <c r="M17" i="166"/>
  <c r="F26" i="166"/>
  <c r="F27" i="166"/>
  <c r="R27" i="166" s="1"/>
  <c r="D29" i="166"/>
  <c r="F30" i="166"/>
  <c r="Q30" i="166" s="1"/>
  <c r="D32" i="166"/>
  <c r="G50" i="166"/>
  <c r="D52" i="166"/>
  <c r="K56" i="166"/>
  <c r="F74" i="166"/>
  <c r="M9" i="166"/>
  <c r="G9" i="166"/>
  <c r="L9" i="166"/>
  <c r="F9" i="166"/>
  <c r="O9" i="166"/>
  <c r="L49" i="166"/>
  <c r="F49" i="166"/>
  <c r="J49" i="166"/>
  <c r="O49" i="166"/>
  <c r="G49" i="166"/>
  <c r="K49" i="166"/>
  <c r="I49" i="166"/>
  <c r="H49" i="166"/>
  <c r="I73" i="166"/>
  <c r="O73" i="166" s="1"/>
  <c r="M73" i="166"/>
  <c r="G73" i="166"/>
  <c r="F73" i="166"/>
  <c r="R73" i="166" s="1"/>
  <c r="K73" i="166"/>
  <c r="J73" i="166"/>
  <c r="H73" i="166"/>
  <c r="H9" i="166"/>
  <c r="P9" i="166"/>
  <c r="G17" i="166"/>
  <c r="Q17" i="166" s="1"/>
  <c r="L53" i="166"/>
  <c r="F53" i="166"/>
  <c r="O53" i="166" s="1"/>
  <c r="J53" i="166"/>
  <c r="M53" i="166"/>
  <c r="H53" i="166"/>
  <c r="N53" i="166"/>
  <c r="O61" i="166"/>
  <c r="I61" i="166"/>
  <c r="M61" i="166"/>
  <c r="G61" i="166"/>
  <c r="L61" i="166"/>
  <c r="H61" i="166"/>
  <c r="K61" i="166"/>
  <c r="J61" i="166"/>
  <c r="L73" i="166"/>
  <c r="O8" i="166"/>
  <c r="I8" i="166"/>
  <c r="N8" i="166"/>
  <c r="H8" i="166"/>
  <c r="I9" i="166"/>
  <c r="F24" i="166"/>
  <c r="L24" i="166" s="1"/>
  <c r="F46" i="166"/>
  <c r="F47" i="166" s="1"/>
  <c r="N59" i="166"/>
  <c r="H59" i="166"/>
  <c r="L59" i="166"/>
  <c r="F59" i="166"/>
  <c r="Q59" i="166" s="1"/>
  <c r="K59" i="166"/>
  <c r="P59" i="166"/>
  <c r="G59" i="166"/>
  <c r="O59" i="166"/>
  <c r="M59" i="166"/>
  <c r="F61" i="166"/>
  <c r="L69" i="166"/>
  <c r="R71" i="166"/>
  <c r="N73" i="166"/>
  <c r="H6" i="166"/>
  <c r="P6" i="166"/>
  <c r="F8" i="166"/>
  <c r="P8" i="166"/>
  <c r="J9" i="166"/>
  <c r="K17" i="166"/>
  <c r="F36" i="166"/>
  <c r="L36" i="166" s="1"/>
  <c r="D47" i="166"/>
  <c r="P58" i="166"/>
  <c r="J58" i="166"/>
  <c r="N58" i="166"/>
  <c r="H58" i="166"/>
  <c r="R58" i="166" s="1"/>
  <c r="G58" i="166"/>
  <c r="Q58" i="166" s="1"/>
  <c r="L58" i="166"/>
  <c r="O58" i="166"/>
  <c r="M58" i="166"/>
  <c r="I59" i="166"/>
  <c r="N61" i="166"/>
  <c r="D106" i="166"/>
  <c r="D100" i="166"/>
  <c r="D91" i="166"/>
  <c r="D88" i="166"/>
  <c r="D43" i="166"/>
  <c r="D104" i="166"/>
  <c r="D94" i="166" s="1"/>
  <c r="D98" i="166"/>
  <c r="D92" i="166" s="1"/>
  <c r="D89" i="166"/>
  <c r="D81" i="166"/>
  <c r="D79" i="166"/>
  <c r="D77" i="166"/>
  <c r="D62" i="166"/>
  <c r="D101" i="166"/>
  <c r="D55" i="166"/>
  <c r="D105" i="166"/>
  <c r="D75" i="166"/>
  <c r="D72" i="166"/>
  <c r="D67" i="166"/>
  <c r="D64" i="166"/>
  <c r="D54" i="166"/>
  <c r="D51" i="166"/>
  <c r="D70" i="166" s="1"/>
  <c r="D44" i="166"/>
  <c r="D31" i="166"/>
  <c r="D28" i="166"/>
  <c r="D107" i="166"/>
  <c r="D95" i="166" s="1"/>
  <c r="D80" i="166"/>
  <c r="D68" i="166"/>
  <c r="D65" i="166"/>
  <c r="D42" i="166"/>
  <c r="D10" i="166"/>
  <c r="D7" i="166"/>
  <c r="D4" i="166"/>
  <c r="D102" i="166"/>
  <c r="D93" i="166" s="1"/>
  <c r="D103" i="166"/>
  <c r="D90" i="166"/>
  <c r="D66" i="166"/>
  <c r="D63" i="166"/>
  <c r="D33" i="166"/>
  <c r="D15" i="166"/>
  <c r="D14" i="166"/>
  <c r="D13" i="166"/>
  <c r="D12" i="166"/>
  <c r="J6" i="166"/>
  <c r="J8" i="166"/>
  <c r="N9" i="166"/>
  <c r="N17" i="166"/>
  <c r="I26" i="166"/>
  <c r="K27" i="166"/>
  <c r="H30" i="166"/>
  <c r="D37" i="166"/>
  <c r="N50" i="166"/>
  <c r="D57" i="166"/>
  <c r="I58" i="166"/>
  <c r="N74" i="166"/>
  <c r="R40" i="166"/>
  <c r="P54" i="165"/>
  <c r="J54" i="165"/>
  <c r="O54" i="165"/>
  <c r="I54" i="165"/>
  <c r="L54" i="165"/>
  <c r="H54" i="165"/>
  <c r="G54" i="165"/>
  <c r="N54" i="165"/>
  <c r="F54" i="165"/>
  <c r="Q54" i="165" s="1"/>
  <c r="M54" i="165"/>
  <c r="K54" i="165"/>
  <c r="D4" i="165"/>
  <c r="D50" i="165"/>
  <c r="D64" i="165"/>
  <c r="D104" i="165"/>
  <c r="D94" i="165" s="1"/>
  <c r="D98" i="165"/>
  <c r="D89" i="165"/>
  <c r="D81" i="165"/>
  <c r="D79" i="165"/>
  <c r="D77" i="165"/>
  <c r="D62" i="165"/>
  <c r="D103" i="165"/>
  <c r="D97" i="165"/>
  <c r="D59" i="165"/>
  <c r="D56" i="165"/>
  <c r="D44" i="165"/>
  <c r="D42" i="165"/>
  <c r="D33" i="165"/>
  <c r="D102" i="165"/>
  <c r="D91" i="165"/>
  <c r="D74" i="165"/>
  <c r="D63" i="165"/>
  <c r="D61" i="165"/>
  <c r="D100" i="165"/>
  <c r="D90" i="165"/>
  <c r="D88" i="165"/>
  <c r="D73" i="165"/>
  <c r="D68" i="165"/>
  <c r="D43" i="165"/>
  <c r="D107" i="165"/>
  <c r="D95" i="165" s="1"/>
  <c r="D99" i="165"/>
  <c r="D80" i="165"/>
  <c r="D65" i="165"/>
  <c r="D60" i="165"/>
  <c r="D58" i="165"/>
  <c r="D52" i="165"/>
  <c r="D49" i="165"/>
  <c r="D46" i="165"/>
  <c r="D30" i="165"/>
  <c r="D27" i="165"/>
  <c r="D26" i="165"/>
  <c r="D24" i="165"/>
  <c r="D106" i="165"/>
  <c r="D75" i="165"/>
  <c r="D72" i="165"/>
  <c r="D82" i="165"/>
  <c r="D66" i="165"/>
  <c r="D28" i="165"/>
  <c r="D16" i="165"/>
  <c r="D14" i="165"/>
  <c r="D13" i="165"/>
  <c r="D12" i="165"/>
  <c r="D71" i="165"/>
  <c r="D51" i="165"/>
  <c r="D9" i="165"/>
  <c r="D6" i="165"/>
  <c r="D3" i="165"/>
  <c r="D105" i="165"/>
  <c r="D69" i="165"/>
  <c r="D57" i="165"/>
  <c r="D55" i="165"/>
  <c r="D53" i="165"/>
  <c r="D36" i="165"/>
  <c r="D31" i="165"/>
  <c r="D29" i="165"/>
  <c r="D17" i="165"/>
  <c r="D15" i="165"/>
  <c r="D32" i="165"/>
  <c r="D101" i="165"/>
  <c r="D67" i="165"/>
  <c r="D11" i="165"/>
  <c r="D8" i="165"/>
  <c r="D5" i="165"/>
  <c r="D2" i="165"/>
  <c r="D7" i="165"/>
  <c r="D10" i="165"/>
  <c r="M33" i="164"/>
  <c r="G33" i="164"/>
  <c r="J33" i="164"/>
  <c r="N33" i="164"/>
  <c r="F33" i="164"/>
  <c r="L33" i="164"/>
  <c r="K33" i="164"/>
  <c r="I33" i="164"/>
  <c r="N9" i="164"/>
  <c r="H9" i="164"/>
  <c r="M9" i="164"/>
  <c r="G9" i="164"/>
  <c r="L9" i="164"/>
  <c r="F9" i="164"/>
  <c r="Q9" i="164" s="1"/>
  <c r="H33" i="164"/>
  <c r="Q33" i="164" s="1"/>
  <c r="I3" i="164"/>
  <c r="I9" i="164"/>
  <c r="O33" i="164"/>
  <c r="L44" i="164"/>
  <c r="L45" i="164" s="1"/>
  <c r="J3" i="164"/>
  <c r="F5" i="164"/>
  <c r="L8" i="164"/>
  <c r="J9" i="164"/>
  <c r="F11" i="164"/>
  <c r="R11" i="164" s="1"/>
  <c r="O17" i="164"/>
  <c r="I17" i="164"/>
  <c r="N17" i="164"/>
  <c r="H17" i="164"/>
  <c r="M17" i="164"/>
  <c r="G17" i="164"/>
  <c r="R17" i="164" s="1"/>
  <c r="Q17" i="164"/>
  <c r="O29" i="164"/>
  <c r="L31" i="164"/>
  <c r="F31" i="164"/>
  <c r="O31" i="164"/>
  <c r="I31" i="164"/>
  <c r="K31" i="164"/>
  <c r="J31" i="164"/>
  <c r="H31" i="164"/>
  <c r="P33" i="164"/>
  <c r="N61" i="164"/>
  <c r="H61" i="164"/>
  <c r="K61" i="164"/>
  <c r="J61" i="164"/>
  <c r="M61" i="164"/>
  <c r="F61" i="164"/>
  <c r="O61" i="164"/>
  <c r="L61" i="164"/>
  <c r="I61" i="164"/>
  <c r="P5" i="164"/>
  <c r="J5" i="164"/>
  <c r="O5" i="164"/>
  <c r="I5" i="164"/>
  <c r="N5" i="164"/>
  <c r="H5" i="164"/>
  <c r="G5" i="164"/>
  <c r="N6" i="164"/>
  <c r="H6" i="164"/>
  <c r="M6" i="164"/>
  <c r="G6" i="164"/>
  <c r="Q6" i="164" s="1"/>
  <c r="L6" i="164"/>
  <c r="F6" i="164"/>
  <c r="K9" i="164"/>
  <c r="F68" i="164"/>
  <c r="R68" i="164" s="1"/>
  <c r="I62" i="164"/>
  <c r="N62" i="164"/>
  <c r="N3" i="164"/>
  <c r="H3" i="164"/>
  <c r="M3" i="164"/>
  <c r="G3" i="164"/>
  <c r="L3" i="164"/>
  <c r="F3" i="164"/>
  <c r="R3" i="164" s="1"/>
  <c r="Q3" i="164"/>
  <c r="F15" i="164"/>
  <c r="L15" i="164" s="1"/>
  <c r="R15" i="164" s="1"/>
  <c r="R43" i="164"/>
  <c r="R62" i="164"/>
  <c r="O3" i="164"/>
  <c r="K5" i="164"/>
  <c r="P8" i="164"/>
  <c r="J8" i="164"/>
  <c r="O8" i="164"/>
  <c r="I8" i="164"/>
  <c r="N8" i="164"/>
  <c r="H8" i="164"/>
  <c r="O9" i="164"/>
  <c r="P29" i="164"/>
  <c r="J29" i="164"/>
  <c r="M29" i="164"/>
  <c r="G29" i="164"/>
  <c r="Q29" i="164" s="1"/>
  <c r="L29" i="164"/>
  <c r="K29" i="164"/>
  <c r="I29" i="164"/>
  <c r="R29" i="164" s="1"/>
  <c r="R40" i="164"/>
  <c r="D12" i="164"/>
  <c r="D13" i="164"/>
  <c r="D24" i="164"/>
  <c r="D28" i="164"/>
  <c r="D63" i="164"/>
  <c r="D77" i="164"/>
  <c r="R82" i="164"/>
  <c r="D91" i="164"/>
  <c r="D4" i="164"/>
  <c r="D25" i="164" s="1"/>
  <c r="D7" i="164"/>
  <c r="D10" i="164"/>
  <c r="D32" i="164"/>
  <c r="D74" i="164"/>
  <c r="D102" i="164"/>
  <c r="D93" i="164" s="1"/>
  <c r="D90" i="164"/>
  <c r="D105" i="164"/>
  <c r="D99" i="164"/>
  <c r="D92" i="164" s="1"/>
  <c r="D71" i="164"/>
  <c r="D69" i="164"/>
  <c r="D67" i="164"/>
  <c r="D66" i="164"/>
  <c r="D65" i="164"/>
  <c r="D64" i="164"/>
  <c r="D60" i="164"/>
  <c r="D57" i="164"/>
  <c r="D54" i="164"/>
  <c r="D53" i="164"/>
  <c r="D52" i="164"/>
  <c r="D51" i="164"/>
  <c r="D50" i="164"/>
  <c r="D49" i="164"/>
  <c r="D36" i="164"/>
  <c r="D101" i="164"/>
  <c r="D79" i="164"/>
  <c r="D56" i="164"/>
  <c r="D55" i="164"/>
  <c r="D100" i="164"/>
  <c r="D88" i="164"/>
  <c r="D81" i="164"/>
  <c r="D75" i="164"/>
  <c r="D72" i="164"/>
  <c r="D59" i="164"/>
  <c r="D58" i="164"/>
  <c r="D46" i="164"/>
  <c r="D104" i="164"/>
  <c r="D94" i="164" s="1"/>
  <c r="D89" i="164"/>
  <c r="D80" i="164"/>
  <c r="D42" i="164"/>
  <c r="D30" i="164"/>
  <c r="D27" i="164"/>
  <c r="D26" i="164"/>
  <c r="D14" i="164"/>
  <c r="D16" i="164"/>
  <c r="D73" i="164"/>
  <c r="D98" i="164"/>
  <c r="M4" i="163"/>
  <c r="G4" i="163"/>
  <c r="L4" i="163"/>
  <c r="F4" i="163"/>
  <c r="Q4" i="163" s="1"/>
  <c r="O4" i="163"/>
  <c r="I4" i="163"/>
  <c r="N4" i="163"/>
  <c r="N10" i="163"/>
  <c r="F15" i="163"/>
  <c r="L15" i="163"/>
  <c r="R15" i="163" s="1"/>
  <c r="P32" i="163"/>
  <c r="O32" i="163"/>
  <c r="J32" i="163"/>
  <c r="I32" i="163"/>
  <c r="L32" i="163"/>
  <c r="F32" i="163"/>
  <c r="N32" i="163"/>
  <c r="M32" i="163"/>
  <c r="K32" i="163"/>
  <c r="G32" i="163"/>
  <c r="Q32" i="163" s="1"/>
  <c r="Q90" i="163"/>
  <c r="L90" i="163" s="1"/>
  <c r="R90" i="163" s="1"/>
  <c r="P4" i="163"/>
  <c r="J7" i="163"/>
  <c r="Q7" i="163" s="1"/>
  <c r="H32" i="163"/>
  <c r="M10" i="163"/>
  <c r="G10" i="163"/>
  <c r="L10" i="163"/>
  <c r="F10" i="163"/>
  <c r="O10" i="163"/>
  <c r="I10" i="163"/>
  <c r="N33" i="163"/>
  <c r="H33" i="163"/>
  <c r="M33" i="163"/>
  <c r="G33" i="163"/>
  <c r="L33" i="163"/>
  <c r="K33" i="163"/>
  <c r="P33" i="163"/>
  <c r="F33" i="163"/>
  <c r="O33" i="163"/>
  <c r="I33" i="163"/>
  <c r="H4" i="163"/>
  <c r="N7" i="163"/>
  <c r="H10" i="163"/>
  <c r="J33" i="163"/>
  <c r="F80" i="163"/>
  <c r="R80" i="163" s="1"/>
  <c r="J4" i="163"/>
  <c r="J10" i="163"/>
  <c r="N12" i="163"/>
  <c r="H12" i="163"/>
  <c r="M12" i="163"/>
  <c r="G12" i="163"/>
  <c r="O12" i="163" s="1"/>
  <c r="R12" i="163"/>
  <c r="J12" i="163"/>
  <c r="N13" i="163"/>
  <c r="H13" i="163"/>
  <c r="M13" i="163"/>
  <c r="G13" i="163"/>
  <c r="Q13" i="163" s="1"/>
  <c r="R13" i="163" s="1"/>
  <c r="J13" i="163"/>
  <c r="I13" i="163"/>
  <c r="L13" i="163"/>
  <c r="L44" i="163"/>
  <c r="L45" i="163" s="1"/>
  <c r="K4" i="163"/>
  <c r="M7" i="163"/>
  <c r="G7" i="163"/>
  <c r="L7" i="163"/>
  <c r="R7" i="163" s="1"/>
  <c r="F7" i="163"/>
  <c r="O7" i="163"/>
  <c r="I7" i="163"/>
  <c r="K10" i="163"/>
  <c r="P17" i="163"/>
  <c r="J17" i="163"/>
  <c r="O17" i="163"/>
  <c r="I17" i="163"/>
  <c r="L17" i="163"/>
  <c r="F17" i="163"/>
  <c r="Q17" i="163" s="1"/>
  <c r="H17" i="163"/>
  <c r="G17" i="163"/>
  <c r="M17" i="163"/>
  <c r="M72" i="163"/>
  <c r="D3" i="163"/>
  <c r="D6" i="163"/>
  <c r="D9" i="163"/>
  <c r="D26" i="163"/>
  <c r="D27" i="163"/>
  <c r="D58" i="163"/>
  <c r="D77" i="163"/>
  <c r="D79" i="163"/>
  <c r="P29" i="163"/>
  <c r="J29" i="163"/>
  <c r="O29" i="163"/>
  <c r="I29" i="163"/>
  <c r="L29" i="163"/>
  <c r="F29" i="163"/>
  <c r="I75" i="163"/>
  <c r="N75" i="163"/>
  <c r="H75" i="163"/>
  <c r="J75" i="163"/>
  <c r="G75" i="163"/>
  <c r="L75" i="163"/>
  <c r="D106" i="163"/>
  <c r="D100" i="163"/>
  <c r="D91" i="163"/>
  <c r="D88" i="163"/>
  <c r="D43" i="163"/>
  <c r="D105" i="163"/>
  <c r="D99" i="163"/>
  <c r="D71" i="163"/>
  <c r="D69" i="163"/>
  <c r="D67" i="163"/>
  <c r="D66" i="163"/>
  <c r="D65" i="163"/>
  <c r="D64" i="163"/>
  <c r="D60" i="163"/>
  <c r="D57" i="163"/>
  <c r="D54" i="163"/>
  <c r="D53" i="163"/>
  <c r="D52" i="163"/>
  <c r="D51" i="163"/>
  <c r="D50" i="163"/>
  <c r="D49" i="163"/>
  <c r="D36" i="163"/>
  <c r="D102" i="163"/>
  <c r="D55" i="163"/>
  <c r="D101" i="163"/>
  <c r="D73" i="163"/>
  <c r="D68" i="163"/>
  <c r="D62" i="163"/>
  <c r="D31" i="163"/>
  <c r="D28" i="163"/>
  <c r="D16" i="163"/>
  <c r="D14" i="163"/>
  <c r="D104" i="163"/>
  <c r="D94" i="163" s="1"/>
  <c r="D89" i="163"/>
  <c r="D82" i="163"/>
  <c r="D59" i="163"/>
  <c r="D24" i="163"/>
  <c r="G29" i="163"/>
  <c r="D30" i="163"/>
  <c r="D42" i="163"/>
  <c r="D56" i="163"/>
  <c r="F75" i="163"/>
  <c r="O75" i="163" s="1"/>
  <c r="D97" i="163"/>
  <c r="I72" i="163"/>
  <c r="N72" i="163"/>
  <c r="H72" i="163"/>
  <c r="J72" i="163"/>
  <c r="G72" i="163"/>
  <c r="L72" i="163"/>
  <c r="R81" i="163"/>
  <c r="F81" i="163"/>
  <c r="D2" i="163"/>
  <c r="D5" i="163"/>
  <c r="D8" i="163"/>
  <c r="D11" i="163"/>
  <c r="H29" i="163"/>
  <c r="D46" i="163"/>
  <c r="D61" i="163"/>
  <c r="D63" i="163"/>
  <c r="K72" i="163"/>
  <c r="D74" i="163"/>
  <c r="K75" i="163"/>
  <c r="D98" i="163"/>
  <c r="L15" i="162"/>
  <c r="R15" i="162" s="1"/>
  <c r="K3" i="162"/>
  <c r="K6" i="162"/>
  <c r="K9" i="162"/>
  <c r="N32" i="162"/>
  <c r="H32" i="162"/>
  <c r="L32" i="162"/>
  <c r="F32" i="162"/>
  <c r="O32" i="162"/>
  <c r="N75" i="162"/>
  <c r="H75" i="162"/>
  <c r="M75" i="162"/>
  <c r="G75" i="162"/>
  <c r="L75" i="162"/>
  <c r="J75" i="162"/>
  <c r="K93" i="162"/>
  <c r="O93" i="162"/>
  <c r="I93" i="162"/>
  <c r="N93" i="162"/>
  <c r="H93" i="162"/>
  <c r="P93" i="162"/>
  <c r="L93" i="162"/>
  <c r="F3" i="162"/>
  <c r="Q3" i="162" s="1"/>
  <c r="L3" i="162"/>
  <c r="J4" i="162"/>
  <c r="P4" i="162"/>
  <c r="H5" i="162"/>
  <c r="Q5" i="162" s="1"/>
  <c r="N5" i="162"/>
  <c r="F6" i="162"/>
  <c r="Q6" i="162" s="1"/>
  <c r="L6" i="162"/>
  <c r="J7" i="162"/>
  <c r="P7" i="162"/>
  <c r="H8" i="162"/>
  <c r="N8" i="162"/>
  <c r="F9" i="162"/>
  <c r="R9" i="162" s="1"/>
  <c r="L9" i="162"/>
  <c r="J10" i="162"/>
  <c r="H12" i="162"/>
  <c r="D13" i="162"/>
  <c r="I14" i="162"/>
  <c r="I16" i="162"/>
  <c r="M17" i="162"/>
  <c r="R24" i="162"/>
  <c r="I26" i="162"/>
  <c r="D27" i="162"/>
  <c r="I28" i="162"/>
  <c r="M29" i="162"/>
  <c r="H30" i="162"/>
  <c r="G32" i="162"/>
  <c r="P32" i="162"/>
  <c r="D46" i="162"/>
  <c r="J56" i="162"/>
  <c r="R56" i="162" s="1"/>
  <c r="J58" i="162"/>
  <c r="D61" i="162"/>
  <c r="D74" i="162"/>
  <c r="F75" i="162"/>
  <c r="O75" i="162" s="1"/>
  <c r="R75" i="162" s="1"/>
  <c r="G93" i="162"/>
  <c r="Q93" i="162" s="1"/>
  <c r="G3" i="162"/>
  <c r="K7" i="162"/>
  <c r="G9" i="162"/>
  <c r="M9" i="162"/>
  <c r="K10" i="162"/>
  <c r="P31" i="162"/>
  <c r="J31" i="162"/>
  <c r="N31" i="162"/>
  <c r="H31" i="162"/>
  <c r="I32" i="162"/>
  <c r="N73" i="162"/>
  <c r="H73" i="162"/>
  <c r="M73" i="162"/>
  <c r="G73" i="162"/>
  <c r="J73" i="162"/>
  <c r="F73" i="162"/>
  <c r="I75" i="162"/>
  <c r="D107" i="162"/>
  <c r="D95" i="162" s="1"/>
  <c r="D101" i="162"/>
  <c r="D82" i="162"/>
  <c r="D80" i="162"/>
  <c r="D105" i="162"/>
  <c r="D99" i="162"/>
  <c r="D71" i="162"/>
  <c r="D69" i="162"/>
  <c r="D67" i="162"/>
  <c r="D66" i="162"/>
  <c r="D65" i="162"/>
  <c r="D64" i="162"/>
  <c r="D60" i="162"/>
  <c r="D57" i="162"/>
  <c r="D54" i="162"/>
  <c r="D53" i="162"/>
  <c r="D52" i="162"/>
  <c r="D51" i="162"/>
  <c r="D50" i="162"/>
  <c r="D49" i="162"/>
  <c r="D36" i="162"/>
  <c r="D104" i="162"/>
  <c r="D94" i="162" s="1"/>
  <c r="D98" i="162"/>
  <c r="D89" i="162"/>
  <c r="D81" i="162"/>
  <c r="D79" i="162"/>
  <c r="D77" i="162"/>
  <c r="D62" i="162"/>
  <c r="D100" i="162"/>
  <c r="D91" i="162"/>
  <c r="D88" i="162"/>
  <c r="D59" i="162"/>
  <c r="D44" i="162"/>
  <c r="D45" i="162" s="1"/>
  <c r="D90" i="162"/>
  <c r="D55" i="162"/>
  <c r="H3" i="162"/>
  <c r="N3" i="162"/>
  <c r="F4" i="162"/>
  <c r="L4" i="162"/>
  <c r="J5" i="162"/>
  <c r="R5" i="162" s="1"/>
  <c r="P5" i="162"/>
  <c r="H6" i="162"/>
  <c r="N6" i="162"/>
  <c r="F7" i="162"/>
  <c r="L7" i="162"/>
  <c r="J8" i="162"/>
  <c r="P8" i="162"/>
  <c r="H9" i="162"/>
  <c r="N9" i="162"/>
  <c r="F10" i="162"/>
  <c r="L10" i="162"/>
  <c r="D11" i="162"/>
  <c r="K12" i="162"/>
  <c r="G17" i="162"/>
  <c r="M26" i="162"/>
  <c r="G29" i="162"/>
  <c r="P29" i="162"/>
  <c r="K30" i="162"/>
  <c r="F31" i="162"/>
  <c r="O31" i="162"/>
  <c r="J32" i="162"/>
  <c r="D33" i="162"/>
  <c r="R40" i="162"/>
  <c r="D63" i="162"/>
  <c r="I73" i="162"/>
  <c r="K75" i="162"/>
  <c r="M93" i="162"/>
  <c r="M3" i="162"/>
  <c r="N17" i="162"/>
  <c r="H17" i="162"/>
  <c r="L17" i="162"/>
  <c r="F17" i="162"/>
  <c r="R17" i="162" s="1"/>
  <c r="O17" i="162"/>
  <c r="O29" i="162"/>
  <c r="N72" i="162"/>
  <c r="H72" i="162"/>
  <c r="M72" i="162"/>
  <c r="G72" i="162"/>
  <c r="L72" i="162"/>
  <c r="J72" i="162"/>
  <c r="I3" i="162"/>
  <c r="O3" i="162"/>
  <c r="G4" i="162"/>
  <c r="R4" i="162" s="1"/>
  <c r="M4" i="162"/>
  <c r="K5" i="162"/>
  <c r="I6" i="162"/>
  <c r="O6" i="162"/>
  <c r="G7" i="162"/>
  <c r="M7" i="162"/>
  <c r="K8" i="162"/>
  <c r="I9" i="162"/>
  <c r="Q9" i="162" s="1"/>
  <c r="O9" i="162"/>
  <c r="G10" i="162"/>
  <c r="M10" i="162"/>
  <c r="P14" i="162"/>
  <c r="Q14" i="162" s="1"/>
  <c r="J14" i="162"/>
  <c r="N14" i="162"/>
  <c r="H14" i="162"/>
  <c r="M14" i="162"/>
  <c r="P16" i="162"/>
  <c r="J16" i="162"/>
  <c r="N16" i="162"/>
  <c r="H16" i="162"/>
  <c r="M16" i="162"/>
  <c r="I17" i="162"/>
  <c r="P28" i="162"/>
  <c r="J28" i="162"/>
  <c r="N28" i="162"/>
  <c r="H28" i="162"/>
  <c r="M28" i="162"/>
  <c r="I29" i="162"/>
  <c r="G31" i="162"/>
  <c r="Q31" i="162" s="1"/>
  <c r="K32" i="162"/>
  <c r="R42" i="162"/>
  <c r="I42" i="162"/>
  <c r="I45" i="162" s="1"/>
  <c r="F68" i="162"/>
  <c r="R68" i="162" s="1"/>
  <c r="I72" i="162"/>
  <c r="K73" i="162"/>
  <c r="K4" i="162"/>
  <c r="Q4" i="162"/>
  <c r="G6" i="162"/>
  <c r="M6" i="162"/>
  <c r="F15" i="162"/>
  <c r="N29" i="162"/>
  <c r="H29" i="162"/>
  <c r="L29" i="162"/>
  <c r="F29" i="162"/>
  <c r="Q29" i="162" s="1"/>
  <c r="M31" i="162"/>
  <c r="J3" i="162"/>
  <c r="H4" i="162"/>
  <c r="J6" i="162"/>
  <c r="H7" i="162"/>
  <c r="J9" i="162"/>
  <c r="H10" i="162"/>
  <c r="N10" i="162"/>
  <c r="L12" i="162"/>
  <c r="F12" i="162"/>
  <c r="J12" i="162"/>
  <c r="N12" i="162"/>
  <c r="J17" i="162"/>
  <c r="Q17" i="162" s="1"/>
  <c r="N26" i="162"/>
  <c r="F26" i="162"/>
  <c r="K26" i="162"/>
  <c r="P26" i="162"/>
  <c r="F28" i="162"/>
  <c r="Q28" i="162" s="1"/>
  <c r="O28" i="162"/>
  <c r="J29" i="162"/>
  <c r="L30" i="162"/>
  <c r="F30" i="162"/>
  <c r="Q30" i="162" s="1"/>
  <c r="P30" i="162"/>
  <c r="J30" i="162"/>
  <c r="N30" i="162"/>
  <c r="I31" i="162"/>
  <c r="M32" i="162"/>
  <c r="M56" i="162"/>
  <c r="G56" i="162"/>
  <c r="L56" i="162"/>
  <c r="F56" i="162"/>
  <c r="K56" i="162"/>
  <c r="Q56" i="162"/>
  <c r="I56" i="162"/>
  <c r="O58" i="162"/>
  <c r="I58" i="162"/>
  <c r="N58" i="162"/>
  <c r="H58" i="162"/>
  <c r="K58" i="162"/>
  <c r="G58" i="162"/>
  <c r="Q58" i="162" s="1"/>
  <c r="K72" i="162"/>
  <c r="L73" i="162"/>
  <c r="N3" i="161"/>
  <c r="H3" i="161"/>
  <c r="M3" i="161"/>
  <c r="G3" i="161"/>
  <c r="L3" i="161"/>
  <c r="F3" i="161"/>
  <c r="P3" i="161"/>
  <c r="J3" i="161"/>
  <c r="O8" i="161"/>
  <c r="I8" i="161"/>
  <c r="M8" i="161"/>
  <c r="G8" i="161"/>
  <c r="L8" i="161"/>
  <c r="K8" i="161"/>
  <c r="J8" i="161"/>
  <c r="P8" i="161"/>
  <c r="F8" i="161"/>
  <c r="K3" i="161"/>
  <c r="H8" i="161"/>
  <c r="Q8" i="161" s="1"/>
  <c r="L13" i="161"/>
  <c r="F13" i="161"/>
  <c r="P13" i="161"/>
  <c r="J13" i="161"/>
  <c r="I13" i="161"/>
  <c r="H13" i="161"/>
  <c r="O13" i="161"/>
  <c r="G13" i="161"/>
  <c r="M13" i="161"/>
  <c r="F24" i="161"/>
  <c r="R24" i="161" s="1"/>
  <c r="L24" i="161"/>
  <c r="R40" i="161"/>
  <c r="O55" i="161"/>
  <c r="I55" i="161"/>
  <c r="N55" i="161"/>
  <c r="H55" i="161"/>
  <c r="M55" i="161"/>
  <c r="G55" i="161"/>
  <c r="P55" i="161"/>
  <c r="K55" i="161"/>
  <c r="F55" i="161"/>
  <c r="Q55" i="161" s="1"/>
  <c r="R55" i="161" s="1"/>
  <c r="L55" i="161"/>
  <c r="N46" i="161"/>
  <c r="N47" i="161" s="1"/>
  <c r="K46" i="161"/>
  <c r="K47" i="161" s="1"/>
  <c r="F46" i="161"/>
  <c r="F47" i="161" s="1"/>
  <c r="D47" i="161"/>
  <c r="I3" i="161"/>
  <c r="O3" i="161"/>
  <c r="O5" i="161"/>
  <c r="M5" i="161"/>
  <c r="J5" i="161"/>
  <c r="I5" i="161"/>
  <c r="P5" i="161"/>
  <c r="H5" i="161"/>
  <c r="L5" i="161"/>
  <c r="F5" i="161"/>
  <c r="Q5" i="161" s="1"/>
  <c r="N8" i="161"/>
  <c r="K13" i="161"/>
  <c r="J55" i="161"/>
  <c r="F80" i="161"/>
  <c r="R80" i="161" s="1"/>
  <c r="N26" i="161"/>
  <c r="F26" i="161"/>
  <c r="K26" i="161"/>
  <c r="O26" i="161"/>
  <c r="I26" i="161"/>
  <c r="M26" i="161"/>
  <c r="J26" i="161"/>
  <c r="Q26" i="161"/>
  <c r="R26" i="161" s="1"/>
  <c r="H26" i="161"/>
  <c r="L12" i="161"/>
  <c r="F12" i="161"/>
  <c r="J12" i="161"/>
  <c r="O12" i="161" s="1"/>
  <c r="M12" i="161"/>
  <c r="K12" i="161"/>
  <c r="I12" i="161"/>
  <c r="G12" i="161"/>
  <c r="L30" i="161"/>
  <c r="F30" i="161"/>
  <c r="P30" i="161"/>
  <c r="J30" i="161"/>
  <c r="M30" i="161"/>
  <c r="H30" i="161"/>
  <c r="K30" i="161"/>
  <c r="I30" i="161"/>
  <c r="O30" i="161"/>
  <c r="G30" i="161"/>
  <c r="M27" i="161"/>
  <c r="D32" i="161"/>
  <c r="D68" i="161"/>
  <c r="D73" i="161"/>
  <c r="D102" i="161"/>
  <c r="D93" i="161" s="1"/>
  <c r="D15" i="161"/>
  <c r="D17" i="161"/>
  <c r="G27" i="161"/>
  <c r="D29" i="161"/>
  <c r="D31" i="161"/>
  <c r="D43" i="161"/>
  <c r="D72" i="161"/>
  <c r="D75" i="161"/>
  <c r="L27" i="161"/>
  <c r="F27" i="161"/>
  <c r="R27" i="161" s="1"/>
  <c r="P27" i="161"/>
  <c r="J27" i="161"/>
  <c r="D4" i="161"/>
  <c r="D25" i="161" s="1"/>
  <c r="D11" i="161"/>
  <c r="H27" i="161"/>
  <c r="Q27" i="161" s="1"/>
  <c r="D36" i="161"/>
  <c r="N27" i="161"/>
  <c r="D106" i="161"/>
  <c r="D100" i="161"/>
  <c r="D91" i="161"/>
  <c r="D88" i="161"/>
  <c r="D105" i="161"/>
  <c r="D99" i="161"/>
  <c r="D71" i="161"/>
  <c r="D69" i="161"/>
  <c r="D67" i="161"/>
  <c r="D66" i="161"/>
  <c r="D65" i="161"/>
  <c r="D64" i="161"/>
  <c r="D60" i="161"/>
  <c r="D57" i="161"/>
  <c r="D54" i="161"/>
  <c r="D53" i="161"/>
  <c r="D52" i="161"/>
  <c r="D51" i="161"/>
  <c r="D50" i="161"/>
  <c r="D49" i="161"/>
  <c r="D104" i="161"/>
  <c r="D94" i="161" s="1"/>
  <c r="D98" i="161"/>
  <c r="D89" i="161"/>
  <c r="D81" i="161"/>
  <c r="D79" i="161"/>
  <c r="D77" i="161"/>
  <c r="D62" i="161"/>
  <c r="D103" i="161"/>
  <c r="D97" i="161"/>
  <c r="D59" i="161"/>
  <c r="D56" i="161"/>
  <c r="D44" i="161"/>
  <c r="D42" i="161"/>
  <c r="D33" i="161"/>
  <c r="D10" i="161"/>
  <c r="D7" i="161"/>
  <c r="D90" i="161"/>
  <c r="D82" i="161"/>
  <c r="D58" i="161"/>
  <c r="D9" i="161"/>
  <c r="D6" i="161"/>
  <c r="D14" i="161"/>
  <c r="D16" i="161"/>
  <c r="I27" i="161"/>
  <c r="D28" i="161"/>
  <c r="D61" i="161"/>
  <c r="D63" i="161"/>
  <c r="D74" i="161"/>
  <c r="N73" i="160"/>
  <c r="H73" i="160"/>
  <c r="K73" i="160"/>
  <c r="J73" i="160"/>
  <c r="L73" i="160"/>
  <c r="G73" i="160"/>
  <c r="F73" i="160"/>
  <c r="I73" i="160"/>
  <c r="M73" i="160"/>
  <c r="R63" i="160"/>
  <c r="D16" i="160"/>
  <c r="D72" i="160"/>
  <c r="D4" i="160"/>
  <c r="D6" i="160"/>
  <c r="D28" i="160"/>
  <c r="D97" i="160"/>
  <c r="P10" i="160"/>
  <c r="J10" i="160"/>
  <c r="N10" i="160"/>
  <c r="H10" i="160"/>
  <c r="M10" i="160"/>
  <c r="G10" i="160"/>
  <c r="F10" i="160"/>
  <c r="F63" i="160"/>
  <c r="D77" i="160"/>
  <c r="D7" i="160"/>
  <c r="K10" i="160"/>
  <c r="D32" i="160"/>
  <c r="D56" i="160"/>
  <c r="D89" i="160"/>
  <c r="D98" i="160"/>
  <c r="D3" i="160"/>
  <c r="L10" i="160"/>
  <c r="D14" i="160"/>
  <c r="D43" i="160"/>
  <c r="D105" i="160"/>
  <c r="D99" i="160"/>
  <c r="D71" i="160"/>
  <c r="D69" i="160"/>
  <c r="D67" i="160"/>
  <c r="D66" i="160"/>
  <c r="D65" i="160"/>
  <c r="D64" i="160"/>
  <c r="D60" i="160"/>
  <c r="D57" i="160"/>
  <c r="D54" i="160"/>
  <c r="D53" i="160"/>
  <c r="D52" i="160"/>
  <c r="D51" i="160"/>
  <c r="D50" i="160"/>
  <c r="D49" i="160"/>
  <c r="D36" i="160"/>
  <c r="D101" i="160"/>
  <c r="D90" i="160"/>
  <c r="D80" i="160"/>
  <c r="D42" i="160"/>
  <c r="D30" i="160"/>
  <c r="D27" i="160"/>
  <c r="D107" i="160"/>
  <c r="D95" i="160" s="1"/>
  <c r="D100" i="160"/>
  <c r="D88" i="160"/>
  <c r="D82" i="160"/>
  <c r="D74" i="160"/>
  <c r="D62" i="160"/>
  <c r="D61" i="160"/>
  <c r="D44" i="160"/>
  <c r="D33" i="160"/>
  <c r="D106" i="160"/>
  <c r="D79" i="160"/>
  <c r="D68" i="160"/>
  <c r="D59" i="160"/>
  <c r="D46" i="160"/>
  <c r="D24" i="160"/>
  <c r="D13" i="160"/>
  <c r="D12" i="160"/>
  <c r="D104" i="160"/>
  <c r="D94" i="160" s="1"/>
  <c r="D103" i="160"/>
  <c r="D75" i="160"/>
  <c r="D58" i="160"/>
  <c r="D17" i="160"/>
  <c r="D15" i="160"/>
  <c r="D102" i="160"/>
  <c r="D81" i="160"/>
  <c r="D31" i="160"/>
  <c r="D29" i="160"/>
  <c r="D11" i="160"/>
  <c r="D8" i="160"/>
  <c r="D5" i="160"/>
  <c r="D2" i="160"/>
  <c r="D9" i="160"/>
  <c r="O10" i="160"/>
  <c r="D26" i="160"/>
  <c r="D55" i="160"/>
  <c r="D91" i="160"/>
  <c r="P14" i="159"/>
  <c r="J14" i="159"/>
  <c r="O14" i="159"/>
  <c r="I14" i="159"/>
  <c r="M14" i="159"/>
  <c r="G14" i="159"/>
  <c r="P31" i="159"/>
  <c r="J31" i="159"/>
  <c r="O31" i="159"/>
  <c r="I31" i="159"/>
  <c r="M31" i="159"/>
  <c r="G31" i="159"/>
  <c r="P55" i="159"/>
  <c r="J55" i="159"/>
  <c r="O55" i="159"/>
  <c r="I55" i="159"/>
  <c r="N55" i="159"/>
  <c r="H55" i="159"/>
  <c r="M55" i="159"/>
  <c r="L55" i="159"/>
  <c r="G55" i="159"/>
  <c r="Q55" i="159" s="1"/>
  <c r="D106" i="159"/>
  <c r="D100" i="159"/>
  <c r="D91" i="159"/>
  <c r="D88" i="159"/>
  <c r="D43" i="159"/>
  <c r="D105" i="159"/>
  <c r="D99" i="159"/>
  <c r="D71" i="159"/>
  <c r="D69" i="159"/>
  <c r="D67" i="159"/>
  <c r="D66" i="159"/>
  <c r="D65" i="159"/>
  <c r="D64" i="159"/>
  <c r="D60" i="159"/>
  <c r="D57" i="159"/>
  <c r="D54" i="159"/>
  <c r="D53" i="159"/>
  <c r="D52" i="159"/>
  <c r="D51" i="159"/>
  <c r="D50" i="159"/>
  <c r="D49" i="159"/>
  <c r="D36" i="159"/>
  <c r="D104" i="159"/>
  <c r="D94" i="159" s="1"/>
  <c r="D98" i="159"/>
  <c r="D92" i="159" s="1"/>
  <c r="D89" i="159"/>
  <c r="D81" i="159"/>
  <c r="D79" i="159"/>
  <c r="D77" i="159"/>
  <c r="D62" i="159"/>
  <c r="D107" i="159"/>
  <c r="D95" i="159" s="1"/>
  <c r="D59" i="159"/>
  <c r="D42" i="159"/>
  <c r="D10" i="159"/>
  <c r="D103" i="159"/>
  <c r="D63" i="159"/>
  <c r="D33" i="159"/>
  <c r="D30" i="159"/>
  <c r="D27" i="159"/>
  <c r="D26" i="159"/>
  <c r="D24" i="159"/>
  <c r="D13" i="159"/>
  <c r="D12" i="159"/>
  <c r="D101" i="159"/>
  <c r="D56" i="159"/>
  <c r="D46" i="159"/>
  <c r="D44" i="159"/>
  <c r="D32" i="159"/>
  <c r="D29" i="159"/>
  <c r="D17" i="159"/>
  <c r="D15" i="159"/>
  <c r="F4" i="159"/>
  <c r="L4" i="159"/>
  <c r="J5" i="159"/>
  <c r="P5" i="159"/>
  <c r="G7" i="159"/>
  <c r="D8" i="159"/>
  <c r="O9" i="159"/>
  <c r="F14" i="159"/>
  <c r="F31" i="159"/>
  <c r="Q31" i="159" s="1"/>
  <c r="F55" i="159"/>
  <c r="D61" i="159"/>
  <c r="D73" i="159"/>
  <c r="D75" i="159"/>
  <c r="F80" i="159"/>
  <c r="R80" i="159" s="1"/>
  <c r="D102" i="159"/>
  <c r="R82" i="159"/>
  <c r="F82" i="159"/>
  <c r="H4" i="159"/>
  <c r="R4" i="159" s="1"/>
  <c r="N4" i="159"/>
  <c r="F5" i="159"/>
  <c r="L5" i="159"/>
  <c r="L7" i="159"/>
  <c r="H9" i="159"/>
  <c r="Q9" i="159" s="1"/>
  <c r="K14" i="159"/>
  <c r="D16" i="159"/>
  <c r="D28" i="159"/>
  <c r="K31" i="159"/>
  <c r="K4" i="159"/>
  <c r="K5" i="159"/>
  <c r="H14" i="159"/>
  <c r="H31" i="159"/>
  <c r="K55" i="159"/>
  <c r="D3" i="159"/>
  <c r="I4" i="159"/>
  <c r="O4" i="159"/>
  <c r="G5" i="159"/>
  <c r="Q5" i="159" s="1"/>
  <c r="M5" i="159"/>
  <c r="D6" i="159"/>
  <c r="D11" i="159"/>
  <c r="L14" i="159"/>
  <c r="L31" i="159"/>
  <c r="D68" i="159"/>
  <c r="D72" i="159"/>
  <c r="D74" i="159"/>
  <c r="G4" i="159"/>
  <c r="Q4" i="159" s="1"/>
  <c r="M4" i="159"/>
  <c r="M9" i="159"/>
  <c r="G9" i="159"/>
  <c r="L9" i="159"/>
  <c r="F9" i="159"/>
  <c r="P9" i="159"/>
  <c r="J9" i="159"/>
  <c r="Q90" i="159"/>
  <c r="J4" i="159"/>
  <c r="H5" i="159"/>
  <c r="K7" i="159"/>
  <c r="P7" i="159"/>
  <c r="J7" i="159"/>
  <c r="Q7" i="159" s="1"/>
  <c r="N7" i="159"/>
  <c r="H7" i="159"/>
  <c r="O7" i="159"/>
  <c r="K9" i="159"/>
  <c r="N14" i="159"/>
  <c r="N31" i="159"/>
  <c r="P58" i="159"/>
  <c r="J58" i="159"/>
  <c r="O58" i="159"/>
  <c r="I58" i="159"/>
  <c r="N58" i="159"/>
  <c r="H58" i="159"/>
  <c r="G58" i="159"/>
  <c r="F58" i="159"/>
  <c r="M58" i="159"/>
  <c r="D107" i="158"/>
  <c r="D95" i="158" s="1"/>
  <c r="D101" i="158"/>
  <c r="D82" i="158"/>
  <c r="D80" i="158"/>
  <c r="D58" i="158"/>
  <c r="D55" i="158"/>
  <c r="D106" i="158"/>
  <c r="D100" i="158"/>
  <c r="D91" i="158"/>
  <c r="D88" i="158"/>
  <c r="D43" i="158"/>
  <c r="D105" i="158"/>
  <c r="D99" i="158"/>
  <c r="D71" i="158"/>
  <c r="D69" i="158"/>
  <c r="D67" i="158"/>
  <c r="D66" i="158"/>
  <c r="D65" i="158"/>
  <c r="D64" i="158"/>
  <c r="D60" i="158"/>
  <c r="D57" i="158"/>
  <c r="D54" i="158"/>
  <c r="D53" i="158"/>
  <c r="D52" i="158"/>
  <c r="D51" i="158"/>
  <c r="D90" i="158"/>
  <c r="D79" i="158"/>
  <c r="D75" i="158"/>
  <c r="D74" i="158"/>
  <c r="D73" i="158"/>
  <c r="D72" i="158"/>
  <c r="D68" i="158"/>
  <c r="D61" i="158"/>
  <c r="D9" i="158"/>
  <c r="D103" i="158"/>
  <c r="D59" i="158"/>
  <c r="D50" i="158"/>
  <c r="D11" i="158"/>
  <c r="D8" i="158"/>
  <c r="D102" i="158"/>
  <c r="D93" i="158" s="1"/>
  <c r="D81" i="158"/>
  <c r="D77" i="158"/>
  <c r="D63" i="158"/>
  <c r="D42" i="158"/>
  <c r="D36" i="158"/>
  <c r="D31" i="158"/>
  <c r="D28" i="158"/>
  <c r="D16" i="158"/>
  <c r="D14" i="158"/>
  <c r="D98" i="158"/>
  <c r="D62" i="158"/>
  <c r="D49" i="158"/>
  <c r="D10" i="158"/>
  <c r="D97" i="158"/>
  <c r="D56" i="158"/>
  <c r="D46" i="158"/>
  <c r="D44" i="158"/>
  <c r="D33" i="158"/>
  <c r="D30" i="158"/>
  <c r="D27" i="158"/>
  <c r="D26" i="158"/>
  <c r="D24" i="158"/>
  <c r="D13" i="158"/>
  <c r="D12" i="158"/>
  <c r="H3" i="158"/>
  <c r="N3" i="158"/>
  <c r="F4" i="158"/>
  <c r="Q4" i="158" s="1"/>
  <c r="L4" i="158"/>
  <c r="H6" i="158"/>
  <c r="N6" i="158"/>
  <c r="F7" i="158"/>
  <c r="D17" i="158"/>
  <c r="D29" i="158"/>
  <c r="P7" i="158"/>
  <c r="D2" i="158"/>
  <c r="I3" i="158"/>
  <c r="O3" i="158"/>
  <c r="G4" i="158"/>
  <c r="M4" i="158"/>
  <c r="D5" i="158"/>
  <c r="I6" i="158"/>
  <c r="O6" i="158"/>
  <c r="G7" i="158"/>
  <c r="M7" i="158"/>
  <c r="D32" i="158"/>
  <c r="K4" i="158"/>
  <c r="K7" i="158"/>
  <c r="J3" i="158"/>
  <c r="P3" i="158"/>
  <c r="H4" i="158"/>
  <c r="N4" i="158"/>
  <c r="J6" i="158"/>
  <c r="P6" i="158"/>
  <c r="H7" i="158"/>
  <c r="N7" i="158"/>
  <c r="Q7" i="158" s="1"/>
  <c r="R7" i="158" s="1"/>
  <c r="K3" i="158"/>
  <c r="I4" i="158"/>
  <c r="O4" i="158"/>
  <c r="K6" i="158"/>
  <c r="Q6" i="158"/>
  <c r="I7" i="158"/>
  <c r="O7" i="158"/>
  <c r="F15" i="158"/>
  <c r="L15" i="158"/>
  <c r="R15" i="158" s="1"/>
  <c r="D25" i="158"/>
  <c r="F89" i="158"/>
  <c r="L89" i="158" s="1"/>
  <c r="R89" i="158" s="1"/>
  <c r="O94" i="158"/>
  <c r="R94" i="158" s="1"/>
  <c r="F3" i="158"/>
  <c r="L3" i="158"/>
  <c r="J4" i="158"/>
  <c r="F6" i="158"/>
  <c r="R6" i="158" s="1"/>
  <c r="L6" i="158"/>
  <c r="J7" i="158"/>
  <c r="R40" i="158"/>
  <c r="D102" i="157"/>
  <c r="D90" i="157"/>
  <c r="D75" i="157"/>
  <c r="D74" i="157"/>
  <c r="D73" i="157"/>
  <c r="D72" i="157"/>
  <c r="D68" i="157"/>
  <c r="D63" i="157"/>
  <c r="D61" i="157"/>
  <c r="D46" i="157"/>
  <c r="D107" i="157"/>
  <c r="D95" i="157" s="1"/>
  <c r="D101" i="157"/>
  <c r="D82" i="157"/>
  <c r="D80" i="157"/>
  <c r="D58" i="157"/>
  <c r="D55" i="157"/>
  <c r="D106" i="157"/>
  <c r="D100" i="157"/>
  <c r="D91" i="157"/>
  <c r="D88" i="157"/>
  <c r="D43" i="157"/>
  <c r="D105" i="157"/>
  <c r="D99" i="157"/>
  <c r="D71" i="157"/>
  <c r="D69" i="157"/>
  <c r="D67" i="157"/>
  <c r="D66" i="157"/>
  <c r="D65" i="157"/>
  <c r="D64" i="157"/>
  <c r="D60" i="157"/>
  <c r="D57" i="157"/>
  <c r="D54" i="157"/>
  <c r="D53" i="157"/>
  <c r="D52" i="157"/>
  <c r="D51" i="157"/>
  <c r="D50" i="157"/>
  <c r="D49" i="157"/>
  <c r="D36" i="157"/>
  <c r="D104" i="157"/>
  <c r="D94" i="157" s="1"/>
  <c r="D98" i="157"/>
  <c r="D89" i="157"/>
  <c r="D81" i="157"/>
  <c r="D79" i="157"/>
  <c r="D77" i="157"/>
  <c r="D62" i="157"/>
  <c r="D10" i="157"/>
  <c r="D7" i="157"/>
  <c r="D4" i="157"/>
  <c r="D17" i="157"/>
  <c r="D33" i="157"/>
  <c r="D30" i="157"/>
  <c r="D27" i="157"/>
  <c r="D26" i="157"/>
  <c r="D24" i="157"/>
  <c r="D13" i="157"/>
  <c r="D12" i="157"/>
  <c r="D32" i="157"/>
  <c r="D103" i="157"/>
  <c r="D9" i="157"/>
  <c r="D6" i="157"/>
  <c r="D3" i="157"/>
  <c r="D97" i="157"/>
  <c r="D29" i="157"/>
  <c r="D15" i="157"/>
  <c r="D59" i="157"/>
  <c r="D44" i="157"/>
  <c r="D11" i="157"/>
  <c r="D8" i="157"/>
  <c r="D5" i="157"/>
  <c r="D2" i="157"/>
  <c r="D42" i="157"/>
  <c r="D16" i="157"/>
  <c r="D28" i="157"/>
  <c r="D56" i="157"/>
  <c r="D14" i="157"/>
  <c r="D31" i="157"/>
  <c r="R40" i="157"/>
  <c r="D105" i="156"/>
  <c r="D99" i="156"/>
  <c r="D71" i="156"/>
  <c r="D69" i="156"/>
  <c r="D67" i="156"/>
  <c r="D66" i="156"/>
  <c r="D65" i="156"/>
  <c r="D64" i="156"/>
  <c r="D60" i="156"/>
  <c r="D57" i="156"/>
  <c r="D54" i="156"/>
  <c r="D53" i="156"/>
  <c r="D52" i="156"/>
  <c r="D51" i="156"/>
  <c r="D50" i="156"/>
  <c r="D49" i="156"/>
  <c r="D104" i="156"/>
  <c r="D94" i="156" s="1"/>
  <c r="D98" i="156"/>
  <c r="D89" i="156"/>
  <c r="D81" i="156"/>
  <c r="D79" i="156"/>
  <c r="D77" i="156"/>
  <c r="D62" i="156"/>
  <c r="D102" i="156"/>
  <c r="D93" i="156" s="1"/>
  <c r="D91" i="156"/>
  <c r="D55" i="156"/>
  <c r="D100" i="156"/>
  <c r="D90" i="156"/>
  <c r="D88" i="156"/>
  <c r="D80" i="156"/>
  <c r="D58" i="156"/>
  <c r="D56" i="156"/>
  <c r="D46" i="156"/>
  <c r="D42" i="156"/>
  <c r="D106" i="156"/>
  <c r="D82" i="156"/>
  <c r="D59" i="156"/>
  <c r="D44" i="156"/>
  <c r="D101" i="156"/>
  <c r="D74" i="156"/>
  <c r="D63" i="156"/>
  <c r="D61" i="156"/>
  <c r="D43" i="156"/>
  <c r="D31" i="156"/>
  <c r="D10" i="156"/>
  <c r="D7" i="156"/>
  <c r="D4" i="156"/>
  <c r="D97" i="156"/>
  <c r="D30" i="156"/>
  <c r="D13" i="156"/>
  <c r="D12" i="156"/>
  <c r="D28" i="156"/>
  <c r="D16" i="156"/>
  <c r="D75" i="156"/>
  <c r="D72" i="156"/>
  <c r="D29" i="156"/>
  <c r="D24" i="156"/>
  <c r="D9" i="156"/>
  <c r="D6" i="156"/>
  <c r="D3" i="156"/>
  <c r="D107" i="156"/>
  <c r="D95" i="156" s="1"/>
  <c r="D73" i="156"/>
  <c r="D68" i="156"/>
  <c r="D36" i="156"/>
  <c r="D33" i="156"/>
  <c r="D27" i="156"/>
  <c r="D26" i="156"/>
  <c r="D11" i="156"/>
  <c r="D8" i="156"/>
  <c r="D5" i="156"/>
  <c r="D2" i="156"/>
  <c r="D103" i="156"/>
  <c r="D15" i="156"/>
  <c r="D32" i="156"/>
  <c r="D17" i="156"/>
  <c r="D14" i="156"/>
  <c r="D93" i="155"/>
  <c r="L28" i="155"/>
  <c r="O16" i="155"/>
  <c r="I16" i="155"/>
  <c r="M16" i="155"/>
  <c r="G16" i="155"/>
  <c r="H16" i="155"/>
  <c r="P16" i="155"/>
  <c r="F16" i="155"/>
  <c r="K16" i="155"/>
  <c r="J16" i="155"/>
  <c r="L52" i="155"/>
  <c r="F52" i="155"/>
  <c r="O52" i="155" s="1"/>
  <c r="J52" i="155"/>
  <c r="I52" i="155"/>
  <c r="M52" i="155"/>
  <c r="H52" i="155"/>
  <c r="G52" i="155"/>
  <c r="R52" i="155" s="1"/>
  <c r="N52" i="155"/>
  <c r="K52" i="155"/>
  <c r="L49" i="155"/>
  <c r="F49" i="155"/>
  <c r="J49" i="155"/>
  <c r="I49" i="155"/>
  <c r="M49" i="155"/>
  <c r="H49" i="155"/>
  <c r="K49" i="155"/>
  <c r="G49" i="155"/>
  <c r="N49" i="155"/>
  <c r="M5" i="155"/>
  <c r="G5" i="155"/>
  <c r="P5" i="155"/>
  <c r="J5" i="155"/>
  <c r="O5" i="155"/>
  <c r="I5" i="155"/>
  <c r="N5" i="155"/>
  <c r="H5" i="155"/>
  <c r="R11" i="155"/>
  <c r="O14" i="155"/>
  <c r="I14" i="155"/>
  <c r="M14" i="155"/>
  <c r="G14" i="155"/>
  <c r="P14" i="155"/>
  <c r="F14" i="155"/>
  <c r="K14" i="155"/>
  <c r="J14" i="155"/>
  <c r="H14" i="155"/>
  <c r="N16" i="155"/>
  <c r="O28" i="155"/>
  <c r="I28" i="155"/>
  <c r="M28" i="155"/>
  <c r="G28" i="155"/>
  <c r="H28" i="155"/>
  <c r="Q28" i="155" s="1"/>
  <c r="P28" i="155"/>
  <c r="F28" i="155"/>
  <c r="R28" i="155" s="1"/>
  <c r="K28" i="155"/>
  <c r="J28" i="155"/>
  <c r="L7" i="155"/>
  <c r="D4" i="155"/>
  <c r="F7" i="155"/>
  <c r="M7" i="155"/>
  <c r="D36" i="155"/>
  <c r="G54" i="155"/>
  <c r="G64" i="155"/>
  <c r="R64" i="155" s="1"/>
  <c r="R67" i="155"/>
  <c r="L51" i="155"/>
  <c r="F51" i="155"/>
  <c r="J51" i="155"/>
  <c r="I51" i="155"/>
  <c r="M51" i="155"/>
  <c r="H51" i="155"/>
  <c r="D106" i="155"/>
  <c r="D100" i="155"/>
  <c r="D91" i="155"/>
  <c r="D88" i="155"/>
  <c r="D43" i="155"/>
  <c r="D104" i="155"/>
  <c r="D94" i="155" s="1"/>
  <c r="D98" i="155"/>
  <c r="D89" i="155"/>
  <c r="D81" i="155"/>
  <c r="D79" i="155"/>
  <c r="D77" i="155"/>
  <c r="D62" i="155"/>
  <c r="D103" i="155"/>
  <c r="D97" i="155"/>
  <c r="D59" i="155"/>
  <c r="D56" i="155"/>
  <c r="D44" i="155"/>
  <c r="D42" i="155"/>
  <c r="D33" i="155"/>
  <c r="D101" i="155"/>
  <c r="D82" i="155"/>
  <c r="D58" i="155"/>
  <c r="D30" i="155"/>
  <c r="D27" i="155"/>
  <c r="D26" i="155"/>
  <c r="D24" i="155"/>
  <c r="D13" i="155"/>
  <c r="D12" i="155"/>
  <c r="D90" i="155"/>
  <c r="D75" i="155"/>
  <c r="D74" i="155"/>
  <c r="D73" i="155"/>
  <c r="D72" i="155"/>
  <c r="D68" i="155"/>
  <c r="D61" i="155"/>
  <c r="D32" i="155"/>
  <c r="D29" i="155"/>
  <c r="D17" i="155"/>
  <c r="D15" i="155"/>
  <c r="G7" i="155"/>
  <c r="O7" i="155"/>
  <c r="D9" i="155"/>
  <c r="D31" i="155"/>
  <c r="D50" i="155"/>
  <c r="K51" i="155"/>
  <c r="O51" i="155" s="1"/>
  <c r="D53" i="155"/>
  <c r="D57" i="155"/>
  <c r="D66" i="155"/>
  <c r="D69" i="155"/>
  <c r="D71" i="155"/>
  <c r="D80" i="155"/>
  <c r="D105" i="155"/>
  <c r="L65" i="155"/>
  <c r="F65" i="155"/>
  <c r="J65" i="155"/>
  <c r="I65" i="155"/>
  <c r="M65" i="155"/>
  <c r="H65" i="155"/>
  <c r="D3" i="155"/>
  <c r="D6" i="155"/>
  <c r="D8" i="155"/>
  <c r="D10" i="155"/>
  <c r="D46" i="155"/>
  <c r="D55" i="155"/>
  <c r="R60" i="155"/>
  <c r="D63" i="155"/>
  <c r="G65" i="155"/>
  <c r="P7" i="155"/>
  <c r="J7" i="155"/>
  <c r="N7" i="155"/>
  <c r="L54" i="155"/>
  <c r="F54" i="155"/>
  <c r="P54" i="155"/>
  <c r="J54" i="155"/>
  <c r="O54" i="155"/>
  <c r="I54" i="155"/>
  <c r="M54" i="155"/>
  <c r="H54" i="155"/>
  <c r="L64" i="155"/>
  <c r="F64" i="155"/>
  <c r="J64" i="155"/>
  <c r="O64" i="155"/>
  <c r="I64" i="155"/>
  <c r="M64" i="155"/>
  <c r="H64" i="155"/>
  <c r="K65" i="155"/>
  <c r="D99" i="155"/>
  <c r="O17" i="154"/>
  <c r="I17" i="154"/>
  <c r="N17" i="154"/>
  <c r="H17" i="154"/>
  <c r="F17" i="154"/>
  <c r="Q17" i="154" s="1"/>
  <c r="M17" i="154"/>
  <c r="G17" i="154"/>
  <c r="R17" i="154" s="1"/>
  <c r="N3" i="154"/>
  <c r="H3" i="154"/>
  <c r="M3" i="154"/>
  <c r="G3" i="154"/>
  <c r="Q3" i="154" s="1"/>
  <c r="L3" i="154"/>
  <c r="F3" i="154"/>
  <c r="L5" i="154"/>
  <c r="J6" i="154"/>
  <c r="P8" i="154"/>
  <c r="J8" i="154"/>
  <c r="R8" i="154" s="1"/>
  <c r="O8" i="154"/>
  <c r="I8" i="154"/>
  <c r="N8" i="154"/>
  <c r="H8" i="154"/>
  <c r="J17" i="154"/>
  <c r="O29" i="154"/>
  <c r="I29" i="154"/>
  <c r="F29" i="154"/>
  <c r="N29" i="154"/>
  <c r="H29" i="154"/>
  <c r="L29" i="154"/>
  <c r="M29" i="154"/>
  <c r="G29" i="154"/>
  <c r="I3" i="154"/>
  <c r="K6" i="154"/>
  <c r="F8" i="154"/>
  <c r="Q8" i="154" s="1"/>
  <c r="K17" i="154"/>
  <c r="J29" i="154"/>
  <c r="P56" i="154"/>
  <c r="J56" i="154"/>
  <c r="O56" i="154"/>
  <c r="I56" i="154"/>
  <c r="N56" i="154"/>
  <c r="H56" i="154"/>
  <c r="M56" i="154"/>
  <c r="G56" i="154"/>
  <c r="L56" i="154"/>
  <c r="F56" i="154"/>
  <c r="Q56" i="154" s="1"/>
  <c r="P5" i="154"/>
  <c r="J5" i="154"/>
  <c r="O5" i="154"/>
  <c r="I5" i="154"/>
  <c r="N5" i="154"/>
  <c r="H5" i="154"/>
  <c r="O6" i="154"/>
  <c r="G8" i="154"/>
  <c r="N9" i="154"/>
  <c r="H9" i="154"/>
  <c r="M9" i="154"/>
  <c r="G9" i="154"/>
  <c r="L9" i="154"/>
  <c r="F9" i="154"/>
  <c r="Q9" i="154" s="1"/>
  <c r="L17" i="154"/>
  <c r="K29" i="154"/>
  <c r="O32" i="154"/>
  <c r="I32" i="154"/>
  <c r="L32" i="154"/>
  <c r="N32" i="154"/>
  <c r="H32" i="154"/>
  <c r="F32" i="154"/>
  <c r="M32" i="154"/>
  <c r="G32" i="154"/>
  <c r="D45" i="154"/>
  <c r="I42" i="154"/>
  <c r="I45" i="154" s="1"/>
  <c r="K56" i="154"/>
  <c r="J3" i="154"/>
  <c r="K3" i="154"/>
  <c r="F5" i="154"/>
  <c r="K8" i="154"/>
  <c r="I9" i="154"/>
  <c r="F15" i="154"/>
  <c r="P17" i="154"/>
  <c r="P29" i="154"/>
  <c r="J32" i="154"/>
  <c r="R44" i="154"/>
  <c r="L44" i="154"/>
  <c r="L45" i="154" s="1"/>
  <c r="K5" i="154"/>
  <c r="Q5" i="154" s="1"/>
  <c r="G5" i="154"/>
  <c r="R5" i="154" s="1"/>
  <c r="N6" i="154"/>
  <c r="H6" i="154"/>
  <c r="M6" i="154"/>
  <c r="G6" i="154"/>
  <c r="L6" i="154"/>
  <c r="F6" i="154"/>
  <c r="Q6" i="154" s="1"/>
  <c r="P59" i="154"/>
  <c r="J59" i="154"/>
  <c r="O59" i="154"/>
  <c r="I59" i="154"/>
  <c r="N59" i="154"/>
  <c r="H59" i="154"/>
  <c r="M59" i="154"/>
  <c r="G59" i="154"/>
  <c r="L59" i="154"/>
  <c r="F59" i="154"/>
  <c r="R59" i="154" s="1"/>
  <c r="K59" i="154"/>
  <c r="Q59" i="154"/>
  <c r="J4" i="154"/>
  <c r="P4" i="154"/>
  <c r="J7" i="154"/>
  <c r="P7" i="154"/>
  <c r="J10" i="154"/>
  <c r="P10" i="154"/>
  <c r="D12" i="154"/>
  <c r="D13" i="154"/>
  <c r="D24" i="154"/>
  <c r="D26" i="154"/>
  <c r="D27" i="154"/>
  <c r="D30" i="154"/>
  <c r="D33" i="154"/>
  <c r="K4" i="154"/>
  <c r="K7" i="154"/>
  <c r="K10" i="154"/>
  <c r="D102" i="154"/>
  <c r="D93" i="154" s="1"/>
  <c r="D90" i="154"/>
  <c r="D75" i="154"/>
  <c r="D74" i="154"/>
  <c r="D73" i="154"/>
  <c r="D72" i="154"/>
  <c r="D68" i="154"/>
  <c r="D63" i="154"/>
  <c r="D61" i="154"/>
  <c r="D46" i="154"/>
  <c r="D107" i="154"/>
  <c r="D95" i="154" s="1"/>
  <c r="D101" i="154"/>
  <c r="D82" i="154"/>
  <c r="D80" i="154"/>
  <c r="D58" i="154"/>
  <c r="D55" i="154"/>
  <c r="D106" i="154"/>
  <c r="D100" i="154"/>
  <c r="D91" i="154"/>
  <c r="D88" i="154"/>
  <c r="D43" i="154"/>
  <c r="D105" i="154"/>
  <c r="D99" i="154"/>
  <c r="D71" i="154"/>
  <c r="D69" i="154"/>
  <c r="D67" i="154"/>
  <c r="D66" i="154"/>
  <c r="D65" i="154"/>
  <c r="D64" i="154"/>
  <c r="D60" i="154"/>
  <c r="D57" i="154"/>
  <c r="D54" i="154"/>
  <c r="D53" i="154"/>
  <c r="D52" i="154"/>
  <c r="D51" i="154"/>
  <c r="D50" i="154"/>
  <c r="D49" i="154"/>
  <c r="D36" i="154"/>
  <c r="D104" i="154"/>
  <c r="D94" i="154" s="1"/>
  <c r="D98" i="154"/>
  <c r="D92" i="154" s="1"/>
  <c r="D89" i="154"/>
  <c r="D81" i="154"/>
  <c r="D79" i="154"/>
  <c r="D77" i="154"/>
  <c r="D62" i="154"/>
  <c r="F4" i="154"/>
  <c r="Q4" i="154" s="1"/>
  <c r="L4" i="154"/>
  <c r="F7" i="154"/>
  <c r="L7" i="154"/>
  <c r="F10" i="154"/>
  <c r="L10" i="154"/>
  <c r="D14" i="154"/>
  <c r="D16" i="154"/>
  <c r="D28" i="154"/>
  <c r="D31" i="154"/>
  <c r="R40" i="154"/>
  <c r="O3" i="153"/>
  <c r="I3" i="153"/>
  <c r="N3" i="153"/>
  <c r="H3" i="153"/>
  <c r="F3" i="153"/>
  <c r="M3" i="153"/>
  <c r="G3" i="153"/>
  <c r="L3" i="153"/>
  <c r="K3" i="153"/>
  <c r="O6" i="153"/>
  <c r="P6" i="153"/>
  <c r="I6" i="153"/>
  <c r="N6" i="153"/>
  <c r="H6" i="153"/>
  <c r="L6" i="153"/>
  <c r="M6" i="153"/>
  <c r="G6" i="153"/>
  <c r="F6" i="153"/>
  <c r="F43" i="153"/>
  <c r="F45" i="153" s="1"/>
  <c r="N13" i="153"/>
  <c r="H13" i="153"/>
  <c r="M13" i="153"/>
  <c r="G13" i="153"/>
  <c r="L13" i="153"/>
  <c r="F13" i="153"/>
  <c r="Q13" i="153" s="1"/>
  <c r="O13" i="153"/>
  <c r="K13" i="153"/>
  <c r="I13" i="153"/>
  <c r="J13" i="153"/>
  <c r="R13" i="153" s="1"/>
  <c r="P3" i="153"/>
  <c r="J6" i="153"/>
  <c r="M57" i="153"/>
  <c r="G57" i="153"/>
  <c r="P57" i="153"/>
  <c r="J57" i="153"/>
  <c r="O57" i="153"/>
  <c r="I57" i="153"/>
  <c r="N57" i="153"/>
  <c r="L57" i="153"/>
  <c r="K57" i="153"/>
  <c r="H57" i="153"/>
  <c r="Q57" i="153" s="1"/>
  <c r="F57" i="153"/>
  <c r="R57" i="153" s="1"/>
  <c r="Q90" i="153"/>
  <c r="L90" i="153" s="1"/>
  <c r="R90" i="153" s="1"/>
  <c r="J3" i="153"/>
  <c r="P13" i="153"/>
  <c r="K6" i="153"/>
  <c r="N12" i="153"/>
  <c r="H12" i="153"/>
  <c r="M12" i="153"/>
  <c r="G12" i="153"/>
  <c r="O12" i="153" s="1"/>
  <c r="L12" i="153"/>
  <c r="F12" i="153"/>
  <c r="K12" i="153"/>
  <c r="J12" i="153"/>
  <c r="I12" i="153"/>
  <c r="N30" i="153"/>
  <c r="H30" i="153"/>
  <c r="M30" i="153"/>
  <c r="G30" i="153"/>
  <c r="L30" i="153"/>
  <c r="F30" i="153"/>
  <c r="I30" i="153"/>
  <c r="Q30" i="153" s="1"/>
  <c r="D4" i="153"/>
  <c r="D9" i="153"/>
  <c r="F15" i="153"/>
  <c r="L15" i="153" s="1"/>
  <c r="R15" i="153" s="1"/>
  <c r="J30" i="153"/>
  <c r="F32" i="153"/>
  <c r="Q32" i="153" s="1"/>
  <c r="D69" i="153"/>
  <c r="F24" i="153"/>
  <c r="L24" i="153" s="1"/>
  <c r="R24" i="153" s="1"/>
  <c r="F88" i="153"/>
  <c r="D107" i="153"/>
  <c r="D95" i="153" s="1"/>
  <c r="D101" i="153"/>
  <c r="D82" i="153"/>
  <c r="D80" i="153"/>
  <c r="D58" i="153"/>
  <c r="D55" i="153"/>
  <c r="D104" i="153"/>
  <c r="D94" i="153" s="1"/>
  <c r="D98" i="153"/>
  <c r="D89" i="153"/>
  <c r="D81" i="153"/>
  <c r="D79" i="153"/>
  <c r="D77" i="153"/>
  <c r="D62" i="153"/>
  <c r="D103" i="153"/>
  <c r="D97" i="153"/>
  <c r="D92" i="153" s="1"/>
  <c r="D59" i="153"/>
  <c r="D56" i="153"/>
  <c r="D44" i="153"/>
  <c r="D42" i="153"/>
  <c r="D33" i="153"/>
  <c r="D106" i="153"/>
  <c r="D75" i="153"/>
  <c r="D74" i="153"/>
  <c r="D73" i="153"/>
  <c r="D72" i="153"/>
  <c r="D68" i="153"/>
  <c r="D61" i="153"/>
  <c r="D36" i="153"/>
  <c r="D11" i="153"/>
  <c r="D8" i="153"/>
  <c r="D105" i="153"/>
  <c r="D31" i="153"/>
  <c r="D28" i="153"/>
  <c r="D16" i="153"/>
  <c r="D14" i="153"/>
  <c r="D102" i="153"/>
  <c r="D71" i="153"/>
  <c r="D67" i="153"/>
  <c r="D66" i="153"/>
  <c r="D65" i="153"/>
  <c r="D64" i="153"/>
  <c r="D60" i="153"/>
  <c r="D54" i="153"/>
  <c r="D53" i="153"/>
  <c r="D52" i="153"/>
  <c r="D51" i="153"/>
  <c r="D50" i="153"/>
  <c r="D49" i="153"/>
  <c r="D10" i="153"/>
  <c r="D7" i="153"/>
  <c r="D26" i="153"/>
  <c r="D27" i="153"/>
  <c r="K30" i="153"/>
  <c r="P32" i="153"/>
  <c r="J32" i="153"/>
  <c r="O32" i="153"/>
  <c r="I32" i="153"/>
  <c r="N32" i="153"/>
  <c r="H32" i="153"/>
  <c r="D2" i="153"/>
  <c r="D5" i="153"/>
  <c r="D25" i="153" s="1"/>
  <c r="D17" i="153"/>
  <c r="D29" i="153"/>
  <c r="O30" i="153"/>
  <c r="K32" i="153"/>
  <c r="D46" i="153"/>
  <c r="D63" i="153"/>
  <c r="D91" i="153"/>
  <c r="R40" i="153"/>
  <c r="F79" i="152"/>
  <c r="D24" i="152"/>
  <c r="D26" i="152"/>
  <c r="D30" i="152"/>
  <c r="D2" i="152"/>
  <c r="D56" i="152"/>
  <c r="D90" i="152"/>
  <c r="D12" i="152"/>
  <c r="D13" i="152"/>
  <c r="D27" i="152"/>
  <c r="D75" i="152"/>
  <c r="D102" i="152"/>
  <c r="D106" i="152"/>
  <c r="D100" i="152"/>
  <c r="D91" i="152"/>
  <c r="D88" i="152"/>
  <c r="D43" i="152"/>
  <c r="D105" i="152"/>
  <c r="D99" i="152"/>
  <c r="D71" i="152"/>
  <c r="D69" i="152"/>
  <c r="D67" i="152"/>
  <c r="D66" i="152"/>
  <c r="D65" i="152"/>
  <c r="D64" i="152"/>
  <c r="D60" i="152"/>
  <c r="D57" i="152"/>
  <c r="D54" i="152"/>
  <c r="D53" i="152"/>
  <c r="D52" i="152"/>
  <c r="D51" i="152"/>
  <c r="D50" i="152"/>
  <c r="D49" i="152"/>
  <c r="D36" i="152"/>
  <c r="D107" i="152"/>
  <c r="D95" i="152" s="1"/>
  <c r="D55" i="152"/>
  <c r="D104" i="152"/>
  <c r="D94" i="152" s="1"/>
  <c r="D73" i="152"/>
  <c r="D68" i="152"/>
  <c r="D62" i="152"/>
  <c r="D31" i="152"/>
  <c r="D28" i="152"/>
  <c r="D16" i="152"/>
  <c r="D14" i="152"/>
  <c r="D98" i="152"/>
  <c r="D89" i="152"/>
  <c r="D82" i="152"/>
  <c r="D59" i="152"/>
  <c r="D33" i="152"/>
  <c r="D97" i="152"/>
  <c r="D81" i="152"/>
  <c r="D74" i="152"/>
  <c r="D63" i="152"/>
  <c r="D61" i="152"/>
  <c r="D44" i="152"/>
  <c r="D32" i="152"/>
  <c r="D29" i="152"/>
  <c r="D17" i="152"/>
  <c r="D15" i="152"/>
  <c r="D11" i="152"/>
  <c r="D103" i="152"/>
  <c r="D4" i="152"/>
  <c r="D7" i="152"/>
  <c r="D10" i="152"/>
  <c r="D80" i="152"/>
  <c r="D83" i="152" s="1"/>
  <c r="R40" i="152"/>
  <c r="D72" i="152"/>
  <c r="D77" i="152"/>
  <c r="D101" i="152"/>
  <c r="D5" i="152"/>
  <c r="D8" i="152"/>
  <c r="D58" i="152"/>
  <c r="D3" i="152"/>
  <c r="D6" i="152"/>
  <c r="D9" i="152"/>
  <c r="D42" i="152"/>
  <c r="D46" i="152"/>
  <c r="F82" i="151"/>
  <c r="R82" i="151"/>
  <c r="M56" i="151"/>
  <c r="G56" i="151"/>
  <c r="K56" i="151"/>
  <c r="J56" i="151"/>
  <c r="O56" i="151"/>
  <c r="H56" i="151"/>
  <c r="P56" i="151"/>
  <c r="N56" i="151"/>
  <c r="L56" i="151"/>
  <c r="I56" i="151"/>
  <c r="P4" i="151"/>
  <c r="D12" i="151"/>
  <c r="D24" i="151"/>
  <c r="D26" i="151"/>
  <c r="F56" i="151"/>
  <c r="Q56" i="151" s="1"/>
  <c r="R56" i="151" s="1"/>
  <c r="F4" i="151"/>
  <c r="J10" i="151"/>
  <c r="D44" i="151"/>
  <c r="D61" i="151"/>
  <c r="O4" i="151"/>
  <c r="I4" i="151"/>
  <c r="N4" i="151"/>
  <c r="H4" i="151"/>
  <c r="M4" i="151"/>
  <c r="G4" i="151"/>
  <c r="D105" i="151"/>
  <c r="D99" i="151"/>
  <c r="D71" i="151"/>
  <c r="D69" i="151"/>
  <c r="D67" i="151"/>
  <c r="D66" i="151"/>
  <c r="D65" i="151"/>
  <c r="D64" i="151"/>
  <c r="D60" i="151"/>
  <c r="D57" i="151"/>
  <c r="D54" i="151"/>
  <c r="D53" i="151"/>
  <c r="D52" i="151"/>
  <c r="D51" i="151"/>
  <c r="D50" i="151"/>
  <c r="D49" i="151"/>
  <c r="D36" i="151"/>
  <c r="D104" i="151"/>
  <c r="D94" i="151" s="1"/>
  <c r="D97" i="151"/>
  <c r="D91" i="151"/>
  <c r="D89" i="151"/>
  <c r="D81" i="151"/>
  <c r="D75" i="151"/>
  <c r="D72" i="151"/>
  <c r="D59" i="151"/>
  <c r="D58" i="151"/>
  <c r="D46" i="151"/>
  <c r="D103" i="151"/>
  <c r="D63" i="151"/>
  <c r="D101" i="151"/>
  <c r="D90" i="151"/>
  <c r="D80" i="151"/>
  <c r="D42" i="151"/>
  <c r="D30" i="151"/>
  <c r="D27" i="151"/>
  <c r="D106" i="151"/>
  <c r="D73" i="151"/>
  <c r="D43" i="151"/>
  <c r="D29" i="151"/>
  <c r="D9" i="151"/>
  <c r="D6" i="151"/>
  <c r="D3" i="151"/>
  <c r="D102" i="151"/>
  <c r="D93" i="151" s="1"/>
  <c r="D74" i="151"/>
  <c r="D17" i="151"/>
  <c r="D15" i="151"/>
  <c r="D100" i="151"/>
  <c r="D88" i="151"/>
  <c r="D79" i="151"/>
  <c r="D32" i="151"/>
  <c r="D11" i="151"/>
  <c r="D8" i="151"/>
  <c r="D5" i="151"/>
  <c r="D98" i="151"/>
  <c r="D77" i="151"/>
  <c r="D68" i="151"/>
  <c r="D28" i="151"/>
  <c r="D16" i="151"/>
  <c r="D14" i="151"/>
  <c r="J4" i="151"/>
  <c r="D55" i="151"/>
  <c r="D107" i="151"/>
  <c r="D95" i="151" s="1"/>
  <c r="O10" i="151"/>
  <c r="I10" i="151"/>
  <c r="N10" i="151"/>
  <c r="H10" i="151"/>
  <c r="M10" i="151"/>
  <c r="G10" i="151"/>
  <c r="L10" i="151"/>
  <c r="F10" i="151"/>
  <c r="D2" i="151"/>
  <c r="K4" i="151"/>
  <c r="D7" i="151"/>
  <c r="P10" i="151"/>
  <c r="D13" i="151"/>
  <c r="D31" i="151"/>
  <c r="D33" i="151"/>
  <c r="D62" i="151"/>
  <c r="D105" i="150"/>
  <c r="D99" i="150"/>
  <c r="D71" i="150"/>
  <c r="D69" i="150"/>
  <c r="D67" i="150"/>
  <c r="D66" i="150"/>
  <c r="D65" i="150"/>
  <c r="D64" i="150"/>
  <c r="D60" i="150"/>
  <c r="D57" i="150"/>
  <c r="D54" i="150"/>
  <c r="D53" i="150"/>
  <c r="D52" i="150"/>
  <c r="D51" i="150"/>
  <c r="D50" i="150"/>
  <c r="D49" i="150"/>
  <c r="D36" i="150"/>
  <c r="D104" i="150"/>
  <c r="D94" i="150" s="1"/>
  <c r="D97" i="150"/>
  <c r="D91" i="150"/>
  <c r="D89" i="150"/>
  <c r="D81" i="150"/>
  <c r="D75" i="150"/>
  <c r="D72" i="150"/>
  <c r="D59" i="150"/>
  <c r="D58" i="150"/>
  <c r="D46" i="150"/>
  <c r="D103" i="150"/>
  <c r="D63" i="150"/>
  <c r="D43" i="150"/>
  <c r="D31" i="150"/>
  <c r="D28" i="150"/>
  <c r="D102" i="150"/>
  <c r="D77" i="150"/>
  <c r="D73" i="150"/>
  <c r="D68" i="150"/>
  <c r="D106" i="150"/>
  <c r="D80" i="150"/>
  <c r="D42" i="150"/>
  <c r="D33" i="150"/>
  <c r="D10" i="150"/>
  <c r="D7" i="150"/>
  <c r="D4" i="150"/>
  <c r="D101" i="150"/>
  <c r="D74" i="150"/>
  <c r="D32" i="150"/>
  <c r="D27" i="150"/>
  <c r="D26" i="150"/>
  <c r="D24" i="150"/>
  <c r="D13" i="150"/>
  <c r="D12" i="150"/>
  <c r="D98" i="150"/>
  <c r="D100" i="150"/>
  <c r="D88" i="150"/>
  <c r="D79" i="150"/>
  <c r="D30" i="150"/>
  <c r="D9" i="150"/>
  <c r="D6" i="150"/>
  <c r="D3" i="150"/>
  <c r="D90" i="150"/>
  <c r="D82" i="150"/>
  <c r="D62" i="150"/>
  <c r="D61" i="150"/>
  <c r="D44" i="150"/>
  <c r="D29" i="150"/>
  <c r="D11" i="150"/>
  <c r="D8" i="150"/>
  <c r="D5" i="150"/>
  <c r="D2" i="150"/>
  <c r="D107" i="150"/>
  <c r="D95" i="150" s="1"/>
  <c r="D55" i="150"/>
  <c r="D15" i="150"/>
  <c r="D17" i="150"/>
  <c r="D14" i="150"/>
  <c r="D16" i="150"/>
  <c r="D56" i="150"/>
  <c r="F88" i="149"/>
  <c r="L88" i="149" s="1"/>
  <c r="D33" i="149"/>
  <c r="D5" i="149"/>
  <c r="D11" i="149"/>
  <c r="D14" i="149"/>
  <c r="D16" i="149"/>
  <c r="D28" i="149"/>
  <c r="D6" i="149"/>
  <c r="D13" i="149"/>
  <c r="D32" i="149"/>
  <c r="D105" i="149"/>
  <c r="D99" i="149"/>
  <c r="D71" i="149"/>
  <c r="D69" i="149"/>
  <c r="D67" i="149"/>
  <c r="D66" i="149"/>
  <c r="D65" i="149"/>
  <c r="D64" i="149"/>
  <c r="D60" i="149"/>
  <c r="D57" i="149"/>
  <c r="D54" i="149"/>
  <c r="D53" i="149"/>
  <c r="D52" i="149"/>
  <c r="D51" i="149"/>
  <c r="D50" i="149"/>
  <c r="D49" i="149"/>
  <c r="D36" i="149"/>
  <c r="D104" i="149"/>
  <c r="D94" i="149" s="1"/>
  <c r="D98" i="149"/>
  <c r="D89" i="149"/>
  <c r="D81" i="149"/>
  <c r="D79" i="149"/>
  <c r="D77" i="149"/>
  <c r="D62" i="149"/>
  <c r="D107" i="149"/>
  <c r="D95" i="149" s="1"/>
  <c r="D97" i="149"/>
  <c r="D75" i="149"/>
  <c r="D72" i="149"/>
  <c r="D103" i="149"/>
  <c r="D74" i="149"/>
  <c r="D63" i="149"/>
  <c r="D61" i="149"/>
  <c r="D106" i="149"/>
  <c r="D31" i="149"/>
  <c r="D29" i="149"/>
  <c r="D17" i="149"/>
  <c r="D15" i="149"/>
  <c r="D10" i="149"/>
  <c r="D7" i="149"/>
  <c r="D4" i="149"/>
  <c r="D102" i="149"/>
  <c r="D90" i="149"/>
  <c r="D73" i="149"/>
  <c r="D44" i="149"/>
  <c r="D27" i="149"/>
  <c r="D12" i="149"/>
  <c r="D101" i="149"/>
  <c r="D82" i="149"/>
  <c r="D100" i="149"/>
  <c r="D59" i="149"/>
  <c r="D43" i="149"/>
  <c r="D30" i="149"/>
  <c r="D26" i="149"/>
  <c r="D24" i="149"/>
  <c r="D46" i="149"/>
  <c r="D55" i="149"/>
  <c r="D58" i="149"/>
  <c r="D2" i="149"/>
  <c r="D8" i="149"/>
  <c r="D91" i="149"/>
  <c r="D3" i="149"/>
  <c r="D9" i="149"/>
  <c r="D42" i="149"/>
  <c r="D56" i="149"/>
  <c r="D68" i="149"/>
  <c r="D80" i="149"/>
  <c r="P28" i="148"/>
  <c r="J28" i="148"/>
  <c r="O28" i="148"/>
  <c r="I28" i="148"/>
  <c r="N28" i="148"/>
  <c r="H28" i="148"/>
  <c r="F28" i="148"/>
  <c r="G16" i="148"/>
  <c r="Q16" i="148" s="1"/>
  <c r="M50" i="148"/>
  <c r="G50" i="148"/>
  <c r="L50" i="148"/>
  <c r="F50" i="148"/>
  <c r="O50" i="148" s="1"/>
  <c r="J50" i="148"/>
  <c r="I50" i="148"/>
  <c r="N50" i="148"/>
  <c r="K50" i="148"/>
  <c r="H50" i="148"/>
  <c r="M53" i="148"/>
  <c r="G53" i="148"/>
  <c r="L53" i="148"/>
  <c r="F53" i="148"/>
  <c r="O53" i="148" s="1"/>
  <c r="J53" i="148"/>
  <c r="I53" i="148"/>
  <c r="N53" i="148"/>
  <c r="K53" i="148"/>
  <c r="H53" i="148"/>
  <c r="D107" i="148"/>
  <c r="D95" i="148" s="1"/>
  <c r="D101" i="148"/>
  <c r="D82" i="148"/>
  <c r="D80" i="148"/>
  <c r="D58" i="148"/>
  <c r="D55" i="148"/>
  <c r="D106" i="148"/>
  <c r="D100" i="148"/>
  <c r="D91" i="148"/>
  <c r="D88" i="148"/>
  <c r="D43" i="148"/>
  <c r="D104" i="148"/>
  <c r="D94" i="148" s="1"/>
  <c r="D98" i="148"/>
  <c r="D89" i="148"/>
  <c r="D81" i="148"/>
  <c r="D79" i="148"/>
  <c r="D77" i="148"/>
  <c r="D62" i="148"/>
  <c r="D103" i="148"/>
  <c r="D97" i="148"/>
  <c r="D59" i="148"/>
  <c r="D56" i="148"/>
  <c r="D44" i="148"/>
  <c r="D42" i="148"/>
  <c r="D33" i="148"/>
  <c r="D99" i="148"/>
  <c r="D74" i="148"/>
  <c r="D63" i="148"/>
  <c r="D61" i="148"/>
  <c r="D46" i="148"/>
  <c r="D10" i="148"/>
  <c r="D7" i="148"/>
  <c r="D4" i="148"/>
  <c r="D90" i="148"/>
  <c r="D65" i="148"/>
  <c r="D60" i="148"/>
  <c r="D52" i="148"/>
  <c r="D49" i="148"/>
  <c r="D30" i="148"/>
  <c r="D27" i="148"/>
  <c r="D26" i="148"/>
  <c r="D24" i="148"/>
  <c r="D13" i="148"/>
  <c r="D12" i="148"/>
  <c r="D75" i="148"/>
  <c r="D72" i="148"/>
  <c r="D36" i="148"/>
  <c r="D9" i="148"/>
  <c r="D6" i="148"/>
  <c r="D3" i="148"/>
  <c r="D14" i="148"/>
  <c r="K16" i="148"/>
  <c r="I17" i="148"/>
  <c r="K28" i="148"/>
  <c r="D31" i="148"/>
  <c r="D51" i="148"/>
  <c r="D54" i="148"/>
  <c r="D64" i="148"/>
  <c r="D67" i="148"/>
  <c r="O5" i="148"/>
  <c r="I5" i="148"/>
  <c r="N5" i="148"/>
  <c r="H5" i="148"/>
  <c r="M5" i="148"/>
  <c r="G5" i="148"/>
  <c r="F16" i="148"/>
  <c r="F5" i="148"/>
  <c r="N29" i="148"/>
  <c r="H29" i="148"/>
  <c r="M29" i="148"/>
  <c r="G29" i="148"/>
  <c r="L29" i="148"/>
  <c r="F29" i="148"/>
  <c r="R29" i="148" s="1"/>
  <c r="M66" i="148"/>
  <c r="G66" i="148"/>
  <c r="L66" i="148"/>
  <c r="F66" i="148"/>
  <c r="J66" i="148"/>
  <c r="O66" i="148"/>
  <c r="I66" i="148"/>
  <c r="N66" i="148"/>
  <c r="K66" i="148"/>
  <c r="H66" i="148"/>
  <c r="R66" i="148" s="1"/>
  <c r="D2" i="148"/>
  <c r="K5" i="148"/>
  <c r="Q5" i="148" s="1"/>
  <c r="D8" i="148"/>
  <c r="L28" i="148"/>
  <c r="J29" i="148"/>
  <c r="D68" i="148"/>
  <c r="D73" i="148"/>
  <c r="D102" i="148"/>
  <c r="D93" i="148" s="1"/>
  <c r="P16" i="148"/>
  <c r="J16" i="148"/>
  <c r="O16" i="148"/>
  <c r="I16" i="148"/>
  <c r="N16" i="148"/>
  <c r="H16" i="148"/>
  <c r="R16" i="148" s="1"/>
  <c r="R11" i="148"/>
  <c r="N17" i="148"/>
  <c r="H17" i="148"/>
  <c r="M17" i="148"/>
  <c r="G17" i="148"/>
  <c r="Q17" i="148" s="1"/>
  <c r="L17" i="148"/>
  <c r="F17" i="148"/>
  <c r="G28" i="148"/>
  <c r="Q29" i="148"/>
  <c r="F71" i="148"/>
  <c r="L5" i="148"/>
  <c r="D15" i="148"/>
  <c r="M16" i="148"/>
  <c r="K17" i="148"/>
  <c r="M28" i="148"/>
  <c r="K29" i="148"/>
  <c r="D32" i="148"/>
  <c r="R40" i="148"/>
  <c r="D57" i="148"/>
  <c r="D69" i="148"/>
  <c r="D105" i="148"/>
  <c r="D106" i="147"/>
  <c r="D100" i="147"/>
  <c r="D91" i="147"/>
  <c r="D88" i="147"/>
  <c r="D43" i="147"/>
  <c r="D105" i="147"/>
  <c r="D99" i="147"/>
  <c r="D71" i="147"/>
  <c r="D69" i="147"/>
  <c r="D67" i="147"/>
  <c r="D66" i="147"/>
  <c r="D65" i="147"/>
  <c r="D64" i="147"/>
  <c r="D60" i="147"/>
  <c r="D57" i="147"/>
  <c r="D54" i="147"/>
  <c r="D53" i="147"/>
  <c r="D52" i="147"/>
  <c r="D51" i="147"/>
  <c r="D50" i="147"/>
  <c r="D49" i="147"/>
  <c r="D36" i="147"/>
  <c r="D104" i="147"/>
  <c r="D94" i="147" s="1"/>
  <c r="D98" i="147"/>
  <c r="D89" i="147"/>
  <c r="D81" i="147"/>
  <c r="D79" i="147"/>
  <c r="D77" i="147"/>
  <c r="D62" i="147"/>
  <c r="D107" i="147"/>
  <c r="D95" i="147" s="1"/>
  <c r="D59" i="147"/>
  <c r="D42" i="147"/>
  <c r="D9" i="147"/>
  <c r="D103" i="147"/>
  <c r="D63" i="147"/>
  <c r="D32" i="147"/>
  <c r="D29" i="147"/>
  <c r="D17" i="147"/>
  <c r="D15" i="147"/>
  <c r="D101" i="147"/>
  <c r="D56" i="147"/>
  <c r="D46" i="147"/>
  <c r="D44" i="147"/>
  <c r="D31" i="147"/>
  <c r="D28" i="147"/>
  <c r="D16" i="147"/>
  <c r="D14" i="147"/>
  <c r="D12" i="147"/>
  <c r="D13" i="147"/>
  <c r="D24" i="147"/>
  <c r="D30" i="147"/>
  <c r="D55" i="147"/>
  <c r="D80" i="147"/>
  <c r="D97" i="147"/>
  <c r="D92" i="147" s="1"/>
  <c r="D2" i="147"/>
  <c r="D5" i="147"/>
  <c r="D61" i="147"/>
  <c r="D73" i="147"/>
  <c r="D75" i="147"/>
  <c r="D102" i="147"/>
  <c r="D93" i="147" s="1"/>
  <c r="D82" i="147"/>
  <c r="D90" i="147"/>
  <c r="D3" i="147"/>
  <c r="D6" i="147"/>
  <c r="D26" i="147"/>
  <c r="D27" i="147"/>
  <c r="D33" i="147"/>
  <c r="D8" i="147"/>
  <c r="D10" i="147"/>
  <c r="D68" i="147"/>
  <c r="D72" i="147"/>
  <c r="D74" i="147"/>
  <c r="D4" i="147"/>
  <c r="D7" i="147"/>
  <c r="D11" i="147"/>
  <c r="D58" i="147"/>
  <c r="D104" i="146"/>
  <c r="D94" i="146" s="1"/>
  <c r="D98" i="146"/>
  <c r="D89" i="146"/>
  <c r="D81" i="146"/>
  <c r="D79" i="146"/>
  <c r="D77" i="146"/>
  <c r="D62" i="146"/>
  <c r="D101" i="146"/>
  <c r="D90" i="146"/>
  <c r="D73" i="146"/>
  <c r="D68" i="146"/>
  <c r="D44" i="146"/>
  <c r="D36" i="146"/>
  <c r="D33" i="146"/>
  <c r="D30" i="146"/>
  <c r="D27" i="146"/>
  <c r="D107" i="146"/>
  <c r="D95" i="146" s="1"/>
  <c r="D99" i="146"/>
  <c r="D75" i="146"/>
  <c r="D54" i="146"/>
  <c r="D49" i="146"/>
  <c r="D46" i="146"/>
  <c r="D26" i="146"/>
  <c r="D24" i="146"/>
  <c r="D13" i="146"/>
  <c r="D97" i="146"/>
  <c r="D71" i="146"/>
  <c r="D10" i="146"/>
  <c r="D7" i="146"/>
  <c r="D106" i="146"/>
  <c r="D82" i="146"/>
  <c r="D63" i="146"/>
  <c r="D60" i="146"/>
  <c r="D57" i="146"/>
  <c r="D12" i="146"/>
  <c r="D105" i="146"/>
  <c r="D74" i="146"/>
  <c r="D67" i="146"/>
  <c r="D53" i="146"/>
  <c r="D43" i="146"/>
  <c r="D28" i="146"/>
  <c r="D15" i="146"/>
  <c r="D14" i="146"/>
  <c r="D9" i="146"/>
  <c r="D6" i="146"/>
  <c r="D3" i="146"/>
  <c r="D4" i="146"/>
  <c r="D16" i="146"/>
  <c r="D17" i="146"/>
  <c r="D32" i="146"/>
  <c r="D56" i="146"/>
  <c r="D59" i="146"/>
  <c r="D66" i="146"/>
  <c r="D80" i="146"/>
  <c r="D100" i="146"/>
  <c r="D2" i="146"/>
  <c r="D8" i="146"/>
  <c r="D42" i="146"/>
  <c r="D50" i="146"/>
  <c r="D55" i="146"/>
  <c r="D58" i="146"/>
  <c r="D91" i="146"/>
  <c r="D102" i="146"/>
  <c r="D31" i="146"/>
  <c r="D52" i="146"/>
  <c r="D65" i="146"/>
  <c r="D103" i="146"/>
  <c r="D11" i="146"/>
  <c r="D29" i="146"/>
  <c r="D61" i="146"/>
  <c r="D64" i="146"/>
  <c r="D69" i="146"/>
  <c r="D88" i="146"/>
  <c r="D5" i="146"/>
  <c r="D51" i="146"/>
  <c r="D72" i="146"/>
  <c r="H67" i="145"/>
  <c r="R67" i="145" s="1"/>
  <c r="D7" i="145"/>
  <c r="D32" i="145"/>
  <c r="D46" i="145"/>
  <c r="I59" i="145"/>
  <c r="Q59" i="145" s="1"/>
  <c r="D64" i="145"/>
  <c r="D105" i="145"/>
  <c r="D4" i="145"/>
  <c r="D15" i="145"/>
  <c r="D17" i="145"/>
  <c r="G58" i="145"/>
  <c r="Q58" i="145" s="1"/>
  <c r="R58" i="145" s="1"/>
  <c r="M59" i="145"/>
  <c r="D75" i="145"/>
  <c r="M61" i="145"/>
  <c r="G61" i="145"/>
  <c r="P61" i="145"/>
  <c r="I61" i="145"/>
  <c r="O61" i="145"/>
  <c r="H61" i="145"/>
  <c r="L61" i="145"/>
  <c r="K61" i="145"/>
  <c r="D3" i="145"/>
  <c r="D5" i="145"/>
  <c r="F58" i="145"/>
  <c r="F61" i="145"/>
  <c r="D88" i="145"/>
  <c r="D11" i="145"/>
  <c r="D54" i="145"/>
  <c r="D55" i="145"/>
  <c r="N59" i="145"/>
  <c r="N61" i="145"/>
  <c r="N58" i="145"/>
  <c r="H58" i="145"/>
  <c r="K58" i="145"/>
  <c r="J58" i="145"/>
  <c r="L58" i="145"/>
  <c r="I58" i="145"/>
  <c r="D102" i="145"/>
  <c r="D93" i="145" s="1"/>
  <c r="D104" i="145"/>
  <c r="D94" i="145" s="1"/>
  <c r="D98" i="145"/>
  <c r="D89" i="145"/>
  <c r="D81" i="145"/>
  <c r="D79" i="145"/>
  <c r="D77" i="145"/>
  <c r="D62" i="145"/>
  <c r="D107" i="145"/>
  <c r="D95" i="145" s="1"/>
  <c r="D99" i="145"/>
  <c r="D65" i="145"/>
  <c r="D63" i="145"/>
  <c r="D60" i="145"/>
  <c r="D52" i="145"/>
  <c r="D49" i="145"/>
  <c r="D42" i="145"/>
  <c r="D106" i="145"/>
  <c r="D97" i="145"/>
  <c r="D90" i="145"/>
  <c r="D73" i="145"/>
  <c r="D68" i="145"/>
  <c r="D44" i="145"/>
  <c r="D36" i="145"/>
  <c r="D33" i="145"/>
  <c r="D30" i="145"/>
  <c r="D27" i="145"/>
  <c r="D26" i="145"/>
  <c r="D101" i="145"/>
  <c r="D72" i="145"/>
  <c r="D69" i="145"/>
  <c r="D57" i="145"/>
  <c r="D24" i="145"/>
  <c r="D13" i="145"/>
  <c r="D12" i="145"/>
  <c r="D100" i="145"/>
  <c r="D80" i="145"/>
  <c r="D71" i="145"/>
  <c r="D56" i="145"/>
  <c r="D51" i="145"/>
  <c r="D50" i="145"/>
  <c r="D43" i="145"/>
  <c r="D31" i="145"/>
  <c r="D29" i="145"/>
  <c r="D9" i="145"/>
  <c r="D6" i="145"/>
  <c r="D14" i="145"/>
  <c r="D16" i="145"/>
  <c r="O58" i="145"/>
  <c r="Q61" i="145"/>
  <c r="D74" i="145"/>
  <c r="D82" i="145"/>
  <c r="L59" i="145"/>
  <c r="F59" i="145"/>
  <c r="R59" i="145" s="1"/>
  <c r="K59" i="145"/>
  <c r="J59" i="145"/>
  <c r="H59" i="145"/>
  <c r="P59" i="145"/>
  <c r="G59" i="145"/>
  <c r="D2" i="145"/>
  <c r="D8" i="145"/>
  <c r="D10" i="145"/>
  <c r="D28" i="145"/>
  <c r="D53" i="145"/>
  <c r="P58" i="145"/>
  <c r="R61" i="145"/>
  <c r="D66" i="145"/>
  <c r="D91" i="145"/>
  <c r="L6" i="144"/>
  <c r="F6" i="144"/>
  <c r="P6" i="144"/>
  <c r="J6" i="144"/>
  <c r="O6" i="144"/>
  <c r="I6" i="144"/>
  <c r="J16" i="144"/>
  <c r="Q90" i="144"/>
  <c r="G6" i="144"/>
  <c r="D105" i="144"/>
  <c r="D99" i="144"/>
  <c r="D71" i="144"/>
  <c r="D69" i="144"/>
  <c r="D67" i="144"/>
  <c r="D66" i="144"/>
  <c r="D65" i="144"/>
  <c r="D64" i="144"/>
  <c r="D60" i="144"/>
  <c r="D57" i="144"/>
  <c r="D54" i="144"/>
  <c r="D53" i="144"/>
  <c r="D52" i="144"/>
  <c r="D51" i="144"/>
  <c r="D50" i="144"/>
  <c r="D49" i="144"/>
  <c r="D36" i="144"/>
  <c r="D104" i="144"/>
  <c r="D94" i="144" s="1"/>
  <c r="D98" i="144"/>
  <c r="D89" i="144"/>
  <c r="D81" i="144"/>
  <c r="D79" i="144"/>
  <c r="D77" i="144"/>
  <c r="D62" i="144"/>
  <c r="D103" i="144"/>
  <c r="D74" i="144"/>
  <c r="D63" i="144"/>
  <c r="D61" i="144"/>
  <c r="D33" i="144"/>
  <c r="D30" i="144"/>
  <c r="D27" i="144"/>
  <c r="D26" i="144"/>
  <c r="D24" i="144"/>
  <c r="D13" i="144"/>
  <c r="D101" i="144"/>
  <c r="D73" i="144"/>
  <c r="D68" i="144"/>
  <c r="D43" i="144"/>
  <c r="D32" i="144"/>
  <c r="D29" i="144"/>
  <c r="D17" i="144"/>
  <c r="D15" i="144"/>
  <c r="D102" i="144"/>
  <c r="D93" i="144" s="1"/>
  <c r="D46" i="144"/>
  <c r="D31" i="144"/>
  <c r="D12" i="144"/>
  <c r="D97" i="144"/>
  <c r="D59" i="144"/>
  <c r="D58" i="144"/>
  <c r="D56" i="144"/>
  <c r="D44" i="144"/>
  <c r="D88" i="144"/>
  <c r="D80" i="144"/>
  <c r="D55" i="144"/>
  <c r="D11" i="144"/>
  <c r="D8" i="144"/>
  <c r="D5" i="144"/>
  <c r="D2" i="144"/>
  <c r="D107" i="144"/>
  <c r="D95" i="144" s="1"/>
  <c r="D91" i="144"/>
  <c r="N14" i="144"/>
  <c r="N28" i="144"/>
  <c r="D72" i="144"/>
  <c r="D3" i="144"/>
  <c r="K6" i="144"/>
  <c r="D9" i="144"/>
  <c r="D42" i="144"/>
  <c r="O16" i="144"/>
  <c r="I16" i="144"/>
  <c r="M16" i="144"/>
  <c r="G16" i="144"/>
  <c r="R16" i="144" s="1"/>
  <c r="K16" i="144"/>
  <c r="Q16" i="144"/>
  <c r="H16" i="144"/>
  <c r="P16" i="144"/>
  <c r="F16" i="144"/>
  <c r="J14" i="144"/>
  <c r="J28" i="144"/>
  <c r="P7" i="144"/>
  <c r="J7" i="144"/>
  <c r="N7" i="144"/>
  <c r="H7" i="144"/>
  <c r="M7" i="144"/>
  <c r="G7" i="144"/>
  <c r="Q7" i="144"/>
  <c r="L16" i="144"/>
  <c r="R82" i="144"/>
  <c r="H6" i="144"/>
  <c r="F7" i="144"/>
  <c r="R7" i="144" s="1"/>
  <c r="N16" i="144"/>
  <c r="D4" i="144"/>
  <c r="M6" i="144"/>
  <c r="K7" i="144"/>
  <c r="D10" i="144"/>
  <c r="D75" i="144"/>
  <c r="D100" i="144"/>
  <c r="O14" i="144"/>
  <c r="I14" i="144"/>
  <c r="M14" i="144"/>
  <c r="G14" i="144"/>
  <c r="K14" i="144"/>
  <c r="H14" i="144"/>
  <c r="P14" i="144"/>
  <c r="F14" i="144"/>
  <c r="Q14" i="144" s="1"/>
  <c r="O28" i="144"/>
  <c r="I28" i="144"/>
  <c r="M28" i="144"/>
  <c r="G28" i="144"/>
  <c r="Q28" i="144" s="1"/>
  <c r="K28" i="144"/>
  <c r="H28" i="144"/>
  <c r="P28" i="144"/>
  <c r="F28" i="144"/>
  <c r="R28" i="144" s="1"/>
  <c r="P29" i="143"/>
  <c r="J29" i="143"/>
  <c r="N29" i="143"/>
  <c r="H29" i="143"/>
  <c r="L29" i="143"/>
  <c r="F29" i="143"/>
  <c r="I29" i="143"/>
  <c r="G29" i="143"/>
  <c r="K29" i="143"/>
  <c r="O29" i="143"/>
  <c r="M29" i="143"/>
  <c r="P26" i="143"/>
  <c r="I26" i="143"/>
  <c r="N26" i="143"/>
  <c r="F26" i="143"/>
  <c r="K26" i="143"/>
  <c r="N27" i="143"/>
  <c r="H27" i="143"/>
  <c r="L27" i="143"/>
  <c r="F27" i="143"/>
  <c r="P27" i="143"/>
  <c r="J27" i="143"/>
  <c r="G32" i="143"/>
  <c r="M12" i="143"/>
  <c r="M13" i="143"/>
  <c r="L16" i="143"/>
  <c r="F16" i="143"/>
  <c r="P16" i="143"/>
  <c r="J16" i="143"/>
  <c r="N16" i="143"/>
  <c r="H16" i="143"/>
  <c r="H26" i="143"/>
  <c r="G27" i="143"/>
  <c r="Q27" i="143" s="1"/>
  <c r="L28" i="143"/>
  <c r="F28" i="143"/>
  <c r="P28" i="143"/>
  <c r="J28" i="143"/>
  <c r="N28" i="143"/>
  <c r="H28" i="143"/>
  <c r="M30" i="143"/>
  <c r="I32" i="143"/>
  <c r="G16" i="143"/>
  <c r="D17" i="143"/>
  <c r="J26" i="143"/>
  <c r="I27" i="143"/>
  <c r="G28" i="143"/>
  <c r="K32" i="143"/>
  <c r="F15" i="143"/>
  <c r="L15" i="143" s="1"/>
  <c r="N12" i="143"/>
  <c r="H12" i="143"/>
  <c r="L12" i="143"/>
  <c r="F12" i="143"/>
  <c r="O12" i="143" s="1"/>
  <c r="R12" i="143" s="1"/>
  <c r="J12" i="143"/>
  <c r="N13" i="143"/>
  <c r="H13" i="143"/>
  <c r="L13" i="143"/>
  <c r="F13" i="143"/>
  <c r="Q13" i="143" s="1"/>
  <c r="P13" i="143"/>
  <c r="J13" i="143"/>
  <c r="F24" i="143"/>
  <c r="R24" i="143" s="1"/>
  <c r="M26" i="143"/>
  <c r="K27" i="143"/>
  <c r="I28" i="143"/>
  <c r="Q28" i="143" s="1"/>
  <c r="N30" i="143"/>
  <c r="H30" i="143"/>
  <c r="L30" i="143"/>
  <c r="F30" i="143"/>
  <c r="Q30" i="143" s="1"/>
  <c r="P30" i="143"/>
  <c r="J30" i="143"/>
  <c r="D102" i="143"/>
  <c r="D93" i="143" s="1"/>
  <c r="D90" i="143"/>
  <c r="D75" i="143"/>
  <c r="D74" i="143"/>
  <c r="D73" i="143"/>
  <c r="D72" i="143"/>
  <c r="D68" i="143"/>
  <c r="D63" i="143"/>
  <c r="D61" i="143"/>
  <c r="D46" i="143"/>
  <c r="D107" i="143"/>
  <c r="D95" i="143" s="1"/>
  <c r="D101" i="143"/>
  <c r="D82" i="143"/>
  <c r="D80" i="143"/>
  <c r="D58" i="143"/>
  <c r="D55" i="143"/>
  <c r="D106" i="143"/>
  <c r="D100" i="143"/>
  <c r="D91" i="143"/>
  <c r="D88" i="143"/>
  <c r="D43" i="143"/>
  <c r="D105" i="143"/>
  <c r="D99" i="143"/>
  <c r="D71" i="143"/>
  <c r="D69" i="143"/>
  <c r="D67" i="143"/>
  <c r="D66" i="143"/>
  <c r="D65" i="143"/>
  <c r="D64" i="143"/>
  <c r="D60" i="143"/>
  <c r="D57" i="143"/>
  <c r="D54" i="143"/>
  <c r="D53" i="143"/>
  <c r="D52" i="143"/>
  <c r="D51" i="143"/>
  <c r="D50" i="143"/>
  <c r="D49" i="143"/>
  <c r="D36" i="143"/>
  <c r="D104" i="143"/>
  <c r="D94" i="143" s="1"/>
  <c r="D98" i="143"/>
  <c r="D89" i="143"/>
  <c r="D81" i="143"/>
  <c r="D79" i="143"/>
  <c r="D77" i="143"/>
  <c r="D62" i="143"/>
  <c r="D11" i="143"/>
  <c r="D8" i="143"/>
  <c r="D5" i="143"/>
  <c r="D2" i="143"/>
  <c r="D103" i="143"/>
  <c r="D10" i="143"/>
  <c r="D7" i="143"/>
  <c r="D4" i="143"/>
  <c r="D97" i="143"/>
  <c r="D33" i="143"/>
  <c r="D59" i="143"/>
  <c r="D44" i="143"/>
  <c r="D9" i="143"/>
  <c r="D6" i="143"/>
  <c r="D3" i="143"/>
  <c r="D56" i="143"/>
  <c r="D42" i="143"/>
  <c r="G12" i="143"/>
  <c r="G13" i="143"/>
  <c r="D14" i="143"/>
  <c r="K16" i="143"/>
  <c r="L24" i="143"/>
  <c r="O26" i="143"/>
  <c r="M27" i="143"/>
  <c r="K28" i="143"/>
  <c r="G30" i="143"/>
  <c r="R30" i="143" s="1"/>
  <c r="D31" i="143"/>
  <c r="P32" i="143"/>
  <c r="J32" i="143"/>
  <c r="N32" i="143"/>
  <c r="H32" i="143"/>
  <c r="M32" i="143"/>
  <c r="L32" i="143"/>
  <c r="F32" i="143"/>
  <c r="Q32" i="143" s="1"/>
  <c r="P3" i="142"/>
  <c r="J3" i="142"/>
  <c r="O3" i="142"/>
  <c r="I3" i="142"/>
  <c r="L3" i="142"/>
  <c r="N3" i="142"/>
  <c r="H3" i="142"/>
  <c r="M3" i="142"/>
  <c r="G3" i="142"/>
  <c r="F3" i="142"/>
  <c r="Q3" i="142" s="1"/>
  <c r="R3" i="142" s="1"/>
  <c r="P6" i="142"/>
  <c r="J6" i="142"/>
  <c r="O6" i="142"/>
  <c r="I6" i="142"/>
  <c r="F6" i="142"/>
  <c r="N6" i="142"/>
  <c r="H6" i="142"/>
  <c r="M6" i="142"/>
  <c r="G6" i="142"/>
  <c r="R6" i="142" s="1"/>
  <c r="L6" i="142"/>
  <c r="Q90" i="142"/>
  <c r="L90" i="142" s="1"/>
  <c r="R90" i="142" s="1"/>
  <c r="K6" i="142"/>
  <c r="P55" i="142"/>
  <c r="J55" i="142"/>
  <c r="O55" i="142"/>
  <c r="I55" i="142"/>
  <c r="N55" i="142"/>
  <c r="H55" i="142"/>
  <c r="M55" i="142"/>
  <c r="L55" i="142"/>
  <c r="G55" i="142"/>
  <c r="K55" i="142"/>
  <c r="F55" i="142"/>
  <c r="Q55" i="142" s="1"/>
  <c r="R55" i="142" s="1"/>
  <c r="K3" i="142"/>
  <c r="R80" i="142"/>
  <c r="F80" i="142"/>
  <c r="Q6" i="142"/>
  <c r="P27" i="142"/>
  <c r="J27" i="142"/>
  <c r="O27" i="142"/>
  <c r="I27" i="142"/>
  <c r="M27" i="142"/>
  <c r="G27" i="142"/>
  <c r="N27" i="142"/>
  <c r="L27" i="142"/>
  <c r="F27" i="142"/>
  <c r="K27" i="142"/>
  <c r="H27" i="142"/>
  <c r="L33" i="142"/>
  <c r="J33" i="142"/>
  <c r="P33" i="142"/>
  <c r="I33" i="142"/>
  <c r="N33" i="142"/>
  <c r="G33" i="142"/>
  <c r="O33" i="142"/>
  <c r="M33" i="142"/>
  <c r="K33" i="142"/>
  <c r="H33" i="142"/>
  <c r="F33" i="142"/>
  <c r="F36" i="142"/>
  <c r="L36" i="142" s="1"/>
  <c r="K26" i="142"/>
  <c r="J26" i="142"/>
  <c r="O26" i="142"/>
  <c r="H26" i="142"/>
  <c r="P26" i="142"/>
  <c r="F26" i="142"/>
  <c r="Q26" i="142" s="1"/>
  <c r="N26" i="142"/>
  <c r="M26" i="142"/>
  <c r="I26" i="142"/>
  <c r="D61" i="142"/>
  <c r="D73" i="142"/>
  <c r="D75" i="142"/>
  <c r="D102" i="142"/>
  <c r="D4" i="142"/>
  <c r="D7" i="142"/>
  <c r="G10" i="142"/>
  <c r="D11" i="142"/>
  <c r="D82" i="142"/>
  <c r="D106" i="142"/>
  <c r="D100" i="142"/>
  <c r="D91" i="142"/>
  <c r="D88" i="142"/>
  <c r="D43" i="142"/>
  <c r="D105" i="142"/>
  <c r="D99" i="142"/>
  <c r="D71" i="142"/>
  <c r="D69" i="142"/>
  <c r="D67" i="142"/>
  <c r="D66" i="142"/>
  <c r="D65" i="142"/>
  <c r="D64" i="142"/>
  <c r="D60" i="142"/>
  <c r="D57" i="142"/>
  <c r="D54" i="142"/>
  <c r="D53" i="142"/>
  <c r="D52" i="142"/>
  <c r="D51" i="142"/>
  <c r="D50" i="142"/>
  <c r="D49" i="142"/>
  <c r="D104" i="142"/>
  <c r="D94" i="142" s="1"/>
  <c r="D98" i="142"/>
  <c r="D92" i="142" s="1"/>
  <c r="D89" i="142"/>
  <c r="D81" i="142"/>
  <c r="D79" i="142"/>
  <c r="D77" i="142"/>
  <c r="D62" i="142"/>
  <c r="D107" i="142"/>
  <c r="D95" i="142" s="1"/>
  <c r="D59" i="142"/>
  <c r="D42" i="142"/>
  <c r="D9" i="142"/>
  <c r="D103" i="142"/>
  <c r="D63" i="142"/>
  <c r="D32" i="142"/>
  <c r="D29" i="142"/>
  <c r="D17" i="142"/>
  <c r="D15" i="142"/>
  <c r="D101" i="142"/>
  <c r="D56" i="142"/>
  <c r="D46" i="142"/>
  <c r="D44" i="142"/>
  <c r="D31" i="142"/>
  <c r="D28" i="142"/>
  <c r="D16" i="142"/>
  <c r="D14" i="142"/>
  <c r="J10" i="142"/>
  <c r="D12" i="142"/>
  <c r="D13" i="142"/>
  <c r="D24" i="142"/>
  <c r="D30" i="142"/>
  <c r="D2" i="142"/>
  <c r="D5" i="142"/>
  <c r="D68" i="142"/>
  <c r="D72" i="142"/>
  <c r="D74" i="142"/>
  <c r="O10" i="142"/>
  <c r="I10" i="142"/>
  <c r="N10" i="142"/>
  <c r="H10" i="142"/>
  <c r="L10" i="142"/>
  <c r="F10" i="142"/>
  <c r="D8" i="142"/>
  <c r="M10" i="142"/>
  <c r="D58" i="142"/>
  <c r="G6" i="141"/>
  <c r="N27" i="141"/>
  <c r="H27" i="141"/>
  <c r="M27" i="141"/>
  <c r="G27" i="141"/>
  <c r="Q27" i="141" s="1"/>
  <c r="R27" i="141" s="1"/>
  <c r="L27" i="141"/>
  <c r="F27" i="141"/>
  <c r="D102" i="141"/>
  <c r="D106" i="141"/>
  <c r="D100" i="141"/>
  <c r="D92" i="141" s="1"/>
  <c r="D91" i="141"/>
  <c r="D88" i="141"/>
  <c r="D43" i="141"/>
  <c r="D105" i="141"/>
  <c r="D99" i="141"/>
  <c r="D71" i="141"/>
  <c r="D69" i="141"/>
  <c r="D67" i="141"/>
  <c r="D66" i="141"/>
  <c r="D65" i="141"/>
  <c r="D64" i="141"/>
  <c r="D60" i="141"/>
  <c r="D57" i="141"/>
  <c r="D54" i="141"/>
  <c r="D53" i="141"/>
  <c r="D52" i="141"/>
  <c r="D51" i="141"/>
  <c r="D50" i="141"/>
  <c r="D49" i="141"/>
  <c r="D36" i="141"/>
  <c r="D104" i="141"/>
  <c r="D94" i="141" s="1"/>
  <c r="D55" i="141"/>
  <c r="D103" i="141"/>
  <c r="D73" i="141"/>
  <c r="D68" i="141"/>
  <c r="D62" i="141"/>
  <c r="D31" i="141"/>
  <c r="D28" i="141"/>
  <c r="D16" i="141"/>
  <c r="D14" i="141"/>
  <c r="D101" i="141"/>
  <c r="D90" i="141"/>
  <c r="D80" i="141"/>
  <c r="D58" i="141"/>
  <c r="D56" i="141"/>
  <c r="H3" i="141"/>
  <c r="N3" i="141"/>
  <c r="F4" i="141"/>
  <c r="R4" i="141" s="1"/>
  <c r="L4" i="141"/>
  <c r="H6" i="141"/>
  <c r="N6" i="141"/>
  <c r="F7" i="141"/>
  <c r="L7" i="141"/>
  <c r="H9" i="141"/>
  <c r="N9" i="141"/>
  <c r="F10" i="141"/>
  <c r="Q10" i="141" s="1"/>
  <c r="L10" i="141"/>
  <c r="F11" i="141"/>
  <c r="R11" i="141" s="1"/>
  <c r="D17" i="141"/>
  <c r="J26" i="141"/>
  <c r="I27" i="141"/>
  <c r="D29" i="141"/>
  <c r="K32" i="141"/>
  <c r="O33" i="141"/>
  <c r="O59" i="141"/>
  <c r="D81" i="141"/>
  <c r="D107" i="141"/>
  <c r="D95" i="141" s="1"/>
  <c r="F89" i="141"/>
  <c r="L89" i="141" s="1"/>
  <c r="K7" i="141"/>
  <c r="G9" i="141"/>
  <c r="M9" i="141"/>
  <c r="K10" i="141"/>
  <c r="R79" i="141"/>
  <c r="F79" i="141"/>
  <c r="D83" i="141"/>
  <c r="D2" i="141"/>
  <c r="I3" i="141"/>
  <c r="O3" i="141"/>
  <c r="G4" i="141"/>
  <c r="M4" i="141"/>
  <c r="D5" i="141"/>
  <c r="I6" i="141"/>
  <c r="O6" i="141"/>
  <c r="G7" i="141"/>
  <c r="M7" i="141"/>
  <c r="D8" i="141"/>
  <c r="I9" i="141"/>
  <c r="O9" i="141"/>
  <c r="G10" i="141"/>
  <c r="R10" i="141" s="1"/>
  <c r="M10" i="141"/>
  <c r="J27" i="141"/>
  <c r="L32" i="141"/>
  <c r="P33" i="141"/>
  <c r="D42" i="141"/>
  <c r="D72" i="141"/>
  <c r="D75" i="141"/>
  <c r="D82" i="141"/>
  <c r="G3" i="141"/>
  <c r="M3" i="141"/>
  <c r="K4" i="141"/>
  <c r="Q4" i="141" s="1"/>
  <c r="M6" i="141"/>
  <c r="P26" i="141"/>
  <c r="I26" i="141"/>
  <c r="O26" i="141"/>
  <c r="H26" i="141"/>
  <c r="N26" i="141"/>
  <c r="F26" i="141"/>
  <c r="G32" i="141"/>
  <c r="H77" i="141"/>
  <c r="J3" i="141"/>
  <c r="P3" i="141"/>
  <c r="H4" i="141"/>
  <c r="J6" i="141"/>
  <c r="P6" i="141"/>
  <c r="H7" i="141"/>
  <c r="J9" i="141"/>
  <c r="P9" i="141"/>
  <c r="H10" i="141"/>
  <c r="N10" i="141"/>
  <c r="D12" i="141"/>
  <c r="D13" i="141"/>
  <c r="D24" i="141"/>
  <c r="M26" i="141"/>
  <c r="K27" i="141"/>
  <c r="D30" i="141"/>
  <c r="D44" i="141"/>
  <c r="D61" i="141"/>
  <c r="D63" i="141"/>
  <c r="D74" i="141"/>
  <c r="K3" i="141"/>
  <c r="Q3" i="141"/>
  <c r="K6" i="141"/>
  <c r="K9" i="141"/>
  <c r="R15" i="141"/>
  <c r="P32" i="141"/>
  <c r="O32" i="141"/>
  <c r="J32" i="141"/>
  <c r="I32" i="141"/>
  <c r="N32" i="141"/>
  <c r="H32" i="141"/>
  <c r="Q32" i="141" s="1"/>
  <c r="R32" i="141" s="1"/>
  <c r="N33" i="141"/>
  <c r="H33" i="141"/>
  <c r="M33" i="141"/>
  <c r="G33" i="141"/>
  <c r="Q33" i="141" s="1"/>
  <c r="R33" i="141" s="1"/>
  <c r="L33" i="141"/>
  <c r="K33" i="141"/>
  <c r="J33" i="141"/>
  <c r="N46" i="141"/>
  <c r="N47" i="141" s="1"/>
  <c r="D47" i="141"/>
  <c r="K46" i="141"/>
  <c r="K47" i="141" s="1"/>
  <c r="F46" i="141"/>
  <c r="F47" i="141" s="1"/>
  <c r="N59" i="141"/>
  <c r="H59" i="141"/>
  <c r="M59" i="141"/>
  <c r="G59" i="141"/>
  <c r="Q59" i="141" s="1"/>
  <c r="K59" i="141"/>
  <c r="R59" i="141" s="1"/>
  <c r="J59" i="141"/>
  <c r="I59" i="141"/>
  <c r="M4" i="140"/>
  <c r="G4" i="140"/>
  <c r="Q4" i="140" s="1"/>
  <c r="L4" i="140"/>
  <c r="F4" i="140"/>
  <c r="O4" i="140"/>
  <c r="I4" i="140"/>
  <c r="H4" i="140"/>
  <c r="R4" i="140" s="1"/>
  <c r="H10" i="140"/>
  <c r="P59" i="140"/>
  <c r="J59" i="140"/>
  <c r="O59" i="140"/>
  <c r="I59" i="140"/>
  <c r="N59" i="140"/>
  <c r="H59" i="140"/>
  <c r="M59" i="140"/>
  <c r="G59" i="140"/>
  <c r="L59" i="140"/>
  <c r="F59" i="140"/>
  <c r="Q59" i="140" s="1"/>
  <c r="M7" i="140"/>
  <c r="G7" i="140"/>
  <c r="L7" i="140"/>
  <c r="F7" i="140"/>
  <c r="Q7" i="140" s="1"/>
  <c r="O7" i="140"/>
  <c r="I7" i="140"/>
  <c r="K10" i="140"/>
  <c r="H17" i="140"/>
  <c r="N4" i="140"/>
  <c r="H7" i="140"/>
  <c r="N10" i="140"/>
  <c r="I12" i="140"/>
  <c r="I13" i="140"/>
  <c r="K17" i="140"/>
  <c r="K29" i="140"/>
  <c r="G32" i="140"/>
  <c r="I42" i="140"/>
  <c r="I45" i="140" s="1"/>
  <c r="K59" i="140"/>
  <c r="P4" i="140"/>
  <c r="J7" i="140"/>
  <c r="L15" i="140"/>
  <c r="R15" i="140" s="1"/>
  <c r="P26" i="140"/>
  <c r="I26" i="140"/>
  <c r="O26" i="140"/>
  <c r="H26" i="140"/>
  <c r="Q26" i="140" s="1"/>
  <c r="K26" i="140"/>
  <c r="N27" i="140"/>
  <c r="H27" i="140"/>
  <c r="Q27" i="140" s="1"/>
  <c r="M27" i="140"/>
  <c r="G27" i="140"/>
  <c r="P27" i="140"/>
  <c r="J27" i="140"/>
  <c r="M10" i="140"/>
  <c r="G10" i="140"/>
  <c r="L10" i="140"/>
  <c r="F10" i="140"/>
  <c r="Q10" i="140" s="1"/>
  <c r="O10" i="140"/>
  <c r="I10" i="140"/>
  <c r="P17" i="140"/>
  <c r="J17" i="140"/>
  <c r="O17" i="140"/>
  <c r="I17" i="140"/>
  <c r="L17" i="140"/>
  <c r="F17" i="140"/>
  <c r="P29" i="140"/>
  <c r="J29" i="140"/>
  <c r="O29" i="140"/>
  <c r="I29" i="140"/>
  <c r="L29" i="140"/>
  <c r="F29" i="140"/>
  <c r="Q29" i="140" s="1"/>
  <c r="J4" i="140"/>
  <c r="P7" i="140"/>
  <c r="J10" i="140"/>
  <c r="N12" i="140"/>
  <c r="H12" i="140"/>
  <c r="M12" i="140"/>
  <c r="G12" i="140"/>
  <c r="J12" i="140"/>
  <c r="N13" i="140"/>
  <c r="H13" i="140"/>
  <c r="Q13" i="140" s="1"/>
  <c r="M13" i="140"/>
  <c r="G13" i="140"/>
  <c r="P13" i="140"/>
  <c r="J13" i="140"/>
  <c r="G17" i="140"/>
  <c r="R24" i="140"/>
  <c r="L24" i="140"/>
  <c r="G29" i="140"/>
  <c r="N30" i="140"/>
  <c r="H30" i="140"/>
  <c r="Q30" i="140" s="1"/>
  <c r="M30" i="140"/>
  <c r="G30" i="140"/>
  <c r="P30" i="140"/>
  <c r="J30" i="140"/>
  <c r="N33" i="140"/>
  <c r="H33" i="140"/>
  <c r="M33" i="140"/>
  <c r="I33" i="140"/>
  <c r="Q33" i="140" s="1"/>
  <c r="O33" i="140"/>
  <c r="F33" i="140"/>
  <c r="P33" i="140"/>
  <c r="G33" i="140"/>
  <c r="K33" i="140"/>
  <c r="D92" i="140"/>
  <c r="K4" i="140"/>
  <c r="H29" i="140"/>
  <c r="P32" i="140"/>
  <c r="J32" i="140"/>
  <c r="N32" i="140"/>
  <c r="H32" i="140"/>
  <c r="O32" i="140"/>
  <c r="I32" i="140"/>
  <c r="L32" i="140"/>
  <c r="F32" i="140"/>
  <c r="P56" i="140"/>
  <c r="J56" i="140"/>
  <c r="O56" i="140"/>
  <c r="I56" i="140"/>
  <c r="N56" i="140"/>
  <c r="H56" i="140"/>
  <c r="M56" i="140"/>
  <c r="G56" i="140"/>
  <c r="L56" i="140"/>
  <c r="F56" i="140"/>
  <c r="D3" i="140"/>
  <c r="D6" i="140"/>
  <c r="D9" i="140"/>
  <c r="D44" i="140"/>
  <c r="K56" i="140"/>
  <c r="D102" i="140"/>
  <c r="D93" i="140" s="1"/>
  <c r="D90" i="140"/>
  <c r="D75" i="140"/>
  <c r="D74" i="140"/>
  <c r="D73" i="140"/>
  <c r="D72" i="140"/>
  <c r="D68" i="140"/>
  <c r="D63" i="140"/>
  <c r="D61" i="140"/>
  <c r="D46" i="140"/>
  <c r="D107" i="140"/>
  <c r="D95" i="140" s="1"/>
  <c r="D101" i="140"/>
  <c r="D82" i="140"/>
  <c r="D80" i="140"/>
  <c r="D58" i="140"/>
  <c r="D55" i="140"/>
  <c r="D106" i="140"/>
  <c r="D100" i="140"/>
  <c r="D91" i="140"/>
  <c r="D88" i="140"/>
  <c r="D43" i="140"/>
  <c r="D45" i="140" s="1"/>
  <c r="D105" i="140"/>
  <c r="D99" i="140"/>
  <c r="D71" i="140"/>
  <c r="D69" i="140"/>
  <c r="D67" i="140"/>
  <c r="D66" i="140"/>
  <c r="D65" i="140"/>
  <c r="D64" i="140"/>
  <c r="D60" i="140"/>
  <c r="D57" i="140"/>
  <c r="D54" i="140"/>
  <c r="D53" i="140"/>
  <c r="D52" i="140"/>
  <c r="D51" i="140"/>
  <c r="D50" i="140"/>
  <c r="D49" i="140"/>
  <c r="D36" i="140"/>
  <c r="D37" i="140" s="1"/>
  <c r="D104" i="140"/>
  <c r="D94" i="140" s="1"/>
  <c r="D98" i="140"/>
  <c r="D89" i="140"/>
  <c r="D81" i="140"/>
  <c r="D79" i="140"/>
  <c r="D77" i="140"/>
  <c r="D62" i="140"/>
  <c r="D14" i="140"/>
  <c r="D16" i="140"/>
  <c r="D28" i="140"/>
  <c r="D31" i="140"/>
  <c r="D2" i="140"/>
  <c r="D5" i="140"/>
  <c r="D8" i="140"/>
  <c r="D11" i="140"/>
  <c r="L32" i="139"/>
  <c r="F32" i="139"/>
  <c r="O32" i="139"/>
  <c r="I32" i="139"/>
  <c r="N32" i="139"/>
  <c r="I33" i="139"/>
  <c r="N51" i="139"/>
  <c r="H51" i="139"/>
  <c r="O51" i="139" s="1"/>
  <c r="M51" i="139"/>
  <c r="G51" i="139"/>
  <c r="J51" i="139"/>
  <c r="I51" i="139"/>
  <c r="F51" i="139"/>
  <c r="R51" i="139" s="1"/>
  <c r="J4" i="139"/>
  <c r="M5" i="139"/>
  <c r="G5" i="139"/>
  <c r="P5" i="139"/>
  <c r="J5" i="139"/>
  <c r="N5" i="139"/>
  <c r="G10" i="139"/>
  <c r="P10" i="139"/>
  <c r="P13" i="139"/>
  <c r="J13" i="139"/>
  <c r="M13" i="139"/>
  <c r="G13" i="139"/>
  <c r="N13" i="139"/>
  <c r="P27" i="139"/>
  <c r="J27" i="139"/>
  <c r="M27" i="139"/>
  <c r="G27" i="139"/>
  <c r="N27" i="139"/>
  <c r="G32" i="139"/>
  <c r="P32" i="139"/>
  <c r="K33" i="139"/>
  <c r="R40" i="139"/>
  <c r="K51" i="139"/>
  <c r="F66" i="139"/>
  <c r="R66" i="139" s="1"/>
  <c r="F5" i="139"/>
  <c r="O5" i="139"/>
  <c r="O7" i="139"/>
  <c r="I7" i="139"/>
  <c r="L7" i="139"/>
  <c r="F7" i="139"/>
  <c r="N7" i="139"/>
  <c r="I8" i="139"/>
  <c r="H10" i="139"/>
  <c r="F13" i="139"/>
  <c r="O13" i="139"/>
  <c r="L17" i="139"/>
  <c r="F17" i="139"/>
  <c r="O17" i="139"/>
  <c r="I17" i="139"/>
  <c r="N17" i="139"/>
  <c r="F27" i="139"/>
  <c r="O27" i="139"/>
  <c r="L29" i="139"/>
  <c r="F29" i="139"/>
  <c r="O29" i="139"/>
  <c r="I29" i="139"/>
  <c r="N29" i="139"/>
  <c r="I30" i="139"/>
  <c r="Q30" i="139" s="1"/>
  <c r="H32" i="139"/>
  <c r="F43" i="139"/>
  <c r="F45" i="139" s="1"/>
  <c r="L51" i="139"/>
  <c r="N54" i="139"/>
  <c r="H54" i="139"/>
  <c r="M54" i="139"/>
  <c r="G54" i="139"/>
  <c r="Q54" i="139" s="1"/>
  <c r="P54" i="139"/>
  <c r="J54" i="139"/>
  <c r="O54" i="139"/>
  <c r="I54" i="139"/>
  <c r="F54" i="139"/>
  <c r="F71" i="139"/>
  <c r="P33" i="139"/>
  <c r="J33" i="139"/>
  <c r="M33" i="139"/>
  <c r="G33" i="139"/>
  <c r="Q33" i="139" s="1"/>
  <c r="N33" i="139"/>
  <c r="N50" i="139"/>
  <c r="H50" i="139"/>
  <c r="M50" i="139"/>
  <c r="G50" i="139"/>
  <c r="R50" i="139"/>
  <c r="J50" i="139"/>
  <c r="O50" i="139"/>
  <c r="I50" i="139"/>
  <c r="K50" i="139"/>
  <c r="O4" i="139"/>
  <c r="I4" i="139"/>
  <c r="L4" i="139"/>
  <c r="F4" i="139"/>
  <c r="N4" i="139"/>
  <c r="K10" i="139"/>
  <c r="K32" i="139"/>
  <c r="F33" i="139"/>
  <c r="R33" i="139" s="1"/>
  <c r="O33" i="139"/>
  <c r="F50" i="139"/>
  <c r="L69" i="139"/>
  <c r="G4" i="139"/>
  <c r="P4" i="139"/>
  <c r="K5" i="139"/>
  <c r="M8" i="139"/>
  <c r="G8" i="139"/>
  <c r="P8" i="139"/>
  <c r="J8" i="139"/>
  <c r="N8" i="139"/>
  <c r="J12" i="139"/>
  <c r="M12" i="139"/>
  <c r="G12" i="139"/>
  <c r="O12" i="139" s="1"/>
  <c r="N12" i="139"/>
  <c r="R12" i="139" s="1"/>
  <c r="K13" i="139"/>
  <c r="L24" i="139"/>
  <c r="R24" i="139" s="1"/>
  <c r="K26" i="139"/>
  <c r="O26" i="139"/>
  <c r="H26" i="139"/>
  <c r="P26" i="139"/>
  <c r="K27" i="139"/>
  <c r="P30" i="139"/>
  <c r="J30" i="139"/>
  <c r="M30" i="139"/>
  <c r="G30" i="139"/>
  <c r="N30" i="139"/>
  <c r="M32" i="139"/>
  <c r="H33" i="139"/>
  <c r="L36" i="139"/>
  <c r="R36" i="139" s="1"/>
  <c r="L50" i="139"/>
  <c r="N53" i="139"/>
  <c r="H53" i="139"/>
  <c r="M53" i="139"/>
  <c r="G53" i="139"/>
  <c r="R53" i="139"/>
  <c r="J53" i="139"/>
  <c r="O53" i="139"/>
  <c r="I53" i="139"/>
  <c r="K53" i="139"/>
  <c r="N57" i="139"/>
  <c r="H57" i="139"/>
  <c r="M57" i="139"/>
  <c r="G57" i="139"/>
  <c r="Q57" i="139" s="1"/>
  <c r="P57" i="139"/>
  <c r="J57" i="139"/>
  <c r="O57" i="139"/>
  <c r="I57" i="139"/>
  <c r="K57" i="139"/>
  <c r="F69" i="139"/>
  <c r="R69" i="139" s="1"/>
  <c r="R11" i="139"/>
  <c r="O10" i="139"/>
  <c r="I10" i="139"/>
  <c r="L10" i="139"/>
  <c r="F10" i="139"/>
  <c r="Q10" i="139" s="1"/>
  <c r="N10" i="139"/>
  <c r="N66" i="139"/>
  <c r="H66" i="139"/>
  <c r="M66" i="139"/>
  <c r="G66" i="139"/>
  <c r="J66" i="139"/>
  <c r="O66" i="139"/>
  <c r="I66" i="139"/>
  <c r="K66" i="139"/>
  <c r="D102" i="139"/>
  <c r="D90" i="139"/>
  <c r="D75" i="139"/>
  <c r="D74" i="139"/>
  <c r="D73" i="139"/>
  <c r="D72" i="139"/>
  <c r="D68" i="139"/>
  <c r="D63" i="139"/>
  <c r="D61" i="139"/>
  <c r="D46" i="139"/>
  <c r="D107" i="139"/>
  <c r="D95" i="139" s="1"/>
  <c r="D101" i="139"/>
  <c r="D82" i="139"/>
  <c r="D80" i="139"/>
  <c r="D58" i="139"/>
  <c r="D55" i="139"/>
  <c r="D104" i="139"/>
  <c r="D94" i="139" s="1"/>
  <c r="D98" i="139"/>
  <c r="D89" i="139"/>
  <c r="D81" i="139"/>
  <c r="D79" i="139"/>
  <c r="D77" i="139"/>
  <c r="D62" i="139"/>
  <c r="D103" i="139"/>
  <c r="D97" i="139"/>
  <c r="D59" i="139"/>
  <c r="D56" i="139"/>
  <c r="D44" i="139"/>
  <c r="D42" i="139"/>
  <c r="D14" i="139"/>
  <c r="D16" i="139"/>
  <c r="D28" i="139"/>
  <c r="D31" i="139"/>
  <c r="D49" i="139"/>
  <c r="D52" i="139"/>
  <c r="D60" i="139"/>
  <c r="D65" i="139"/>
  <c r="D106" i="139"/>
  <c r="N64" i="139"/>
  <c r="H64" i="139"/>
  <c r="M64" i="139"/>
  <c r="G64" i="139"/>
  <c r="O64" i="139" s="1"/>
  <c r="J64" i="139"/>
  <c r="I64" i="139"/>
  <c r="D91" i="139"/>
  <c r="D3" i="139"/>
  <c r="D6" i="139"/>
  <c r="D9" i="139"/>
  <c r="F64" i="139"/>
  <c r="H67" i="139"/>
  <c r="R67" i="139" s="1"/>
  <c r="D99" i="139"/>
  <c r="F88" i="139"/>
  <c r="F3" i="138"/>
  <c r="P10" i="138"/>
  <c r="P29" i="138"/>
  <c r="J29" i="138"/>
  <c r="N29" i="138"/>
  <c r="H29" i="138"/>
  <c r="L29" i="138"/>
  <c r="K29" i="138"/>
  <c r="M54" i="138"/>
  <c r="G54" i="138"/>
  <c r="P54" i="138"/>
  <c r="J54" i="138"/>
  <c r="K54" i="138"/>
  <c r="H54" i="138"/>
  <c r="L54" i="138"/>
  <c r="I54" i="138"/>
  <c r="G3" i="138"/>
  <c r="O9" i="138"/>
  <c r="I9" i="138"/>
  <c r="N9" i="138"/>
  <c r="H9" i="138"/>
  <c r="F13" i="138"/>
  <c r="P13" i="138"/>
  <c r="K16" i="138"/>
  <c r="I17" i="138"/>
  <c r="L28" i="138"/>
  <c r="R28" i="138" s="1"/>
  <c r="F28" i="138"/>
  <c r="Q28" i="138" s="1"/>
  <c r="P28" i="138"/>
  <c r="J28" i="138"/>
  <c r="H28" i="138"/>
  <c r="O28" i="138"/>
  <c r="G28" i="138"/>
  <c r="F29" i="138"/>
  <c r="R29" i="138" s="1"/>
  <c r="F54" i="138"/>
  <c r="Q54" i="138" s="1"/>
  <c r="R15" i="138"/>
  <c r="M16" i="138"/>
  <c r="M17" i="138"/>
  <c r="I28" i="138"/>
  <c r="G29" i="138"/>
  <c r="L33" i="138"/>
  <c r="O33" i="138"/>
  <c r="H33" i="138"/>
  <c r="M33" i="138"/>
  <c r="F33" i="138"/>
  <c r="J33" i="138"/>
  <c r="I33" i="138"/>
  <c r="N54" i="138"/>
  <c r="M64" i="138"/>
  <c r="G64" i="138"/>
  <c r="J64" i="138"/>
  <c r="K64" i="138"/>
  <c r="H64" i="138"/>
  <c r="L64" i="138"/>
  <c r="I64" i="138"/>
  <c r="J72" i="138"/>
  <c r="M72" i="138"/>
  <c r="G72" i="138"/>
  <c r="K72" i="138"/>
  <c r="H72" i="138"/>
  <c r="N72" i="138"/>
  <c r="O3" i="138"/>
  <c r="I3" i="138"/>
  <c r="N3" i="138"/>
  <c r="H3" i="138"/>
  <c r="M10" i="138"/>
  <c r="G10" i="138"/>
  <c r="L10" i="138"/>
  <c r="F10" i="138"/>
  <c r="O10" i="138"/>
  <c r="P3" i="138"/>
  <c r="H10" i="138"/>
  <c r="Q10" i="138" s="1"/>
  <c r="N27" i="138"/>
  <c r="H27" i="138"/>
  <c r="L27" i="138"/>
  <c r="F27" i="138"/>
  <c r="M27" i="138"/>
  <c r="Q27" i="138" s="1"/>
  <c r="K27" i="138"/>
  <c r="R67" i="138"/>
  <c r="M7" i="138"/>
  <c r="G7" i="138"/>
  <c r="L7" i="138"/>
  <c r="F7" i="138"/>
  <c r="Q7" i="138" s="1"/>
  <c r="O7" i="138"/>
  <c r="M9" i="138"/>
  <c r="I10" i="138"/>
  <c r="J12" i="138"/>
  <c r="G27" i="138"/>
  <c r="L31" i="138"/>
  <c r="F31" i="138"/>
  <c r="Q31" i="138" s="1"/>
  <c r="P31" i="138"/>
  <c r="J31" i="138"/>
  <c r="K31" i="138"/>
  <c r="I31" i="138"/>
  <c r="J3" i="138"/>
  <c r="P7" i="138"/>
  <c r="F9" i="138"/>
  <c r="P9" i="138"/>
  <c r="K12" i="138"/>
  <c r="I13" i="138"/>
  <c r="K3" i="138"/>
  <c r="M4" i="138"/>
  <c r="G4" i="138"/>
  <c r="L4" i="138"/>
  <c r="F4" i="138"/>
  <c r="O4" i="138"/>
  <c r="O6" i="138"/>
  <c r="I6" i="138"/>
  <c r="N6" i="138"/>
  <c r="H6" i="138"/>
  <c r="Q6" i="138" s="1"/>
  <c r="M6" i="138"/>
  <c r="I7" i="138"/>
  <c r="G9" i="138"/>
  <c r="K10" i="138"/>
  <c r="L14" i="138"/>
  <c r="F14" i="138"/>
  <c r="Q14" i="138" s="1"/>
  <c r="P14" i="138"/>
  <c r="J14" i="138"/>
  <c r="H14" i="138"/>
  <c r="O14" i="138"/>
  <c r="G14" i="138"/>
  <c r="F15" i="138"/>
  <c r="L15" i="138" s="1"/>
  <c r="J27" i="138"/>
  <c r="K28" i="138"/>
  <c r="I29" i="138"/>
  <c r="H31" i="138"/>
  <c r="R31" i="138" s="1"/>
  <c r="G33" i="138"/>
  <c r="O54" i="138"/>
  <c r="O56" i="138"/>
  <c r="I56" i="138"/>
  <c r="L56" i="138"/>
  <c r="F56" i="138"/>
  <c r="J56" i="138"/>
  <c r="P56" i="138"/>
  <c r="G56" i="138"/>
  <c r="K56" i="138"/>
  <c r="H56" i="138"/>
  <c r="O59" i="138"/>
  <c r="I59" i="138"/>
  <c r="L59" i="138"/>
  <c r="F59" i="138"/>
  <c r="M59" i="138"/>
  <c r="J59" i="138"/>
  <c r="H59" i="138"/>
  <c r="G59" i="138"/>
  <c r="F64" i="138"/>
  <c r="F72" i="138"/>
  <c r="M3" i="138"/>
  <c r="L16" i="138"/>
  <c r="F16" i="138"/>
  <c r="P16" i="138"/>
  <c r="J16" i="138"/>
  <c r="H16" i="138"/>
  <c r="R16" i="138" s="1"/>
  <c r="O16" i="138"/>
  <c r="G16" i="138"/>
  <c r="L44" i="138"/>
  <c r="L45" i="138" s="1"/>
  <c r="R44" i="138"/>
  <c r="N13" i="138"/>
  <c r="H13" i="138"/>
  <c r="Q13" i="138" s="1"/>
  <c r="R13" i="138" s="1"/>
  <c r="M13" i="138"/>
  <c r="G13" i="138"/>
  <c r="O13" i="138"/>
  <c r="I16" i="138"/>
  <c r="Q16" i="138" s="1"/>
  <c r="Q29" i="138"/>
  <c r="L3" i="138"/>
  <c r="N10" i="138"/>
  <c r="N12" i="138"/>
  <c r="H12" i="138"/>
  <c r="M12" i="138"/>
  <c r="G12" i="138"/>
  <c r="O12" i="138" s="1"/>
  <c r="K13" i="138"/>
  <c r="P17" i="138"/>
  <c r="J17" i="138"/>
  <c r="N17" i="138"/>
  <c r="H17" i="138"/>
  <c r="Q17" i="138" s="1"/>
  <c r="L17" i="138"/>
  <c r="K17" i="138"/>
  <c r="O27" i="138"/>
  <c r="M29" i="138"/>
  <c r="F43" i="138"/>
  <c r="F45" i="138" s="1"/>
  <c r="D107" i="138"/>
  <c r="D95" i="138" s="1"/>
  <c r="D101" i="138"/>
  <c r="D82" i="138"/>
  <c r="D80" i="138"/>
  <c r="D58" i="138"/>
  <c r="D55" i="138"/>
  <c r="D104" i="138"/>
  <c r="D94" i="138" s="1"/>
  <c r="D98" i="138"/>
  <c r="D89" i="138"/>
  <c r="D81" i="138"/>
  <c r="D79" i="138"/>
  <c r="D77" i="138"/>
  <c r="D62" i="138"/>
  <c r="D100" i="138"/>
  <c r="D88" i="138"/>
  <c r="D74" i="138"/>
  <c r="D71" i="138"/>
  <c r="D69" i="138"/>
  <c r="D66" i="138"/>
  <c r="D63" i="138"/>
  <c r="D61" i="138"/>
  <c r="D57" i="138"/>
  <c r="D53" i="138"/>
  <c r="D50" i="138"/>
  <c r="D99" i="138"/>
  <c r="D90" i="138"/>
  <c r="D106" i="138"/>
  <c r="D93" i="138" s="1"/>
  <c r="D97" i="138"/>
  <c r="D73" i="138"/>
  <c r="D68" i="138"/>
  <c r="D65" i="138"/>
  <c r="D60" i="138"/>
  <c r="D52" i="138"/>
  <c r="D49" i="138"/>
  <c r="D24" i="138"/>
  <c r="D26" i="138"/>
  <c r="D30" i="138"/>
  <c r="D32" i="138"/>
  <c r="D36" i="138"/>
  <c r="D42" i="138"/>
  <c r="D51" i="138"/>
  <c r="D75" i="138"/>
  <c r="D105" i="138"/>
  <c r="D2" i="138"/>
  <c r="D5" i="138"/>
  <c r="D8" i="138"/>
  <c r="D11" i="138"/>
  <c r="D46" i="138"/>
  <c r="D91" i="138"/>
  <c r="R40" i="138"/>
  <c r="R89" i="141" l="1"/>
  <c r="D87" i="139"/>
  <c r="D87" i="153"/>
  <c r="D86" i="153" s="1"/>
  <c r="F86" i="153" s="1"/>
  <c r="J92" i="172"/>
  <c r="I92" i="172"/>
  <c r="G92" i="172"/>
  <c r="M92" i="172" s="1"/>
  <c r="K92" i="172"/>
  <c r="H92" i="172"/>
  <c r="F92" i="172"/>
  <c r="L92" i="172"/>
  <c r="R29" i="172"/>
  <c r="R7" i="172"/>
  <c r="L5" i="172"/>
  <c r="F5" i="172"/>
  <c r="R5" i="172" s="1"/>
  <c r="K5" i="172"/>
  <c r="P5" i="172"/>
  <c r="J5" i="172"/>
  <c r="G5" i="172"/>
  <c r="O5" i="172"/>
  <c r="I5" i="172"/>
  <c r="Q5" i="172" s="1"/>
  <c r="N5" i="172"/>
  <c r="H5" i="172"/>
  <c r="M5" i="172"/>
  <c r="M49" i="172"/>
  <c r="G49" i="172"/>
  <c r="L49" i="172"/>
  <c r="F49" i="172"/>
  <c r="J49" i="172"/>
  <c r="I49" i="172"/>
  <c r="H49" i="172"/>
  <c r="D70" i="172"/>
  <c r="N49" i="172"/>
  <c r="K49" i="172"/>
  <c r="R79" i="172"/>
  <c r="D83" i="172"/>
  <c r="F79" i="172"/>
  <c r="F88" i="172"/>
  <c r="L88" i="172" s="1"/>
  <c r="D87" i="172"/>
  <c r="O32" i="172"/>
  <c r="I32" i="172"/>
  <c r="N32" i="172"/>
  <c r="H32" i="172"/>
  <c r="M32" i="172"/>
  <c r="G32" i="172"/>
  <c r="L32" i="172"/>
  <c r="F32" i="172"/>
  <c r="P32" i="172"/>
  <c r="K32" i="172"/>
  <c r="J32" i="172"/>
  <c r="Q32" i="172"/>
  <c r="R32" i="172" s="1"/>
  <c r="R11" i="172"/>
  <c r="F11" i="172"/>
  <c r="M50" i="172"/>
  <c r="G50" i="172"/>
  <c r="L50" i="172"/>
  <c r="F50" i="172"/>
  <c r="R50" i="172" s="1"/>
  <c r="J50" i="172"/>
  <c r="I50" i="172"/>
  <c r="H50" i="172"/>
  <c r="O50" i="172"/>
  <c r="N50" i="172"/>
  <c r="K50" i="172"/>
  <c r="J74" i="172"/>
  <c r="I74" i="172"/>
  <c r="O74" i="172" s="1"/>
  <c r="M74" i="172"/>
  <c r="G74" i="172"/>
  <c r="F74" i="172"/>
  <c r="R74" i="172" s="1"/>
  <c r="N74" i="172"/>
  <c r="L74" i="172"/>
  <c r="K74" i="172"/>
  <c r="H74" i="172"/>
  <c r="Q17" i="172"/>
  <c r="R17" i="172" s="1"/>
  <c r="L15" i="172"/>
  <c r="R15" i="172" s="1"/>
  <c r="O59" i="172"/>
  <c r="I59" i="172"/>
  <c r="N59" i="172"/>
  <c r="H59" i="172"/>
  <c r="L59" i="172"/>
  <c r="F59" i="172"/>
  <c r="K59" i="172"/>
  <c r="J59" i="172"/>
  <c r="G59" i="172"/>
  <c r="P59" i="172"/>
  <c r="M59" i="172"/>
  <c r="M27" i="172"/>
  <c r="G27" i="172"/>
  <c r="L27" i="172"/>
  <c r="F27" i="172"/>
  <c r="Q27" i="172" s="1"/>
  <c r="K27" i="172"/>
  <c r="P27" i="172"/>
  <c r="J27" i="172"/>
  <c r="N27" i="172"/>
  <c r="I27" i="172"/>
  <c r="H27" i="172"/>
  <c r="O27" i="172"/>
  <c r="M51" i="172"/>
  <c r="G51" i="172"/>
  <c r="L51" i="172"/>
  <c r="F51" i="172"/>
  <c r="J51" i="172"/>
  <c r="I51" i="172"/>
  <c r="H51" i="172"/>
  <c r="N51" i="172"/>
  <c r="K51" i="172"/>
  <c r="M65" i="172"/>
  <c r="G65" i="172"/>
  <c r="L65" i="172"/>
  <c r="F65" i="172"/>
  <c r="O65" i="172" s="1"/>
  <c r="J65" i="172"/>
  <c r="I65" i="172"/>
  <c r="H65" i="172"/>
  <c r="N65" i="172"/>
  <c r="K65" i="172"/>
  <c r="F36" i="172"/>
  <c r="L36" i="172" s="1"/>
  <c r="R36" i="172" s="1"/>
  <c r="J75" i="172"/>
  <c r="I75" i="172"/>
  <c r="M75" i="172"/>
  <c r="G75" i="172"/>
  <c r="F75" i="172"/>
  <c r="N75" i="172"/>
  <c r="L75" i="172"/>
  <c r="O75" i="172" s="1"/>
  <c r="K75" i="172"/>
  <c r="H75" i="172"/>
  <c r="O56" i="172"/>
  <c r="I56" i="172"/>
  <c r="N56" i="172"/>
  <c r="H56" i="172"/>
  <c r="Q56" i="172" s="1"/>
  <c r="L56" i="172"/>
  <c r="F56" i="172"/>
  <c r="P56" i="172"/>
  <c r="M56" i="172"/>
  <c r="K56" i="172"/>
  <c r="J56" i="172"/>
  <c r="G56" i="172"/>
  <c r="F89" i="172"/>
  <c r="R8" i="172"/>
  <c r="F24" i="172"/>
  <c r="L24" i="172" s="1"/>
  <c r="R24" i="172" s="1"/>
  <c r="F60" i="172"/>
  <c r="R60" i="172" s="1"/>
  <c r="J73" i="172"/>
  <c r="I73" i="172"/>
  <c r="M73" i="172"/>
  <c r="G73" i="172"/>
  <c r="O73" i="172" s="1"/>
  <c r="F73" i="172"/>
  <c r="R73" i="172" s="1"/>
  <c r="N73" i="172"/>
  <c r="L73" i="172"/>
  <c r="K73" i="172"/>
  <c r="H73" i="172"/>
  <c r="K28" i="172"/>
  <c r="P28" i="172"/>
  <c r="J28" i="172"/>
  <c r="O28" i="172"/>
  <c r="I28" i="172"/>
  <c r="N28" i="172"/>
  <c r="H28" i="172"/>
  <c r="M28" i="172"/>
  <c r="L28" i="172"/>
  <c r="F28" i="172"/>
  <c r="G28" i="172"/>
  <c r="Q28" i="172" s="1"/>
  <c r="F80" i="172"/>
  <c r="R80" i="172" s="1"/>
  <c r="O26" i="172"/>
  <c r="H26" i="172"/>
  <c r="N26" i="172"/>
  <c r="N37" i="172" s="1"/>
  <c r="F26" i="172"/>
  <c r="M26" i="172"/>
  <c r="K26" i="172"/>
  <c r="I26" i="172"/>
  <c r="P26" i="172"/>
  <c r="P37" i="172" s="1"/>
  <c r="D37" i="172"/>
  <c r="D48" i="172" s="1"/>
  <c r="J26" i="172"/>
  <c r="F82" i="172"/>
  <c r="R82" i="172" s="1"/>
  <c r="K93" i="172"/>
  <c r="P93" i="172"/>
  <c r="J93" i="172"/>
  <c r="N93" i="172"/>
  <c r="H93" i="172"/>
  <c r="L93" i="172"/>
  <c r="I93" i="172"/>
  <c r="G93" i="172"/>
  <c r="F93" i="172"/>
  <c r="Q93" i="172" s="1"/>
  <c r="O93" i="172"/>
  <c r="M93" i="172"/>
  <c r="M30" i="172"/>
  <c r="G30" i="172"/>
  <c r="L30" i="172"/>
  <c r="F30" i="172"/>
  <c r="Q30" i="172" s="1"/>
  <c r="K30" i="172"/>
  <c r="P30" i="172"/>
  <c r="J30" i="172"/>
  <c r="H30" i="172"/>
  <c r="I30" i="172"/>
  <c r="O30" i="172"/>
  <c r="N30" i="172"/>
  <c r="M52" i="172"/>
  <c r="G52" i="172"/>
  <c r="L52" i="172"/>
  <c r="F52" i="172"/>
  <c r="R52" i="172" s="1"/>
  <c r="J52" i="172"/>
  <c r="I52" i="172"/>
  <c r="H52" i="172"/>
  <c r="O52" i="172"/>
  <c r="N52" i="172"/>
  <c r="K52" i="172"/>
  <c r="M66" i="172"/>
  <c r="G66" i="172"/>
  <c r="L66" i="172"/>
  <c r="F66" i="172"/>
  <c r="J66" i="172"/>
  <c r="I66" i="172"/>
  <c r="H66" i="172"/>
  <c r="N66" i="172"/>
  <c r="K66" i="172"/>
  <c r="P61" i="172"/>
  <c r="J61" i="172"/>
  <c r="O61" i="172"/>
  <c r="I61" i="172"/>
  <c r="M61" i="172"/>
  <c r="G61" i="172"/>
  <c r="F61" i="172"/>
  <c r="R61" i="172" s="1"/>
  <c r="N61" i="172"/>
  <c r="L61" i="172"/>
  <c r="K61" i="172"/>
  <c r="H61" i="172"/>
  <c r="Q61" i="172" s="1"/>
  <c r="Q90" i="172"/>
  <c r="L90" i="172" s="1"/>
  <c r="R90" i="172" s="1"/>
  <c r="D47" i="172"/>
  <c r="K46" i="172"/>
  <c r="K47" i="172" s="1"/>
  <c r="N46" i="172"/>
  <c r="N47" i="172" s="1"/>
  <c r="F46" i="172"/>
  <c r="F47" i="172" s="1"/>
  <c r="R81" i="172"/>
  <c r="F81" i="172"/>
  <c r="M12" i="172"/>
  <c r="G12" i="172"/>
  <c r="L12" i="172"/>
  <c r="F12" i="172"/>
  <c r="O12" i="172" s="1"/>
  <c r="K12" i="172"/>
  <c r="J12" i="172"/>
  <c r="H12" i="172"/>
  <c r="I12" i="172"/>
  <c r="N12" i="172"/>
  <c r="M33" i="172"/>
  <c r="G33" i="172"/>
  <c r="L33" i="172"/>
  <c r="F33" i="172"/>
  <c r="Q33" i="172" s="1"/>
  <c r="K33" i="172"/>
  <c r="P33" i="172"/>
  <c r="J33" i="172"/>
  <c r="O33" i="172"/>
  <c r="H33" i="172"/>
  <c r="N33" i="172"/>
  <c r="I33" i="172"/>
  <c r="M53" i="172"/>
  <c r="G53" i="172"/>
  <c r="L53" i="172"/>
  <c r="F53" i="172"/>
  <c r="J53" i="172"/>
  <c r="I53" i="172"/>
  <c r="H53" i="172"/>
  <c r="N53" i="172"/>
  <c r="K53" i="172"/>
  <c r="H67" i="172"/>
  <c r="R67" i="172" s="1"/>
  <c r="F68" i="172"/>
  <c r="R68" i="172" s="1"/>
  <c r="K14" i="172"/>
  <c r="P14" i="172"/>
  <c r="J14" i="172"/>
  <c r="O14" i="172"/>
  <c r="I14" i="172"/>
  <c r="N14" i="172"/>
  <c r="H14" i="172"/>
  <c r="M14" i="172"/>
  <c r="L14" i="172"/>
  <c r="G14" i="172"/>
  <c r="F14" i="172"/>
  <c r="I62" i="172"/>
  <c r="H94" i="172"/>
  <c r="R94" i="172" s="1"/>
  <c r="O94" i="172"/>
  <c r="K55" i="172"/>
  <c r="P55" i="172"/>
  <c r="J55" i="172"/>
  <c r="N55" i="172"/>
  <c r="H55" i="172"/>
  <c r="G55" i="172"/>
  <c r="F55" i="172"/>
  <c r="Q55" i="172" s="1"/>
  <c r="O55" i="172"/>
  <c r="M55" i="172"/>
  <c r="L55" i="172"/>
  <c r="I55" i="172"/>
  <c r="F69" i="172"/>
  <c r="L69" i="172" s="1"/>
  <c r="R69" i="172" s="1"/>
  <c r="N9" i="172"/>
  <c r="H9" i="172"/>
  <c r="M9" i="172"/>
  <c r="G9" i="172"/>
  <c r="L9" i="172"/>
  <c r="F9" i="172"/>
  <c r="Q9" i="172" s="1"/>
  <c r="K9" i="172"/>
  <c r="P9" i="172"/>
  <c r="O9" i="172"/>
  <c r="J9" i="172"/>
  <c r="I9" i="172"/>
  <c r="M64" i="172"/>
  <c r="G64" i="172"/>
  <c r="L64" i="172"/>
  <c r="F64" i="172"/>
  <c r="J64" i="172"/>
  <c r="I64" i="172"/>
  <c r="H64" i="172"/>
  <c r="O64" i="172" s="1"/>
  <c r="N64" i="172"/>
  <c r="K64" i="172"/>
  <c r="L10" i="172"/>
  <c r="F10" i="172"/>
  <c r="Q10" i="172" s="1"/>
  <c r="K10" i="172"/>
  <c r="P10" i="172"/>
  <c r="J10" i="172"/>
  <c r="O10" i="172"/>
  <c r="I10" i="172"/>
  <c r="G10" i="172"/>
  <c r="H10" i="172"/>
  <c r="M10" i="172"/>
  <c r="N10" i="172"/>
  <c r="R10" i="172" s="1"/>
  <c r="K31" i="172"/>
  <c r="P31" i="172"/>
  <c r="J31" i="172"/>
  <c r="O31" i="172"/>
  <c r="I31" i="172"/>
  <c r="N31" i="172"/>
  <c r="H31" i="172"/>
  <c r="L31" i="172"/>
  <c r="G31" i="172"/>
  <c r="F31" i="172"/>
  <c r="Q31" i="172" s="1"/>
  <c r="R31" i="172" s="1"/>
  <c r="M31" i="172"/>
  <c r="M13" i="172"/>
  <c r="G13" i="172"/>
  <c r="L13" i="172"/>
  <c r="F13" i="172"/>
  <c r="Q13" i="172" s="1"/>
  <c r="K13" i="172"/>
  <c r="P13" i="172"/>
  <c r="J13" i="172"/>
  <c r="R13" i="172" s="1"/>
  <c r="N13" i="172"/>
  <c r="O13" i="172"/>
  <c r="I13" i="172"/>
  <c r="H13" i="172"/>
  <c r="L44" i="172"/>
  <c r="L45" i="172" s="1"/>
  <c r="R44" i="172"/>
  <c r="M54" i="172"/>
  <c r="G54" i="172"/>
  <c r="L54" i="172"/>
  <c r="F54" i="172"/>
  <c r="P54" i="172"/>
  <c r="J54" i="172"/>
  <c r="I54" i="172"/>
  <c r="H54" i="172"/>
  <c r="O54" i="172"/>
  <c r="N54" i="172"/>
  <c r="K54" i="172"/>
  <c r="R71" i="172"/>
  <c r="F71" i="172"/>
  <c r="D76" i="172"/>
  <c r="J72" i="172"/>
  <c r="J76" i="172" s="1"/>
  <c r="I72" i="172"/>
  <c r="M72" i="172"/>
  <c r="G72" i="172"/>
  <c r="F72" i="172"/>
  <c r="O72" i="172" s="1"/>
  <c r="N72" i="172"/>
  <c r="N76" i="172" s="1"/>
  <c r="L72" i="172"/>
  <c r="K72" i="172"/>
  <c r="H72" i="172"/>
  <c r="K16" i="172"/>
  <c r="P16" i="172"/>
  <c r="J16" i="172"/>
  <c r="O16" i="172"/>
  <c r="I16" i="172"/>
  <c r="N16" i="172"/>
  <c r="H16" i="172"/>
  <c r="M16" i="172"/>
  <c r="F16" i="172"/>
  <c r="Q16" i="172" s="1"/>
  <c r="R16" i="172" s="1"/>
  <c r="L16" i="172"/>
  <c r="G16" i="172"/>
  <c r="N77" i="172"/>
  <c r="R77" i="172" s="1"/>
  <c r="H77" i="172"/>
  <c r="F43" i="172"/>
  <c r="F45" i="172" s="1"/>
  <c r="Q45" i="172" s="1"/>
  <c r="R45" i="172" s="1"/>
  <c r="K58" i="172"/>
  <c r="P58" i="172"/>
  <c r="J58" i="172"/>
  <c r="N58" i="172"/>
  <c r="H58" i="172"/>
  <c r="M58" i="172"/>
  <c r="L58" i="172"/>
  <c r="I58" i="172"/>
  <c r="G58" i="172"/>
  <c r="F58" i="172"/>
  <c r="O58" i="172"/>
  <c r="M57" i="172"/>
  <c r="G57" i="172"/>
  <c r="R57" i="172" s="1"/>
  <c r="L57" i="172"/>
  <c r="F57" i="172"/>
  <c r="Q57" i="172" s="1"/>
  <c r="P57" i="172"/>
  <c r="J57" i="172"/>
  <c r="O57" i="172"/>
  <c r="N57" i="172"/>
  <c r="K57" i="172"/>
  <c r="I57" i="172"/>
  <c r="H57" i="172"/>
  <c r="N4" i="172"/>
  <c r="N25" i="172" s="1"/>
  <c r="N48" i="172" s="1"/>
  <c r="H4" i="172"/>
  <c r="H25" i="172" s="1"/>
  <c r="M4" i="172"/>
  <c r="M25" i="172" s="1"/>
  <c r="G4" i="172"/>
  <c r="G25" i="172" s="1"/>
  <c r="L4" i="172"/>
  <c r="L25" i="172" s="1"/>
  <c r="F4" i="172"/>
  <c r="Q4" i="172" s="1"/>
  <c r="K4" i="172"/>
  <c r="K25" i="172" s="1"/>
  <c r="P4" i="172"/>
  <c r="J4" i="172"/>
  <c r="J25" i="172" s="1"/>
  <c r="O4" i="172"/>
  <c r="O25" i="172" s="1"/>
  <c r="I4" i="172"/>
  <c r="I25" i="172" s="1"/>
  <c r="R3" i="172"/>
  <c r="R54" i="171"/>
  <c r="R3" i="171"/>
  <c r="F80" i="171"/>
  <c r="R80" i="171"/>
  <c r="N50" i="171"/>
  <c r="N70" i="171" s="1"/>
  <c r="H50" i="171"/>
  <c r="M50" i="171"/>
  <c r="G50" i="171"/>
  <c r="L50" i="171"/>
  <c r="F50" i="171"/>
  <c r="J50" i="171"/>
  <c r="I50" i="171"/>
  <c r="K50" i="171"/>
  <c r="P59" i="171"/>
  <c r="J59" i="171"/>
  <c r="Q59" i="171" s="1"/>
  <c r="O59" i="171"/>
  <c r="I59" i="171"/>
  <c r="N59" i="171"/>
  <c r="H59" i="171"/>
  <c r="L59" i="171"/>
  <c r="F59" i="171"/>
  <c r="K59" i="171"/>
  <c r="M59" i="171"/>
  <c r="G59" i="171"/>
  <c r="R59" i="171" s="1"/>
  <c r="D109" i="171"/>
  <c r="L93" i="171"/>
  <c r="F93" i="171"/>
  <c r="K93" i="171"/>
  <c r="P93" i="171"/>
  <c r="J93" i="171"/>
  <c r="N93" i="171"/>
  <c r="H93" i="171"/>
  <c r="M93" i="171"/>
  <c r="G93" i="171"/>
  <c r="Q93" i="171" s="1"/>
  <c r="O93" i="171"/>
  <c r="I93" i="171"/>
  <c r="R10" i="171"/>
  <c r="K29" i="171"/>
  <c r="N29" i="171"/>
  <c r="H29" i="171"/>
  <c r="P29" i="171"/>
  <c r="J29" i="171"/>
  <c r="O29" i="171"/>
  <c r="I29" i="171"/>
  <c r="M29" i="171"/>
  <c r="G29" i="171"/>
  <c r="L29" i="171"/>
  <c r="F29" i="171"/>
  <c r="Q29" i="171" s="1"/>
  <c r="D76" i="171"/>
  <c r="R71" i="171"/>
  <c r="F71" i="171"/>
  <c r="L8" i="171"/>
  <c r="F8" i="171"/>
  <c r="K8" i="171"/>
  <c r="P8" i="171"/>
  <c r="J8" i="171"/>
  <c r="N8" i="171"/>
  <c r="H8" i="171"/>
  <c r="O8" i="171"/>
  <c r="M8" i="171"/>
  <c r="M25" i="171" s="1"/>
  <c r="I8" i="171"/>
  <c r="G8" i="171"/>
  <c r="Q8" i="171" s="1"/>
  <c r="R65" i="171"/>
  <c r="D45" i="171"/>
  <c r="I42" i="171"/>
  <c r="I45" i="171" s="1"/>
  <c r="R42" i="171"/>
  <c r="R62" i="171"/>
  <c r="N62" i="171"/>
  <c r="I62" i="171"/>
  <c r="H94" i="171"/>
  <c r="R94" i="171" s="1"/>
  <c r="O94" i="171"/>
  <c r="L55" i="171"/>
  <c r="F55" i="171"/>
  <c r="Q55" i="171" s="1"/>
  <c r="K55" i="171"/>
  <c r="P55" i="171"/>
  <c r="J55" i="171"/>
  <c r="N55" i="171"/>
  <c r="H55" i="171"/>
  <c r="M55" i="171"/>
  <c r="G55" i="171"/>
  <c r="O55" i="171"/>
  <c r="I55" i="171"/>
  <c r="R55" i="171" s="1"/>
  <c r="D47" i="171"/>
  <c r="K46" i="171"/>
  <c r="K47" i="171" s="1"/>
  <c r="F46" i="171"/>
  <c r="F47" i="171" s="1"/>
  <c r="N46" i="171"/>
  <c r="N47" i="171" s="1"/>
  <c r="K74" i="171"/>
  <c r="J74" i="171"/>
  <c r="I74" i="171"/>
  <c r="M74" i="171"/>
  <c r="G74" i="171"/>
  <c r="R74" i="171" s="1"/>
  <c r="L74" i="171"/>
  <c r="F74" i="171"/>
  <c r="O74" i="171" s="1"/>
  <c r="N74" i="171"/>
  <c r="H74" i="171"/>
  <c r="D70" i="171"/>
  <c r="O30" i="171"/>
  <c r="I30" i="171"/>
  <c r="L30" i="171"/>
  <c r="F30" i="171"/>
  <c r="N30" i="171"/>
  <c r="H30" i="171"/>
  <c r="M30" i="171"/>
  <c r="G30" i="171"/>
  <c r="K30" i="171"/>
  <c r="J30" i="171"/>
  <c r="P30" i="171"/>
  <c r="Q54" i="171"/>
  <c r="Q7" i="171"/>
  <c r="R7" i="171" s="1"/>
  <c r="L15" i="171"/>
  <c r="R15" i="171" s="1"/>
  <c r="F15" i="171"/>
  <c r="P56" i="171"/>
  <c r="J56" i="171"/>
  <c r="O56" i="171"/>
  <c r="I56" i="171"/>
  <c r="N56" i="171"/>
  <c r="H56" i="171"/>
  <c r="L56" i="171"/>
  <c r="F56" i="171"/>
  <c r="K56" i="171"/>
  <c r="G56" i="171"/>
  <c r="M56" i="171"/>
  <c r="F63" i="171"/>
  <c r="R63" i="171" s="1"/>
  <c r="R81" i="171"/>
  <c r="F81" i="171"/>
  <c r="K17" i="171"/>
  <c r="P17" i="171"/>
  <c r="J17" i="171"/>
  <c r="O17" i="171"/>
  <c r="I17" i="171"/>
  <c r="M17" i="171"/>
  <c r="G17" i="171"/>
  <c r="H17" i="171"/>
  <c r="F17" i="171"/>
  <c r="Q17" i="171" s="1"/>
  <c r="N17" i="171"/>
  <c r="L17" i="171"/>
  <c r="N66" i="171"/>
  <c r="H66" i="171"/>
  <c r="M66" i="171"/>
  <c r="O66" i="171" s="1"/>
  <c r="G66" i="171"/>
  <c r="L66" i="171"/>
  <c r="F66" i="171"/>
  <c r="R66" i="171" s="1"/>
  <c r="J66" i="171"/>
  <c r="I66" i="171"/>
  <c r="K66" i="171"/>
  <c r="L5" i="171"/>
  <c r="L25" i="171" s="1"/>
  <c r="F5" i="171"/>
  <c r="K5" i="171"/>
  <c r="K25" i="171" s="1"/>
  <c r="P5" i="171"/>
  <c r="P25" i="171" s="1"/>
  <c r="J5" i="171"/>
  <c r="N5" i="171"/>
  <c r="H5" i="171"/>
  <c r="I5" i="171"/>
  <c r="Q5" i="171" s="1"/>
  <c r="G5" i="171"/>
  <c r="R5" i="171" s="1"/>
  <c r="O5" i="171"/>
  <c r="M5" i="171"/>
  <c r="L44" i="171"/>
  <c r="L45" i="171" s="1"/>
  <c r="R44" i="171"/>
  <c r="N77" i="171"/>
  <c r="R77" i="171" s="1"/>
  <c r="H77" i="171"/>
  <c r="F43" i="171"/>
  <c r="F45" i="171" s="1"/>
  <c r="L58" i="171"/>
  <c r="F58" i="171"/>
  <c r="Q58" i="171" s="1"/>
  <c r="K58" i="171"/>
  <c r="P58" i="171"/>
  <c r="J58" i="171"/>
  <c r="J70" i="171" s="1"/>
  <c r="N58" i="171"/>
  <c r="H58" i="171"/>
  <c r="M58" i="171"/>
  <c r="G58" i="171"/>
  <c r="O58" i="171"/>
  <c r="I58" i="171"/>
  <c r="R58" i="171" s="1"/>
  <c r="K61" i="171"/>
  <c r="P61" i="171"/>
  <c r="J61" i="171"/>
  <c r="O61" i="171"/>
  <c r="I61" i="171"/>
  <c r="M61" i="171"/>
  <c r="M70" i="171" s="1"/>
  <c r="G61" i="171"/>
  <c r="L61" i="171"/>
  <c r="F61" i="171"/>
  <c r="N61" i="171"/>
  <c r="H61" i="171"/>
  <c r="K75" i="171"/>
  <c r="J75" i="171"/>
  <c r="I75" i="171"/>
  <c r="M75" i="171"/>
  <c r="G75" i="171"/>
  <c r="L75" i="171"/>
  <c r="F75" i="171"/>
  <c r="H75" i="171"/>
  <c r="N75" i="171"/>
  <c r="H70" i="171"/>
  <c r="O27" i="171"/>
  <c r="I27" i="171"/>
  <c r="N27" i="171"/>
  <c r="H27" i="171"/>
  <c r="M27" i="171"/>
  <c r="G27" i="171"/>
  <c r="K27" i="171"/>
  <c r="P27" i="171"/>
  <c r="L27" i="171"/>
  <c r="J27" i="171"/>
  <c r="F27" i="171"/>
  <c r="Q27" i="171" s="1"/>
  <c r="D83" i="171"/>
  <c r="R83" i="171" s="1"/>
  <c r="F79" i="171"/>
  <c r="F83" i="171" s="1"/>
  <c r="Q90" i="171"/>
  <c r="H25" i="171"/>
  <c r="M28" i="171"/>
  <c r="G28" i="171"/>
  <c r="P28" i="171"/>
  <c r="J28" i="171"/>
  <c r="L28" i="171"/>
  <c r="Q28" i="171" s="1"/>
  <c r="F28" i="171"/>
  <c r="R28" i="171" s="1"/>
  <c r="K28" i="171"/>
  <c r="O28" i="171"/>
  <c r="I28" i="171"/>
  <c r="N28" i="171"/>
  <c r="H28" i="171"/>
  <c r="R24" i="171"/>
  <c r="L24" i="171"/>
  <c r="F24" i="171"/>
  <c r="F36" i="171"/>
  <c r="L36" i="171" s="1"/>
  <c r="R36" i="171" s="1"/>
  <c r="M16" i="171"/>
  <c r="G16" i="171"/>
  <c r="L16" i="171"/>
  <c r="F16" i="171"/>
  <c r="K16" i="171"/>
  <c r="O16" i="171"/>
  <c r="I16" i="171"/>
  <c r="P16" i="171"/>
  <c r="N16" i="171"/>
  <c r="J16" i="171"/>
  <c r="Q16" i="171" s="1"/>
  <c r="H16" i="171"/>
  <c r="D92" i="171"/>
  <c r="F89" i="171"/>
  <c r="L89" i="171" s="1"/>
  <c r="K72" i="171"/>
  <c r="K76" i="171" s="1"/>
  <c r="J72" i="171"/>
  <c r="I72" i="171"/>
  <c r="I76" i="171" s="1"/>
  <c r="M72" i="171"/>
  <c r="G72" i="171"/>
  <c r="G76" i="171" s="1"/>
  <c r="L72" i="171"/>
  <c r="F72" i="171"/>
  <c r="H72" i="171"/>
  <c r="N72" i="171"/>
  <c r="N57" i="171"/>
  <c r="H57" i="171"/>
  <c r="M57" i="171"/>
  <c r="G57" i="171"/>
  <c r="L57" i="171"/>
  <c r="L70" i="171" s="1"/>
  <c r="F57" i="171"/>
  <c r="P57" i="171"/>
  <c r="J57" i="171"/>
  <c r="O57" i="171"/>
  <c r="I57" i="171"/>
  <c r="K57" i="171"/>
  <c r="O13" i="171"/>
  <c r="I13" i="171"/>
  <c r="N13" i="171"/>
  <c r="H13" i="171"/>
  <c r="M13" i="171"/>
  <c r="G13" i="171"/>
  <c r="K13" i="171"/>
  <c r="P13" i="171"/>
  <c r="L13" i="171"/>
  <c r="J13" i="171"/>
  <c r="F13" i="171"/>
  <c r="Q13" i="171" s="1"/>
  <c r="P70" i="171"/>
  <c r="P78" i="171" s="1"/>
  <c r="L69" i="171"/>
  <c r="R69" i="171" s="1"/>
  <c r="N53" i="171"/>
  <c r="H53" i="171"/>
  <c r="M53" i="171"/>
  <c r="G53" i="171"/>
  <c r="G70" i="171" s="1"/>
  <c r="L53" i="171"/>
  <c r="F53" i="171"/>
  <c r="J53" i="171"/>
  <c r="I53" i="171"/>
  <c r="I70" i="171" s="1"/>
  <c r="K53" i="171"/>
  <c r="K70" i="171" s="1"/>
  <c r="M31" i="171"/>
  <c r="G31" i="171"/>
  <c r="P31" i="171"/>
  <c r="J31" i="171"/>
  <c r="L31" i="171"/>
  <c r="F31" i="171"/>
  <c r="Q31" i="171" s="1"/>
  <c r="K31" i="171"/>
  <c r="O31" i="171"/>
  <c r="I31" i="171"/>
  <c r="R31" i="171" s="1"/>
  <c r="N31" i="171"/>
  <c r="H31" i="171"/>
  <c r="F88" i="171"/>
  <c r="L88" i="171" s="1"/>
  <c r="D87" i="171"/>
  <c r="D37" i="171"/>
  <c r="J26" i="171"/>
  <c r="P26" i="171"/>
  <c r="I26" i="171"/>
  <c r="O26" i="171"/>
  <c r="O37" i="171" s="1"/>
  <c r="H26" i="171"/>
  <c r="M26" i="171"/>
  <c r="N26" i="171"/>
  <c r="K26" i="171"/>
  <c r="F26" i="171"/>
  <c r="D25" i="171"/>
  <c r="F82" i="171"/>
  <c r="R82" i="171" s="1"/>
  <c r="F68" i="171"/>
  <c r="R68" i="171" s="1"/>
  <c r="O64" i="171"/>
  <c r="R64" i="171" s="1"/>
  <c r="K32" i="171"/>
  <c r="N32" i="171"/>
  <c r="H32" i="171"/>
  <c r="P32" i="171"/>
  <c r="J32" i="171"/>
  <c r="O32" i="171"/>
  <c r="I32" i="171"/>
  <c r="M32" i="171"/>
  <c r="R32" i="171" s="1"/>
  <c r="G32" i="171"/>
  <c r="L32" i="171"/>
  <c r="F32" i="171"/>
  <c r="Q32" i="171" s="1"/>
  <c r="F11" i="171"/>
  <c r="R11" i="171"/>
  <c r="M14" i="171"/>
  <c r="G14" i="171"/>
  <c r="L14" i="171"/>
  <c r="F14" i="171"/>
  <c r="K14" i="171"/>
  <c r="O14" i="171"/>
  <c r="I14" i="171"/>
  <c r="P14" i="171"/>
  <c r="N14" i="171"/>
  <c r="J14" i="171"/>
  <c r="J25" i="171" s="1"/>
  <c r="H14" i="171"/>
  <c r="K73" i="171"/>
  <c r="J73" i="171"/>
  <c r="I73" i="171"/>
  <c r="M73" i="171"/>
  <c r="G73" i="171"/>
  <c r="L73" i="171"/>
  <c r="F73" i="171"/>
  <c r="N73" i="171"/>
  <c r="O73" i="171" s="1"/>
  <c r="H73" i="171"/>
  <c r="O49" i="171"/>
  <c r="P33" i="171"/>
  <c r="N33" i="171"/>
  <c r="I33" i="171"/>
  <c r="L33" i="171"/>
  <c r="F33" i="171"/>
  <c r="O33" i="171"/>
  <c r="H33" i="171"/>
  <c r="M33" i="171"/>
  <c r="G33" i="171"/>
  <c r="Q33" i="171" s="1"/>
  <c r="R33" i="171" s="1"/>
  <c r="K33" i="171"/>
  <c r="J33" i="171"/>
  <c r="I12" i="171"/>
  <c r="N12" i="171"/>
  <c r="N25" i="171" s="1"/>
  <c r="H12" i="171"/>
  <c r="M12" i="171"/>
  <c r="G12" i="171"/>
  <c r="K12" i="171"/>
  <c r="L12" i="171"/>
  <c r="J12" i="171"/>
  <c r="F12" i="171"/>
  <c r="R4" i="171"/>
  <c r="Q9" i="171"/>
  <c r="R9" i="171" s="1"/>
  <c r="F25" i="171"/>
  <c r="R12" i="170"/>
  <c r="R27" i="170"/>
  <c r="R26" i="170"/>
  <c r="R4" i="170"/>
  <c r="R7" i="170"/>
  <c r="R30" i="170"/>
  <c r="R29" i="170"/>
  <c r="R3" i="170"/>
  <c r="N77" i="170"/>
  <c r="R77" i="170" s="1"/>
  <c r="H77" i="170"/>
  <c r="H67" i="170"/>
  <c r="R67" i="170" s="1"/>
  <c r="F68" i="170"/>
  <c r="R68" i="170" s="1"/>
  <c r="Q29" i="170"/>
  <c r="Q4" i="170"/>
  <c r="N49" i="170"/>
  <c r="H49" i="170"/>
  <c r="M49" i="170"/>
  <c r="G49" i="170"/>
  <c r="O49" i="170" s="1"/>
  <c r="L49" i="170"/>
  <c r="K49" i="170"/>
  <c r="D70" i="170"/>
  <c r="I49" i="170"/>
  <c r="J49" i="170"/>
  <c r="F49" i="170"/>
  <c r="R5" i="170"/>
  <c r="N31" i="170"/>
  <c r="H31" i="170"/>
  <c r="R31" i="170" s="1"/>
  <c r="P31" i="170"/>
  <c r="J31" i="170"/>
  <c r="M31" i="170"/>
  <c r="G31" i="170"/>
  <c r="Q31" i="170" s="1"/>
  <c r="L31" i="170"/>
  <c r="F31" i="170"/>
  <c r="K31" i="170"/>
  <c r="K37" i="170" s="1"/>
  <c r="O31" i="170"/>
  <c r="I31" i="170"/>
  <c r="N16" i="170"/>
  <c r="N25" i="170" s="1"/>
  <c r="H16" i="170"/>
  <c r="M16" i="170"/>
  <c r="G16" i="170"/>
  <c r="L16" i="170"/>
  <c r="F16" i="170"/>
  <c r="F25" i="170" s="1"/>
  <c r="P16" i="170"/>
  <c r="J16" i="170"/>
  <c r="K16" i="170"/>
  <c r="I16" i="170"/>
  <c r="O16" i="170"/>
  <c r="F81" i="170"/>
  <c r="R81" i="170" s="1"/>
  <c r="N50" i="170"/>
  <c r="H50" i="170"/>
  <c r="M50" i="170"/>
  <c r="G50" i="170"/>
  <c r="O50" i="170" s="1"/>
  <c r="R50" i="170" s="1"/>
  <c r="L50" i="170"/>
  <c r="F50" i="170"/>
  <c r="K50" i="170"/>
  <c r="I50" i="170"/>
  <c r="J50" i="170"/>
  <c r="F60" i="170"/>
  <c r="R60" i="170" s="1"/>
  <c r="D76" i="170"/>
  <c r="F71" i="170"/>
  <c r="R71" i="170" s="1"/>
  <c r="K73" i="170"/>
  <c r="J73" i="170"/>
  <c r="I73" i="170"/>
  <c r="N73" i="170"/>
  <c r="H73" i="170"/>
  <c r="M73" i="170"/>
  <c r="G73" i="170"/>
  <c r="L73" i="170"/>
  <c r="F73" i="170"/>
  <c r="O73" i="170" s="1"/>
  <c r="Q9" i="170"/>
  <c r="R9" i="170" s="1"/>
  <c r="R43" i="170"/>
  <c r="F43" i="170"/>
  <c r="F45" i="170" s="1"/>
  <c r="Q45" i="170" s="1"/>
  <c r="R45" i="170" s="1"/>
  <c r="N54" i="170"/>
  <c r="H54" i="170"/>
  <c r="R54" i="170" s="1"/>
  <c r="M54" i="170"/>
  <c r="G54" i="170"/>
  <c r="L54" i="170"/>
  <c r="F54" i="170"/>
  <c r="Q54" i="170"/>
  <c r="K54" i="170"/>
  <c r="O54" i="170"/>
  <c r="J54" i="170"/>
  <c r="I54" i="170"/>
  <c r="P54" i="170"/>
  <c r="L93" i="170"/>
  <c r="F93" i="170"/>
  <c r="K93" i="170"/>
  <c r="P93" i="170"/>
  <c r="J93" i="170"/>
  <c r="O93" i="170"/>
  <c r="I93" i="170"/>
  <c r="N93" i="170"/>
  <c r="H93" i="170"/>
  <c r="M93" i="170"/>
  <c r="G93" i="170"/>
  <c r="Q26" i="170"/>
  <c r="F79" i="170"/>
  <c r="D83" i="170"/>
  <c r="R8" i="170"/>
  <c r="Q10" i="170"/>
  <c r="R10" i="170" s="1"/>
  <c r="D92" i="170"/>
  <c r="N14" i="170"/>
  <c r="H14" i="170"/>
  <c r="H25" i="170" s="1"/>
  <c r="M14" i="170"/>
  <c r="M25" i="170" s="1"/>
  <c r="M48" i="170" s="1"/>
  <c r="G14" i="170"/>
  <c r="L14" i="170"/>
  <c r="L25" i="170" s="1"/>
  <c r="F14" i="170"/>
  <c r="P14" i="170"/>
  <c r="J14" i="170"/>
  <c r="J25" i="170" s="1"/>
  <c r="K14" i="170"/>
  <c r="O14" i="170"/>
  <c r="O25" i="170" s="1"/>
  <c r="O48" i="170" s="1"/>
  <c r="I14" i="170"/>
  <c r="F89" i="170"/>
  <c r="L89" i="170" s="1"/>
  <c r="R89" i="170" s="1"/>
  <c r="N51" i="170"/>
  <c r="H51" i="170"/>
  <c r="M51" i="170"/>
  <c r="G51" i="170"/>
  <c r="L51" i="170"/>
  <c r="F51" i="170"/>
  <c r="K51" i="170"/>
  <c r="J51" i="170"/>
  <c r="I51" i="170"/>
  <c r="N64" i="170"/>
  <c r="H64" i="170"/>
  <c r="M64" i="170"/>
  <c r="G64" i="170"/>
  <c r="L64" i="170"/>
  <c r="F64" i="170"/>
  <c r="O64" i="170" s="1"/>
  <c r="R64" i="170" s="1"/>
  <c r="K64" i="170"/>
  <c r="J64" i="170"/>
  <c r="I64" i="170"/>
  <c r="L55" i="170"/>
  <c r="F55" i="170"/>
  <c r="K55" i="170"/>
  <c r="P55" i="170"/>
  <c r="J55" i="170"/>
  <c r="O55" i="170"/>
  <c r="I55" i="170"/>
  <c r="G55" i="170"/>
  <c r="N55" i="170"/>
  <c r="M55" i="170"/>
  <c r="H55" i="170"/>
  <c r="D47" i="170"/>
  <c r="D48" i="170" s="1"/>
  <c r="N46" i="170"/>
  <c r="N47" i="170" s="1"/>
  <c r="K46" i="170"/>
  <c r="K47" i="170" s="1"/>
  <c r="F46" i="170"/>
  <c r="F47" i="170" s="1"/>
  <c r="K74" i="170"/>
  <c r="J74" i="170"/>
  <c r="I74" i="170"/>
  <c r="N74" i="170"/>
  <c r="H74" i="170"/>
  <c r="M74" i="170"/>
  <c r="G74" i="170"/>
  <c r="R74" i="170" s="1"/>
  <c r="L74" i="170"/>
  <c r="F74" i="170"/>
  <c r="O74" i="170" s="1"/>
  <c r="R59" i="170"/>
  <c r="Q6" i="170"/>
  <c r="R6" i="170" s="1"/>
  <c r="F36" i="170"/>
  <c r="D109" i="170"/>
  <c r="P25" i="170"/>
  <c r="F69" i="170"/>
  <c r="Q32" i="170"/>
  <c r="R32" i="170" s="1"/>
  <c r="Q7" i="170"/>
  <c r="G25" i="170"/>
  <c r="N52" i="170"/>
  <c r="H52" i="170"/>
  <c r="O52" i="170" s="1"/>
  <c r="M52" i="170"/>
  <c r="G52" i="170"/>
  <c r="R52" i="170" s="1"/>
  <c r="L52" i="170"/>
  <c r="F52" i="170"/>
  <c r="K52" i="170"/>
  <c r="I52" i="170"/>
  <c r="J52" i="170"/>
  <c r="N65" i="170"/>
  <c r="H65" i="170"/>
  <c r="M65" i="170"/>
  <c r="G65" i="170"/>
  <c r="L65" i="170"/>
  <c r="F65" i="170"/>
  <c r="O65" i="170" s="1"/>
  <c r="K65" i="170"/>
  <c r="J65" i="170"/>
  <c r="I65" i="170"/>
  <c r="L58" i="170"/>
  <c r="F58" i="170"/>
  <c r="K58" i="170"/>
  <c r="P58" i="170"/>
  <c r="J58" i="170"/>
  <c r="O58" i="170"/>
  <c r="I58" i="170"/>
  <c r="M58" i="170"/>
  <c r="H58" i="170"/>
  <c r="G58" i="170"/>
  <c r="N58" i="170"/>
  <c r="K61" i="170"/>
  <c r="P61" i="170"/>
  <c r="J61" i="170"/>
  <c r="O61" i="170"/>
  <c r="I61" i="170"/>
  <c r="N61" i="170"/>
  <c r="H61" i="170"/>
  <c r="M61" i="170"/>
  <c r="G61" i="170"/>
  <c r="L61" i="170"/>
  <c r="F61" i="170"/>
  <c r="Q61" i="170" s="1"/>
  <c r="K75" i="170"/>
  <c r="J75" i="170"/>
  <c r="I75" i="170"/>
  <c r="N75" i="170"/>
  <c r="H75" i="170"/>
  <c r="M75" i="170"/>
  <c r="G75" i="170"/>
  <c r="L75" i="170"/>
  <c r="F75" i="170"/>
  <c r="O75" i="170" s="1"/>
  <c r="Q3" i="170"/>
  <c r="F82" i="170"/>
  <c r="R82" i="170" s="1"/>
  <c r="P33" i="170"/>
  <c r="P37" i="170" s="1"/>
  <c r="J33" i="170"/>
  <c r="M33" i="170"/>
  <c r="G33" i="170"/>
  <c r="I33" i="170"/>
  <c r="H33" i="170"/>
  <c r="L33" i="170"/>
  <c r="O33" i="170"/>
  <c r="F33" i="170"/>
  <c r="R33" i="170" s="1"/>
  <c r="N33" i="170"/>
  <c r="K33" i="170"/>
  <c r="Q33" i="170" s="1"/>
  <c r="N57" i="170"/>
  <c r="H57" i="170"/>
  <c r="M57" i="170"/>
  <c r="G57" i="170"/>
  <c r="Q57" i="170" s="1"/>
  <c r="L57" i="170"/>
  <c r="F57" i="170"/>
  <c r="K57" i="170"/>
  <c r="I57" i="170"/>
  <c r="O57" i="170"/>
  <c r="P57" i="170"/>
  <c r="J57" i="170"/>
  <c r="K72" i="170"/>
  <c r="J72" i="170"/>
  <c r="I72" i="170"/>
  <c r="I76" i="170" s="1"/>
  <c r="N72" i="170"/>
  <c r="H72" i="170"/>
  <c r="M72" i="170"/>
  <c r="M76" i="170" s="1"/>
  <c r="G72" i="170"/>
  <c r="F72" i="170"/>
  <c r="O72" i="170" s="1"/>
  <c r="L72" i="170"/>
  <c r="L76" i="170" s="1"/>
  <c r="K25" i="170"/>
  <c r="N28" i="170"/>
  <c r="N37" i="170" s="1"/>
  <c r="H28" i="170"/>
  <c r="M28" i="170"/>
  <c r="M37" i="170" s="1"/>
  <c r="G28" i="170"/>
  <c r="P28" i="170"/>
  <c r="J28" i="170"/>
  <c r="J37" i="170" s="1"/>
  <c r="L28" i="170"/>
  <c r="F28" i="170"/>
  <c r="K28" i="170"/>
  <c r="O28" i="170"/>
  <c r="O37" i="170" s="1"/>
  <c r="I28" i="170"/>
  <c r="I37" i="170" s="1"/>
  <c r="N62" i="170"/>
  <c r="R62" i="170" s="1"/>
  <c r="I62" i="170"/>
  <c r="O94" i="170"/>
  <c r="H94" i="170"/>
  <c r="R94" i="170" s="1"/>
  <c r="N53" i="170"/>
  <c r="H53" i="170"/>
  <c r="M53" i="170"/>
  <c r="G53" i="170"/>
  <c r="L53" i="170"/>
  <c r="F53" i="170"/>
  <c r="O53" i="170" s="1"/>
  <c r="K53" i="170"/>
  <c r="I53" i="170"/>
  <c r="J53" i="170"/>
  <c r="N66" i="170"/>
  <c r="H66" i="170"/>
  <c r="M66" i="170"/>
  <c r="G66" i="170"/>
  <c r="L66" i="170"/>
  <c r="F66" i="170"/>
  <c r="K66" i="170"/>
  <c r="J66" i="170"/>
  <c r="I66" i="170"/>
  <c r="F88" i="170"/>
  <c r="L88" i="170" s="1"/>
  <c r="D87" i="170"/>
  <c r="F80" i="170"/>
  <c r="R80" i="170"/>
  <c r="R63" i="170"/>
  <c r="F63" i="170"/>
  <c r="Q90" i="170"/>
  <c r="L90" i="170" s="1"/>
  <c r="R90" i="170" s="1"/>
  <c r="Q56" i="170"/>
  <c r="R56" i="170" s="1"/>
  <c r="K76" i="169"/>
  <c r="R73" i="169"/>
  <c r="R32" i="169"/>
  <c r="K70" i="169"/>
  <c r="R33" i="169"/>
  <c r="R26" i="169"/>
  <c r="R57" i="169"/>
  <c r="O5" i="169"/>
  <c r="I5" i="169"/>
  <c r="P5" i="169"/>
  <c r="H5" i="169"/>
  <c r="N5" i="169"/>
  <c r="G5" i="169"/>
  <c r="M5" i="169"/>
  <c r="F5" i="169"/>
  <c r="L5" i="169"/>
  <c r="K5" i="169"/>
  <c r="J5" i="169"/>
  <c r="I92" i="169"/>
  <c r="G92" i="169"/>
  <c r="L92" i="169"/>
  <c r="F92" i="169"/>
  <c r="K92" i="169"/>
  <c r="H92" i="169"/>
  <c r="J92" i="169"/>
  <c r="F60" i="169"/>
  <c r="R60" i="169" s="1"/>
  <c r="Q32" i="169"/>
  <c r="Q59" i="169"/>
  <c r="R59" i="169" s="1"/>
  <c r="Q57" i="169"/>
  <c r="M76" i="169"/>
  <c r="L24" i="169"/>
  <c r="F24" i="169"/>
  <c r="R24" i="169"/>
  <c r="K4" i="169"/>
  <c r="K25" i="169" s="1"/>
  <c r="K48" i="169" s="1"/>
  <c r="K2" i="169" s="1"/>
  <c r="K95" i="169" s="1"/>
  <c r="O4" i="169"/>
  <c r="H4" i="169"/>
  <c r="D25" i="169"/>
  <c r="N4" i="169"/>
  <c r="G4" i="169"/>
  <c r="G25" i="169" s="1"/>
  <c r="M4" i="169"/>
  <c r="F4" i="169"/>
  <c r="P4" i="169"/>
  <c r="I4" i="169"/>
  <c r="L4" i="169"/>
  <c r="J4" i="169"/>
  <c r="I75" i="169"/>
  <c r="I76" i="169" s="1"/>
  <c r="M75" i="169"/>
  <c r="G75" i="169"/>
  <c r="F75" i="169"/>
  <c r="O75" i="169" s="1"/>
  <c r="K75" i="169"/>
  <c r="N75" i="169"/>
  <c r="N76" i="169" s="1"/>
  <c r="L75" i="169"/>
  <c r="J75" i="169"/>
  <c r="H75" i="169"/>
  <c r="H76" i="169" s="1"/>
  <c r="H78" i="169" s="1"/>
  <c r="R63" i="169"/>
  <c r="F63" i="169"/>
  <c r="K46" i="169"/>
  <c r="K47" i="169" s="1"/>
  <c r="F46" i="169"/>
  <c r="F47" i="169" s="1"/>
  <c r="N46" i="169"/>
  <c r="N47" i="169" s="1"/>
  <c r="D47" i="169"/>
  <c r="N62" i="169"/>
  <c r="R62" i="169"/>
  <c r="I62" i="169"/>
  <c r="H94" i="169"/>
  <c r="O94" i="169" s="1"/>
  <c r="L52" i="169"/>
  <c r="F52" i="169"/>
  <c r="R52" i="169" s="1"/>
  <c r="J52" i="169"/>
  <c r="M52" i="169"/>
  <c r="I52" i="169"/>
  <c r="O52" i="169" s="1"/>
  <c r="G52" i="169"/>
  <c r="G70" i="169" s="1"/>
  <c r="N52" i="169"/>
  <c r="K52" i="169"/>
  <c r="H52" i="169"/>
  <c r="F89" i="169"/>
  <c r="L89" i="169" s="1"/>
  <c r="R89" i="169" s="1"/>
  <c r="L66" i="169"/>
  <c r="F66" i="169"/>
  <c r="O66" i="169" s="1"/>
  <c r="J66" i="169"/>
  <c r="I66" i="169"/>
  <c r="K66" i="169"/>
  <c r="H66" i="169"/>
  <c r="M66" i="169"/>
  <c r="G66" i="169"/>
  <c r="N66" i="169"/>
  <c r="K31" i="169"/>
  <c r="N31" i="169"/>
  <c r="G31" i="169"/>
  <c r="J31" i="169"/>
  <c r="L31" i="169"/>
  <c r="I31" i="169"/>
  <c r="M31" i="169"/>
  <c r="H31" i="169"/>
  <c r="P31" i="169"/>
  <c r="P37" i="169" s="1"/>
  <c r="F31" i="169"/>
  <c r="Q31" i="169" s="1"/>
  <c r="O31" i="169"/>
  <c r="R53" i="169"/>
  <c r="D70" i="169"/>
  <c r="D78" i="169" s="1"/>
  <c r="J76" i="169"/>
  <c r="L8" i="169"/>
  <c r="F8" i="169"/>
  <c r="O8" i="169"/>
  <c r="I8" i="169"/>
  <c r="J8" i="169"/>
  <c r="H8" i="169"/>
  <c r="P8" i="169"/>
  <c r="G8" i="169"/>
  <c r="K8" i="169"/>
  <c r="N8" i="169"/>
  <c r="M8" i="169"/>
  <c r="Q8" i="169" s="1"/>
  <c r="N7" i="169"/>
  <c r="H7" i="169"/>
  <c r="K7" i="169"/>
  <c r="O7" i="169"/>
  <c r="F7" i="169"/>
  <c r="Q7" i="169" s="1"/>
  <c r="I7" i="169"/>
  <c r="M7" i="169"/>
  <c r="G7" i="169"/>
  <c r="L7" i="169"/>
  <c r="P7" i="169"/>
  <c r="J7" i="169"/>
  <c r="N56" i="169"/>
  <c r="H56" i="169"/>
  <c r="L56" i="169"/>
  <c r="F56" i="169"/>
  <c r="Q56" i="169" s="1"/>
  <c r="O56" i="169"/>
  <c r="G56" i="169"/>
  <c r="K56" i="169"/>
  <c r="P56" i="169"/>
  <c r="M56" i="169"/>
  <c r="J56" i="169"/>
  <c r="I56" i="169"/>
  <c r="N77" i="169"/>
  <c r="H77" i="169"/>
  <c r="R77" i="169" s="1"/>
  <c r="R43" i="169"/>
  <c r="F43" i="169"/>
  <c r="F45" i="169" s="1"/>
  <c r="R17" i="169"/>
  <c r="H67" i="169"/>
  <c r="R67" i="169" s="1"/>
  <c r="P55" i="169"/>
  <c r="P70" i="169" s="1"/>
  <c r="P78" i="169" s="1"/>
  <c r="J55" i="169"/>
  <c r="N55" i="169"/>
  <c r="H55" i="169"/>
  <c r="K55" i="169"/>
  <c r="I55" i="169"/>
  <c r="O55" i="169"/>
  <c r="M55" i="169"/>
  <c r="M70" i="169" s="1"/>
  <c r="L55" i="169"/>
  <c r="G55" i="169"/>
  <c r="Q55" i="169" s="1"/>
  <c r="F55" i="169"/>
  <c r="R30" i="169"/>
  <c r="R13" i="169"/>
  <c r="Q3" i="169"/>
  <c r="K37" i="169"/>
  <c r="R9" i="169"/>
  <c r="O74" i="169"/>
  <c r="R74" i="169" s="1"/>
  <c r="Q54" i="169"/>
  <c r="R54" i="169" s="1"/>
  <c r="F15" i="169"/>
  <c r="N10" i="169"/>
  <c r="H10" i="169"/>
  <c r="K10" i="169"/>
  <c r="I10" i="169"/>
  <c r="P10" i="169"/>
  <c r="G10" i="169"/>
  <c r="O10" i="169"/>
  <c r="F10" i="169"/>
  <c r="Q10" i="169" s="1"/>
  <c r="J10" i="169"/>
  <c r="M10" i="169"/>
  <c r="L10" i="169"/>
  <c r="M27" i="169"/>
  <c r="M37" i="169" s="1"/>
  <c r="G27" i="169"/>
  <c r="L27" i="169"/>
  <c r="L37" i="169" s="1"/>
  <c r="P27" i="169"/>
  <c r="I27" i="169"/>
  <c r="I37" i="169" s="1"/>
  <c r="N27" i="169"/>
  <c r="N37" i="169" s="1"/>
  <c r="K27" i="169"/>
  <c r="J27" i="169"/>
  <c r="O27" i="169"/>
  <c r="O37" i="169" s="1"/>
  <c r="H27" i="169"/>
  <c r="H37" i="169" s="1"/>
  <c r="F27" i="169"/>
  <c r="K14" i="169"/>
  <c r="P14" i="169"/>
  <c r="I14" i="169"/>
  <c r="M14" i="169"/>
  <c r="F14" i="169"/>
  <c r="Q14" i="169" s="1"/>
  <c r="N14" i="169"/>
  <c r="O14" i="169"/>
  <c r="L14" i="169"/>
  <c r="J14" i="169"/>
  <c r="H14" i="169"/>
  <c r="G14" i="169"/>
  <c r="P58" i="169"/>
  <c r="J58" i="169"/>
  <c r="N58" i="169"/>
  <c r="H58" i="169"/>
  <c r="M58" i="169"/>
  <c r="K58" i="169"/>
  <c r="F58" i="169"/>
  <c r="O58" i="169"/>
  <c r="L58" i="169"/>
  <c r="I58" i="169"/>
  <c r="G58" i="169"/>
  <c r="Q58" i="169" s="1"/>
  <c r="D83" i="169"/>
  <c r="F79" i="169"/>
  <c r="R79" i="169" s="1"/>
  <c r="D87" i="169"/>
  <c r="F88" i="169"/>
  <c r="L88" i="169" s="1"/>
  <c r="O49" i="169"/>
  <c r="I12" i="169"/>
  <c r="L12" i="169"/>
  <c r="F12" i="169"/>
  <c r="J12" i="169"/>
  <c r="K12" i="169"/>
  <c r="H12" i="169"/>
  <c r="G12" i="169"/>
  <c r="O12" i="169" s="1"/>
  <c r="N12" i="169"/>
  <c r="M12" i="169"/>
  <c r="K28" i="169"/>
  <c r="M28" i="169"/>
  <c r="F28" i="169"/>
  <c r="F37" i="169" s="1"/>
  <c r="P28" i="169"/>
  <c r="I28" i="169"/>
  <c r="J28" i="169"/>
  <c r="Q28" i="169" s="1"/>
  <c r="H28" i="169"/>
  <c r="G28" i="169"/>
  <c r="L28" i="169"/>
  <c r="O28" i="169"/>
  <c r="N28" i="169"/>
  <c r="Q26" i="169"/>
  <c r="G76" i="169"/>
  <c r="P93" i="169"/>
  <c r="J93" i="169"/>
  <c r="N93" i="169"/>
  <c r="H93" i="169"/>
  <c r="K93" i="169"/>
  <c r="F93" i="169"/>
  <c r="Q93" i="169" s="1"/>
  <c r="L93" i="169"/>
  <c r="I93" i="169"/>
  <c r="M93" i="169"/>
  <c r="G93" i="169"/>
  <c r="O93" i="169"/>
  <c r="F76" i="169"/>
  <c r="R65" i="169"/>
  <c r="R29" i="169"/>
  <c r="L76" i="169"/>
  <c r="R50" i="169"/>
  <c r="D45" i="169"/>
  <c r="I42" i="169"/>
  <c r="I45" i="169" s="1"/>
  <c r="L51" i="169"/>
  <c r="L70" i="169" s="1"/>
  <c r="F51" i="169"/>
  <c r="J51" i="169"/>
  <c r="J70" i="169" s="1"/>
  <c r="G51" i="169"/>
  <c r="K51" i="169"/>
  <c r="N51" i="169"/>
  <c r="N70" i="169" s="1"/>
  <c r="M51" i="169"/>
  <c r="I51" i="169"/>
  <c r="H51" i="169"/>
  <c r="H70" i="169" s="1"/>
  <c r="K16" i="169"/>
  <c r="M16" i="169"/>
  <c r="F16" i="169"/>
  <c r="Q16" i="169" s="1"/>
  <c r="P16" i="169"/>
  <c r="I16" i="169"/>
  <c r="G16" i="169"/>
  <c r="H16" i="169"/>
  <c r="O16" i="169"/>
  <c r="N16" i="169"/>
  <c r="L16" i="169"/>
  <c r="J16" i="169"/>
  <c r="F80" i="169"/>
  <c r="R80" i="169" s="1"/>
  <c r="R81" i="169"/>
  <c r="F81" i="169"/>
  <c r="D109" i="169"/>
  <c r="R3" i="169"/>
  <c r="I62" i="168"/>
  <c r="R94" i="168"/>
  <c r="O94" i="168"/>
  <c r="H94" i="168"/>
  <c r="N53" i="168"/>
  <c r="H53" i="168"/>
  <c r="M53" i="168"/>
  <c r="G53" i="168"/>
  <c r="L53" i="168"/>
  <c r="F53" i="168"/>
  <c r="R53" i="168" s="1"/>
  <c r="K53" i="168"/>
  <c r="J53" i="168"/>
  <c r="O53" i="168"/>
  <c r="I53" i="168"/>
  <c r="N66" i="168"/>
  <c r="H66" i="168"/>
  <c r="M66" i="168"/>
  <c r="G66" i="168"/>
  <c r="L66" i="168"/>
  <c r="F66" i="168"/>
  <c r="K66" i="168"/>
  <c r="J66" i="168"/>
  <c r="I66" i="168"/>
  <c r="R43" i="168"/>
  <c r="F43" i="168"/>
  <c r="F45" i="168" s="1"/>
  <c r="L58" i="168"/>
  <c r="F58" i="168"/>
  <c r="K58" i="168"/>
  <c r="P58" i="168"/>
  <c r="J58" i="168"/>
  <c r="O58" i="168"/>
  <c r="I58" i="168"/>
  <c r="N58" i="168"/>
  <c r="Q58" i="168" s="1"/>
  <c r="H58" i="168"/>
  <c r="G58" i="168"/>
  <c r="M58" i="168"/>
  <c r="K61" i="168"/>
  <c r="P61" i="168"/>
  <c r="J61" i="168"/>
  <c r="O61" i="168"/>
  <c r="I61" i="168"/>
  <c r="N61" i="168"/>
  <c r="H61" i="168"/>
  <c r="M61" i="168"/>
  <c r="G61" i="168"/>
  <c r="Q61" i="168" s="1"/>
  <c r="L61" i="168"/>
  <c r="F61" i="168"/>
  <c r="K75" i="168"/>
  <c r="J75" i="168"/>
  <c r="I75" i="168"/>
  <c r="N75" i="168"/>
  <c r="H75" i="168"/>
  <c r="M75" i="168"/>
  <c r="G75" i="168"/>
  <c r="O75" i="168" s="1"/>
  <c r="L75" i="168"/>
  <c r="F75" i="168"/>
  <c r="P56" i="168"/>
  <c r="J56" i="168"/>
  <c r="O56" i="168"/>
  <c r="I56" i="168"/>
  <c r="N56" i="168"/>
  <c r="H56" i="168"/>
  <c r="M56" i="168"/>
  <c r="G56" i="168"/>
  <c r="L56" i="168"/>
  <c r="F56" i="168"/>
  <c r="Q56" i="168" s="1"/>
  <c r="R56" i="168" s="1"/>
  <c r="K56" i="168"/>
  <c r="N28" i="168"/>
  <c r="H28" i="168"/>
  <c r="M28" i="168"/>
  <c r="G28" i="168"/>
  <c r="K28" i="168"/>
  <c r="L28" i="168"/>
  <c r="F28" i="168"/>
  <c r="Q28" i="168" s="1"/>
  <c r="P28" i="168"/>
  <c r="J28" i="168"/>
  <c r="I28" i="168"/>
  <c r="O28" i="168"/>
  <c r="L32" i="168"/>
  <c r="F32" i="168"/>
  <c r="Q32" i="168" s="1"/>
  <c r="I32" i="168"/>
  <c r="K32" i="168"/>
  <c r="P32" i="168"/>
  <c r="J32" i="168"/>
  <c r="O32" i="168"/>
  <c r="N32" i="168"/>
  <c r="H32" i="168"/>
  <c r="G32" i="168"/>
  <c r="M32" i="168"/>
  <c r="R32" i="168" s="1"/>
  <c r="R77" i="168"/>
  <c r="N77" i="168"/>
  <c r="H77" i="168"/>
  <c r="F36" i="168"/>
  <c r="N54" i="168"/>
  <c r="H54" i="168"/>
  <c r="M54" i="168"/>
  <c r="G54" i="168"/>
  <c r="L54" i="168"/>
  <c r="F54" i="168"/>
  <c r="Q54" i="168" s="1"/>
  <c r="K54" i="168"/>
  <c r="P54" i="168"/>
  <c r="J54" i="168"/>
  <c r="O54" i="168"/>
  <c r="I54" i="168"/>
  <c r="R67" i="168"/>
  <c r="H67" i="168"/>
  <c r="F88" i="168"/>
  <c r="D87" i="168"/>
  <c r="F80" i="168"/>
  <c r="R80" i="168" s="1"/>
  <c r="F63" i="168"/>
  <c r="R63" i="168" s="1"/>
  <c r="Q90" i="168"/>
  <c r="L90" i="168" s="1"/>
  <c r="R90" i="168" s="1"/>
  <c r="O12" i="168"/>
  <c r="R12" i="168" s="1"/>
  <c r="F11" i="168"/>
  <c r="R11" i="168" s="1"/>
  <c r="O4" i="168"/>
  <c r="I4" i="168"/>
  <c r="N4" i="168"/>
  <c r="H4" i="168"/>
  <c r="M4" i="168"/>
  <c r="G4" i="168"/>
  <c r="K4" i="168"/>
  <c r="J4" i="168"/>
  <c r="P4" i="168"/>
  <c r="L4" i="168"/>
  <c r="F4" i="168"/>
  <c r="D45" i="168"/>
  <c r="R42" i="168"/>
  <c r="I42" i="168"/>
  <c r="I45" i="168" s="1"/>
  <c r="P27" i="168"/>
  <c r="J27" i="168"/>
  <c r="M27" i="168"/>
  <c r="O27" i="168"/>
  <c r="I27" i="168"/>
  <c r="G27" i="168"/>
  <c r="N27" i="168"/>
  <c r="H27" i="168"/>
  <c r="L27" i="168"/>
  <c r="F27" i="168"/>
  <c r="Q27" i="168" s="1"/>
  <c r="R27" i="168" s="1"/>
  <c r="K27" i="168"/>
  <c r="O7" i="168"/>
  <c r="I7" i="168"/>
  <c r="Q7" i="168" s="1"/>
  <c r="N7" i="168"/>
  <c r="H7" i="168"/>
  <c r="M7" i="168"/>
  <c r="G7" i="168"/>
  <c r="K7" i="168"/>
  <c r="L7" i="168"/>
  <c r="P7" i="168"/>
  <c r="J7" i="168"/>
  <c r="F7" i="168"/>
  <c r="N31" i="168"/>
  <c r="H31" i="168"/>
  <c r="K31" i="168"/>
  <c r="M31" i="168"/>
  <c r="G31" i="168"/>
  <c r="L31" i="168"/>
  <c r="F31" i="168"/>
  <c r="Q31" i="168" s="1"/>
  <c r="P31" i="168"/>
  <c r="J31" i="168"/>
  <c r="O31" i="168"/>
  <c r="I31" i="168"/>
  <c r="K3" i="168"/>
  <c r="D25" i="168"/>
  <c r="P3" i="168"/>
  <c r="J3" i="168"/>
  <c r="J25" i="168" s="1"/>
  <c r="O3" i="168"/>
  <c r="I3" i="168"/>
  <c r="M3" i="168"/>
  <c r="G3" i="168"/>
  <c r="N3" i="168"/>
  <c r="F3" i="168"/>
  <c r="L3" i="168"/>
  <c r="H3" i="168"/>
  <c r="F81" i="168"/>
  <c r="R81" i="168" s="1"/>
  <c r="N50" i="168"/>
  <c r="H50" i="168"/>
  <c r="M50" i="168"/>
  <c r="G50" i="168"/>
  <c r="L50" i="168"/>
  <c r="F50" i="168"/>
  <c r="O50" i="168" s="1"/>
  <c r="K50" i="168"/>
  <c r="R50" i="168" s="1"/>
  <c r="J50" i="168"/>
  <c r="I50" i="168"/>
  <c r="F60" i="168"/>
  <c r="R60" i="168" s="1"/>
  <c r="D76" i="168"/>
  <c r="R71" i="168"/>
  <c r="F71" i="168"/>
  <c r="K72" i="168"/>
  <c r="J72" i="168"/>
  <c r="J76" i="168" s="1"/>
  <c r="I72" i="168"/>
  <c r="N72" i="168"/>
  <c r="H72" i="168"/>
  <c r="M72" i="168"/>
  <c r="G72" i="168"/>
  <c r="G76" i="168" s="1"/>
  <c r="L72" i="168"/>
  <c r="F72" i="168"/>
  <c r="Q33" i="168"/>
  <c r="R33" i="168" s="1"/>
  <c r="P59" i="168"/>
  <c r="J59" i="168"/>
  <c r="O59" i="168"/>
  <c r="I59" i="168"/>
  <c r="N59" i="168"/>
  <c r="H59" i="168"/>
  <c r="M59" i="168"/>
  <c r="G59" i="168"/>
  <c r="L59" i="168"/>
  <c r="F59" i="168"/>
  <c r="Q59" i="168" s="1"/>
  <c r="R59" i="168" s="1"/>
  <c r="K59" i="168"/>
  <c r="R13" i="168"/>
  <c r="N14" i="168"/>
  <c r="H14" i="168"/>
  <c r="M14" i="168"/>
  <c r="G14" i="168"/>
  <c r="L14" i="168"/>
  <c r="F14" i="168"/>
  <c r="Q14" i="168" s="1"/>
  <c r="K14" i="168"/>
  <c r="P14" i="168"/>
  <c r="J14" i="168"/>
  <c r="I14" i="168"/>
  <c r="O14" i="168"/>
  <c r="O10" i="168"/>
  <c r="I10" i="168"/>
  <c r="L10" i="168"/>
  <c r="F10" i="168"/>
  <c r="N10" i="168"/>
  <c r="H10" i="168"/>
  <c r="M10" i="168"/>
  <c r="G10" i="168"/>
  <c r="K10" i="168"/>
  <c r="P10" i="168"/>
  <c r="J10" i="168"/>
  <c r="M5" i="168"/>
  <c r="G5" i="168"/>
  <c r="L5" i="168"/>
  <c r="F5" i="168"/>
  <c r="Q5" i="168" s="1"/>
  <c r="K5" i="168"/>
  <c r="O5" i="168"/>
  <c r="I5" i="168"/>
  <c r="N5" i="168"/>
  <c r="H5" i="168"/>
  <c r="P5" i="168"/>
  <c r="J5" i="168"/>
  <c r="F15" i="168"/>
  <c r="R15" i="168" s="1"/>
  <c r="L15" i="168"/>
  <c r="K6" i="168"/>
  <c r="P6" i="168"/>
  <c r="J6" i="168"/>
  <c r="O6" i="168"/>
  <c r="I6" i="168"/>
  <c r="M6" i="168"/>
  <c r="Q6" i="168" s="1"/>
  <c r="G6" i="168"/>
  <c r="H6" i="168"/>
  <c r="L6" i="168"/>
  <c r="F6" i="168"/>
  <c r="R6" i="168" s="1"/>
  <c r="N6" i="168"/>
  <c r="F89" i="168"/>
  <c r="L89" i="168" s="1"/>
  <c r="R89" i="168" s="1"/>
  <c r="N51" i="168"/>
  <c r="H51" i="168"/>
  <c r="M51" i="168"/>
  <c r="G51" i="168"/>
  <c r="O51" i="168" s="1"/>
  <c r="L51" i="168"/>
  <c r="F51" i="168"/>
  <c r="K51" i="168"/>
  <c r="J51" i="168"/>
  <c r="R51" i="168" s="1"/>
  <c r="I51" i="168"/>
  <c r="N64" i="168"/>
  <c r="H64" i="168"/>
  <c r="M64" i="168"/>
  <c r="G64" i="168"/>
  <c r="L64" i="168"/>
  <c r="F64" i="168"/>
  <c r="R64" i="168" s="1"/>
  <c r="K64" i="168"/>
  <c r="J64" i="168"/>
  <c r="O64" i="168"/>
  <c r="I64" i="168"/>
  <c r="K73" i="168"/>
  <c r="J73" i="168"/>
  <c r="I73" i="168"/>
  <c r="N73" i="168"/>
  <c r="H73" i="168"/>
  <c r="M73" i="168"/>
  <c r="G73" i="168"/>
  <c r="F73" i="168"/>
  <c r="L73" i="168"/>
  <c r="R24" i="168"/>
  <c r="R30" i="168"/>
  <c r="L29" i="168"/>
  <c r="F29" i="168"/>
  <c r="Q29" i="168" s="1"/>
  <c r="K29" i="168"/>
  <c r="O29" i="168"/>
  <c r="P29" i="168"/>
  <c r="J29" i="168"/>
  <c r="I29" i="168"/>
  <c r="N29" i="168"/>
  <c r="H29" i="168"/>
  <c r="M29" i="168"/>
  <c r="G29" i="168"/>
  <c r="K92" i="168"/>
  <c r="J92" i="168"/>
  <c r="I92" i="168"/>
  <c r="H92" i="168"/>
  <c r="G92" i="168"/>
  <c r="L92" i="168"/>
  <c r="F92" i="168"/>
  <c r="N16" i="168"/>
  <c r="H16" i="168"/>
  <c r="M16" i="168"/>
  <c r="G16" i="168"/>
  <c r="K16" i="168"/>
  <c r="L16" i="168"/>
  <c r="F16" i="168"/>
  <c r="Q16" i="168" s="1"/>
  <c r="P16" i="168"/>
  <c r="J16" i="168"/>
  <c r="I16" i="168"/>
  <c r="O16" i="168"/>
  <c r="F79" i="168"/>
  <c r="F83" i="168" s="1"/>
  <c r="D83" i="168"/>
  <c r="R83" i="168" s="1"/>
  <c r="N49" i="168"/>
  <c r="H49" i="168"/>
  <c r="M49" i="168"/>
  <c r="G49" i="168"/>
  <c r="L49" i="168"/>
  <c r="F49" i="168"/>
  <c r="F70" i="168" s="1"/>
  <c r="K49" i="168"/>
  <c r="J49" i="168"/>
  <c r="I49" i="168"/>
  <c r="D70" i="168"/>
  <c r="N57" i="168"/>
  <c r="H57" i="168"/>
  <c r="M57" i="168"/>
  <c r="G57" i="168"/>
  <c r="L57" i="168"/>
  <c r="F57" i="168"/>
  <c r="Q57" i="168" s="1"/>
  <c r="K57" i="168"/>
  <c r="P57" i="168"/>
  <c r="J57" i="168"/>
  <c r="R57" i="168" s="1"/>
  <c r="O57" i="168"/>
  <c r="I57" i="168"/>
  <c r="R69" i="168"/>
  <c r="L69" i="168"/>
  <c r="F69" i="168"/>
  <c r="D109" i="168"/>
  <c r="F82" i="168"/>
  <c r="R82" i="168" s="1"/>
  <c r="R68" i="168"/>
  <c r="F68" i="168"/>
  <c r="L93" i="168"/>
  <c r="F93" i="168"/>
  <c r="Q93" i="168" s="1"/>
  <c r="K93" i="168"/>
  <c r="P93" i="168"/>
  <c r="J93" i="168"/>
  <c r="O93" i="168"/>
  <c r="I93" i="168"/>
  <c r="N93" i="168"/>
  <c r="H93" i="168"/>
  <c r="M93" i="168"/>
  <c r="G93" i="168"/>
  <c r="K26" i="168"/>
  <c r="K37" i="168" s="1"/>
  <c r="H26" i="168"/>
  <c r="J26" i="168"/>
  <c r="P26" i="168"/>
  <c r="I26" i="168"/>
  <c r="I37" i="168" s="1"/>
  <c r="O26" i="168"/>
  <c r="N26" i="168"/>
  <c r="F26" i="168"/>
  <c r="D37" i="168"/>
  <c r="M26" i="168"/>
  <c r="R44" i="168"/>
  <c r="L44" i="168"/>
  <c r="L45" i="168" s="1"/>
  <c r="M8" i="168"/>
  <c r="G8" i="168"/>
  <c r="L8" i="168"/>
  <c r="F8" i="168"/>
  <c r="Q8" i="168" s="1"/>
  <c r="K8" i="168"/>
  <c r="O8" i="168"/>
  <c r="I8" i="168"/>
  <c r="P8" i="168"/>
  <c r="H8" i="168"/>
  <c r="N8" i="168"/>
  <c r="J8" i="168"/>
  <c r="L17" i="168"/>
  <c r="F17" i="168"/>
  <c r="K17" i="168"/>
  <c r="O17" i="168"/>
  <c r="P17" i="168"/>
  <c r="J17" i="168"/>
  <c r="I17" i="168"/>
  <c r="N17" i="168"/>
  <c r="Q17" i="168" s="1"/>
  <c r="H17" i="168"/>
  <c r="M17" i="168"/>
  <c r="G17" i="168"/>
  <c r="K9" i="168"/>
  <c r="P9" i="168"/>
  <c r="J9" i="168"/>
  <c r="O9" i="168"/>
  <c r="I9" i="168"/>
  <c r="N9" i="168"/>
  <c r="M9" i="168"/>
  <c r="G9" i="168"/>
  <c r="L9" i="168"/>
  <c r="F9" i="168"/>
  <c r="H9" i="168"/>
  <c r="N52" i="168"/>
  <c r="H52" i="168"/>
  <c r="O52" i="168" s="1"/>
  <c r="R52" i="168" s="1"/>
  <c r="M52" i="168"/>
  <c r="G52" i="168"/>
  <c r="L52" i="168"/>
  <c r="F52" i="168"/>
  <c r="K52" i="168"/>
  <c r="J52" i="168"/>
  <c r="I52" i="168"/>
  <c r="N65" i="168"/>
  <c r="H65" i="168"/>
  <c r="O65" i="168" s="1"/>
  <c r="M65" i="168"/>
  <c r="G65" i="168"/>
  <c r="L65" i="168"/>
  <c r="F65" i="168"/>
  <c r="K65" i="168"/>
  <c r="J65" i="168"/>
  <c r="R65" i="168" s="1"/>
  <c r="I65" i="168"/>
  <c r="L55" i="168"/>
  <c r="F55" i="168"/>
  <c r="K55" i="168"/>
  <c r="P55" i="168"/>
  <c r="J55" i="168"/>
  <c r="O55" i="168"/>
  <c r="I55" i="168"/>
  <c r="N55" i="168"/>
  <c r="Q55" i="168" s="1"/>
  <c r="H55" i="168"/>
  <c r="M55" i="168"/>
  <c r="G55" i="168"/>
  <c r="D47" i="168"/>
  <c r="N46" i="168"/>
  <c r="N47" i="168" s="1"/>
  <c r="K46" i="168"/>
  <c r="K47" i="168" s="1"/>
  <c r="F46" i="168"/>
  <c r="F47" i="168" s="1"/>
  <c r="K74" i="168"/>
  <c r="J74" i="168"/>
  <c r="O74" i="168"/>
  <c r="I74" i="168"/>
  <c r="N74" i="168"/>
  <c r="H74" i="168"/>
  <c r="M74" i="168"/>
  <c r="G74" i="168"/>
  <c r="L74" i="168"/>
  <c r="F74" i="168"/>
  <c r="R74" i="168" s="1"/>
  <c r="G92" i="167"/>
  <c r="J92" i="167"/>
  <c r="K92" i="167"/>
  <c r="I92" i="167"/>
  <c r="H92" i="167"/>
  <c r="F92" i="167"/>
  <c r="L92" i="167"/>
  <c r="R30" i="167"/>
  <c r="R54" i="167"/>
  <c r="R55" i="167"/>
  <c r="P57" i="167"/>
  <c r="J57" i="167"/>
  <c r="K57" i="167"/>
  <c r="H57" i="167"/>
  <c r="M57" i="167"/>
  <c r="L57" i="167"/>
  <c r="I57" i="167"/>
  <c r="G57" i="167"/>
  <c r="O57" i="167"/>
  <c r="F57" i="167"/>
  <c r="Q57" i="167" s="1"/>
  <c r="N57" i="167"/>
  <c r="N77" i="167"/>
  <c r="H77" i="167"/>
  <c r="R77" i="167" s="1"/>
  <c r="P10" i="167"/>
  <c r="J10" i="167"/>
  <c r="N10" i="167"/>
  <c r="G10" i="167"/>
  <c r="I10" i="167"/>
  <c r="M10" i="167"/>
  <c r="F10" i="167"/>
  <c r="Q10" i="167" s="1"/>
  <c r="L10" i="167"/>
  <c r="R10" i="167" s="1"/>
  <c r="K10" i="167"/>
  <c r="O10" i="167"/>
  <c r="H10" i="167"/>
  <c r="M72" i="167"/>
  <c r="G72" i="167"/>
  <c r="K72" i="167"/>
  <c r="I72" i="167"/>
  <c r="H72" i="167"/>
  <c r="F72" i="167"/>
  <c r="N72" i="167"/>
  <c r="L72" i="167"/>
  <c r="J72" i="167"/>
  <c r="F60" i="167"/>
  <c r="R60" i="167" s="1"/>
  <c r="Q17" i="167"/>
  <c r="R17" i="167" s="1"/>
  <c r="Q90" i="167"/>
  <c r="L90" i="167" s="1"/>
  <c r="R90" i="167" s="1"/>
  <c r="N29" i="167"/>
  <c r="H29" i="167"/>
  <c r="M29" i="167"/>
  <c r="F29" i="167"/>
  <c r="J29" i="167"/>
  <c r="P29" i="167"/>
  <c r="O29" i="167"/>
  <c r="I29" i="167"/>
  <c r="L29" i="167"/>
  <c r="K29" i="167"/>
  <c r="G29" i="167"/>
  <c r="L24" i="167"/>
  <c r="F24" i="167"/>
  <c r="R24" i="167" s="1"/>
  <c r="R68" i="167"/>
  <c r="F68" i="167"/>
  <c r="M73" i="167"/>
  <c r="G73" i="167"/>
  <c r="N73" i="167"/>
  <c r="F73" i="167"/>
  <c r="L73" i="167"/>
  <c r="K73" i="167"/>
  <c r="J73" i="167"/>
  <c r="I73" i="167"/>
  <c r="H73" i="167"/>
  <c r="O73" i="167" s="1"/>
  <c r="R73" i="167" s="1"/>
  <c r="F63" i="167"/>
  <c r="R63" i="167" s="1"/>
  <c r="F81" i="167"/>
  <c r="R81" i="167" s="1"/>
  <c r="L9" i="167"/>
  <c r="F9" i="167"/>
  <c r="N9" i="167"/>
  <c r="G9" i="167"/>
  <c r="M9" i="167"/>
  <c r="P9" i="167"/>
  <c r="I9" i="167"/>
  <c r="K9" i="167"/>
  <c r="J9" i="167"/>
  <c r="H9" i="167"/>
  <c r="Q9" i="167" s="1"/>
  <c r="O9" i="167"/>
  <c r="L59" i="167"/>
  <c r="F59" i="167"/>
  <c r="Q59" i="167" s="1"/>
  <c r="K59" i="167"/>
  <c r="O59" i="167"/>
  <c r="G59" i="167"/>
  <c r="N59" i="167"/>
  <c r="J59" i="167"/>
  <c r="I59" i="167"/>
  <c r="H59" i="167"/>
  <c r="P59" i="167"/>
  <c r="M59" i="167"/>
  <c r="P28" i="167"/>
  <c r="J28" i="167"/>
  <c r="M28" i="167"/>
  <c r="F28" i="167"/>
  <c r="I28" i="167"/>
  <c r="H28" i="167"/>
  <c r="G28" i="167"/>
  <c r="O28" i="167"/>
  <c r="L28" i="167"/>
  <c r="N28" i="167"/>
  <c r="K28" i="167"/>
  <c r="P31" i="167"/>
  <c r="J31" i="167"/>
  <c r="N31" i="167"/>
  <c r="G31" i="167"/>
  <c r="K31" i="167"/>
  <c r="I31" i="167"/>
  <c r="M31" i="167"/>
  <c r="H31" i="167"/>
  <c r="F31" i="167"/>
  <c r="Q31" i="167" s="1"/>
  <c r="O31" i="167"/>
  <c r="L31" i="167"/>
  <c r="J66" i="167"/>
  <c r="N66" i="167"/>
  <c r="G66" i="167"/>
  <c r="M66" i="167"/>
  <c r="L66" i="167"/>
  <c r="I66" i="167"/>
  <c r="F66" i="167"/>
  <c r="K66" i="167"/>
  <c r="H66" i="167"/>
  <c r="O66" i="167" s="1"/>
  <c r="L44" i="167"/>
  <c r="L45" i="167" s="1"/>
  <c r="R44" i="167"/>
  <c r="L69" i="167"/>
  <c r="R69" i="167" s="1"/>
  <c r="F69" i="167"/>
  <c r="D87" i="167"/>
  <c r="F88" i="167"/>
  <c r="L88" i="167" s="1"/>
  <c r="R88" i="167" s="1"/>
  <c r="D76" i="167"/>
  <c r="D109" i="167" s="1"/>
  <c r="M74" i="167"/>
  <c r="G74" i="167"/>
  <c r="I74" i="167"/>
  <c r="K74" i="167"/>
  <c r="J74" i="167"/>
  <c r="H74" i="167"/>
  <c r="O74" i="167"/>
  <c r="F74" i="167"/>
  <c r="R74" i="167" s="1"/>
  <c r="N74" i="167"/>
  <c r="L74" i="167"/>
  <c r="L6" i="167"/>
  <c r="F6" i="167"/>
  <c r="Q6" i="167" s="1"/>
  <c r="M6" i="167"/>
  <c r="K6" i="167"/>
  <c r="J6" i="167"/>
  <c r="P6" i="167"/>
  <c r="I6" i="167"/>
  <c r="I25" i="167" s="1"/>
  <c r="G6" i="167"/>
  <c r="H6" i="167"/>
  <c r="O6" i="167"/>
  <c r="N6" i="167"/>
  <c r="P26" i="167"/>
  <c r="I26" i="167"/>
  <c r="M26" i="167"/>
  <c r="H26" i="167"/>
  <c r="K26" i="167"/>
  <c r="F26" i="167"/>
  <c r="F37" i="167" s="1"/>
  <c r="D37" i="167"/>
  <c r="O26" i="167"/>
  <c r="N26" i="167"/>
  <c r="J26" i="167"/>
  <c r="J37" i="167" s="1"/>
  <c r="F82" i="167"/>
  <c r="R82" i="167" s="1"/>
  <c r="J65" i="167"/>
  <c r="L65" i="167"/>
  <c r="H65" i="167"/>
  <c r="G65" i="167"/>
  <c r="M65" i="167"/>
  <c r="K65" i="167"/>
  <c r="I65" i="167"/>
  <c r="R65" i="167" s="1"/>
  <c r="F65" i="167"/>
  <c r="N65" i="167"/>
  <c r="O65" i="167" s="1"/>
  <c r="F89" i="167"/>
  <c r="N8" i="167"/>
  <c r="H8" i="167"/>
  <c r="M8" i="167"/>
  <c r="F8" i="167"/>
  <c r="L8" i="167"/>
  <c r="K8" i="167"/>
  <c r="J8" i="167"/>
  <c r="P8" i="167"/>
  <c r="O8" i="167"/>
  <c r="I8" i="167"/>
  <c r="G8" i="167"/>
  <c r="L16" i="167"/>
  <c r="F16" i="167"/>
  <c r="R16" i="167" s="1"/>
  <c r="O16" i="167"/>
  <c r="I16" i="167"/>
  <c r="H16" i="167"/>
  <c r="K16" i="167"/>
  <c r="Q16" i="167" s="1"/>
  <c r="P16" i="167"/>
  <c r="G16" i="167"/>
  <c r="N16" i="167"/>
  <c r="M16" i="167"/>
  <c r="J16" i="167"/>
  <c r="K12" i="167"/>
  <c r="L12" i="167"/>
  <c r="N12" i="167"/>
  <c r="J12" i="167"/>
  <c r="O12" i="167" s="1"/>
  <c r="G12" i="167"/>
  <c r="I12" i="167"/>
  <c r="H12" i="167"/>
  <c r="M12" i="167"/>
  <c r="F12" i="167"/>
  <c r="J52" i="167"/>
  <c r="L52" i="167"/>
  <c r="N52" i="167"/>
  <c r="F52" i="167"/>
  <c r="R52" i="167" s="1"/>
  <c r="I52" i="167"/>
  <c r="M52" i="167"/>
  <c r="K52" i="167"/>
  <c r="H52" i="167"/>
  <c r="G52" i="167"/>
  <c r="O52" i="167"/>
  <c r="J50" i="167"/>
  <c r="N50" i="167"/>
  <c r="G50" i="167"/>
  <c r="L50" i="167"/>
  <c r="H50" i="167"/>
  <c r="O50" i="167" s="1"/>
  <c r="K50" i="167"/>
  <c r="I50" i="167"/>
  <c r="F50" i="167"/>
  <c r="M50" i="167"/>
  <c r="D83" i="167"/>
  <c r="F79" i="167"/>
  <c r="Q3" i="167"/>
  <c r="R67" i="167"/>
  <c r="H67" i="167"/>
  <c r="N5" i="167"/>
  <c r="H5" i="167"/>
  <c r="L5" i="167"/>
  <c r="K5" i="167"/>
  <c r="K25" i="167" s="1"/>
  <c r="J5" i="167"/>
  <c r="J25" i="167" s="1"/>
  <c r="J48" i="167" s="1"/>
  <c r="P5" i="167"/>
  <c r="I5" i="167"/>
  <c r="O5" i="167"/>
  <c r="M5" i="167"/>
  <c r="G5" i="167"/>
  <c r="F5" i="167"/>
  <c r="N27" i="167"/>
  <c r="H27" i="167"/>
  <c r="K27" i="167"/>
  <c r="M27" i="167"/>
  <c r="L27" i="167"/>
  <c r="L37" i="167" s="1"/>
  <c r="P27" i="167"/>
  <c r="J27" i="167"/>
  <c r="G27" i="167"/>
  <c r="I27" i="167"/>
  <c r="O27" i="167"/>
  <c r="F27" i="167"/>
  <c r="Q27" i="167" s="1"/>
  <c r="M75" i="167"/>
  <c r="G75" i="167"/>
  <c r="K75" i="167"/>
  <c r="H75" i="167"/>
  <c r="F75" i="167"/>
  <c r="N75" i="167"/>
  <c r="L75" i="167"/>
  <c r="J75" i="167"/>
  <c r="I75" i="167"/>
  <c r="I42" i="167"/>
  <c r="I45" i="167" s="1"/>
  <c r="R42" i="167"/>
  <c r="D45" i="167"/>
  <c r="D93" i="167"/>
  <c r="P7" i="167"/>
  <c r="J7" i="167"/>
  <c r="R7" i="167" s="1"/>
  <c r="M7" i="167"/>
  <c r="F7" i="167"/>
  <c r="L7" i="167"/>
  <c r="K7" i="167"/>
  <c r="Q7" i="167"/>
  <c r="I7" i="167"/>
  <c r="N7" i="167"/>
  <c r="H7" i="167"/>
  <c r="O7" i="167"/>
  <c r="O25" i="167" s="1"/>
  <c r="G7" i="167"/>
  <c r="L14" i="167"/>
  <c r="F14" i="167"/>
  <c r="Q14" i="167" s="1"/>
  <c r="O14" i="167"/>
  <c r="I14" i="167"/>
  <c r="H14" i="167"/>
  <c r="R14" i="167" s="1"/>
  <c r="P14" i="167"/>
  <c r="G14" i="167"/>
  <c r="K14" i="167"/>
  <c r="N14" i="167"/>
  <c r="M14" i="167"/>
  <c r="J14" i="167"/>
  <c r="N58" i="167"/>
  <c r="H58" i="167"/>
  <c r="K58" i="167"/>
  <c r="L58" i="167"/>
  <c r="P58" i="167"/>
  <c r="G58" i="167"/>
  <c r="R58" i="167" s="1"/>
  <c r="J58" i="167"/>
  <c r="O58" i="167"/>
  <c r="I58" i="167"/>
  <c r="F58" i="167"/>
  <c r="Q58" i="167"/>
  <c r="M58" i="167"/>
  <c r="K13" i="167"/>
  <c r="N13" i="167"/>
  <c r="G13" i="167"/>
  <c r="P13" i="167"/>
  <c r="M13" i="167"/>
  <c r="F13" i="167"/>
  <c r="Q13" i="167" s="1"/>
  <c r="L13" i="167"/>
  <c r="I13" i="167"/>
  <c r="J13" i="167"/>
  <c r="H13" i="167"/>
  <c r="O13" i="167"/>
  <c r="M61" i="167"/>
  <c r="G61" i="167"/>
  <c r="R61" i="167" s="1"/>
  <c r="P61" i="167"/>
  <c r="I61" i="167"/>
  <c r="O61" i="167"/>
  <c r="F61" i="167"/>
  <c r="Q61" i="167" s="1"/>
  <c r="N61" i="167"/>
  <c r="K61" i="167"/>
  <c r="J61" i="167"/>
  <c r="H61" i="167"/>
  <c r="L61" i="167"/>
  <c r="N32" i="167"/>
  <c r="H32" i="167"/>
  <c r="O32" i="167"/>
  <c r="G32" i="167"/>
  <c r="K32" i="167"/>
  <c r="F32" i="167"/>
  <c r="J32" i="167"/>
  <c r="P32" i="167"/>
  <c r="M32" i="167"/>
  <c r="L32" i="167"/>
  <c r="I32" i="167"/>
  <c r="P4" i="167"/>
  <c r="P25" i="167" s="1"/>
  <c r="J4" i="167"/>
  <c r="L4" i="167"/>
  <c r="L25" i="167" s="1"/>
  <c r="L48" i="167" s="1"/>
  <c r="K4" i="167"/>
  <c r="Q4" i="167"/>
  <c r="I4" i="167"/>
  <c r="O4" i="167"/>
  <c r="H4" i="167"/>
  <c r="H25" i="167" s="1"/>
  <c r="M4" i="167"/>
  <c r="M25" i="167" s="1"/>
  <c r="G4" i="167"/>
  <c r="D25" i="167"/>
  <c r="N4" i="167"/>
  <c r="F4" i="167"/>
  <c r="F25" i="167" s="1"/>
  <c r="F48" i="167" s="1"/>
  <c r="J51" i="167"/>
  <c r="I51" i="167"/>
  <c r="H51" i="167"/>
  <c r="M51" i="167"/>
  <c r="L51" i="167"/>
  <c r="K51" i="167"/>
  <c r="G51" i="167"/>
  <c r="F51" i="167"/>
  <c r="N51" i="167"/>
  <c r="L56" i="167"/>
  <c r="F56" i="167"/>
  <c r="J56" i="167"/>
  <c r="N56" i="167"/>
  <c r="I56" i="167"/>
  <c r="M56" i="167"/>
  <c r="K56" i="167"/>
  <c r="H56" i="167"/>
  <c r="P56" i="167"/>
  <c r="P70" i="167" s="1"/>
  <c r="P78" i="167" s="1"/>
  <c r="G56" i="167"/>
  <c r="O56" i="167"/>
  <c r="J49" i="167"/>
  <c r="L49" i="167"/>
  <c r="G49" i="167"/>
  <c r="D70" i="167"/>
  <c r="K49" i="167"/>
  <c r="I49" i="167"/>
  <c r="N49" i="167"/>
  <c r="H49" i="167"/>
  <c r="F49" i="167"/>
  <c r="M49" i="167"/>
  <c r="M70" i="167" s="1"/>
  <c r="I62" i="167"/>
  <c r="H94" i="167"/>
  <c r="O94" i="167" s="1"/>
  <c r="R94" i="167" s="1"/>
  <c r="J64" i="167"/>
  <c r="I64" i="167"/>
  <c r="L64" i="167"/>
  <c r="K64" i="167"/>
  <c r="G64" i="167"/>
  <c r="F64" i="167"/>
  <c r="O64" i="167" s="1"/>
  <c r="M64" i="167"/>
  <c r="N64" i="167"/>
  <c r="H64" i="167"/>
  <c r="K46" i="167"/>
  <c r="K47" i="167" s="1"/>
  <c r="D47" i="167"/>
  <c r="F46" i="167"/>
  <c r="F47" i="167" s="1"/>
  <c r="N46" i="167"/>
  <c r="N47" i="167" s="1"/>
  <c r="F11" i="167"/>
  <c r="R11" i="167" s="1"/>
  <c r="R3" i="167"/>
  <c r="R33" i="167"/>
  <c r="R61" i="166"/>
  <c r="I92" i="166"/>
  <c r="G92" i="166"/>
  <c r="F92" i="166"/>
  <c r="K92" i="166"/>
  <c r="L92" i="166"/>
  <c r="J92" i="166"/>
  <c r="H92" i="166"/>
  <c r="L12" i="166"/>
  <c r="F12" i="166"/>
  <c r="K12" i="166"/>
  <c r="I12" i="166"/>
  <c r="G12" i="166"/>
  <c r="N12" i="166"/>
  <c r="M12" i="166"/>
  <c r="H12" i="166"/>
  <c r="J12" i="166"/>
  <c r="O12" i="166" s="1"/>
  <c r="L66" i="166"/>
  <c r="F66" i="166"/>
  <c r="J66" i="166"/>
  <c r="M66" i="166"/>
  <c r="H66" i="166"/>
  <c r="H70" i="166" s="1"/>
  <c r="G66" i="166"/>
  <c r="N66" i="166"/>
  <c r="I66" i="166"/>
  <c r="K66" i="166"/>
  <c r="K10" i="166"/>
  <c r="P10" i="166"/>
  <c r="J10" i="166"/>
  <c r="H10" i="166"/>
  <c r="N10" i="166"/>
  <c r="F10" i="166"/>
  <c r="M10" i="166"/>
  <c r="L10" i="166"/>
  <c r="I10" i="166"/>
  <c r="O10" i="166"/>
  <c r="G10" i="166"/>
  <c r="N28" i="166"/>
  <c r="H28" i="166"/>
  <c r="K28" i="166"/>
  <c r="M28" i="166"/>
  <c r="L28" i="166"/>
  <c r="I28" i="166"/>
  <c r="I37" i="166" s="1"/>
  <c r="P28" i="166"/>
  <c r="P37" i="166" s="1"/>
  <c r="G28" i="166"/>
  <c r="F28" i="166"/>
  <c r="Q28" i="166" s="1"/>
  <c r="O28" i="166"/>
  <c r="O37" i="166" s="1"/>
  <c r="J28" i="166"/>
  <c r="J37" i="166" s="1"/>
  <c r="H67" i="166"/>
  <c r="R67" i="166" s="1"/>
  <c r="I62" i="166"/>
  <c r="N62" i="166" s="1"/>
  <c r="H94" i="166"/>
  <c r="Q47" i="166"/>
  <c r="R47" i="166" s="1"/>
  <c r="L32" i="166"/>
  <c r="F32" i="166"/>
  <c r="R32" i="166" s="1"/>
  <c r="O32" i="166"/>
  <c r="I32" i="166"/>
  <c r="Q32" i="166" s="1"/>
  <c r="K32" i="166"/>
  <c r="J32" i="166"/>
  <c r="G32" i="166"/>
  <c r="P32" i="166"/>
  <c r="N32" i="166"/>
  <c r="N37" i="166" s="1"/>
  <c r="M32" i="166"/>
  <c r="H32" i="166"/>
  <c r="M3" i="166"/>
  <c r="G3" i="166"/>
  <c r="L3" i="166"/>
  <c r="L25" i="166" s="1"/>
  <c r="F3" i="166"/>
  <c r="P3" i="166"/>
  <c r="H3" i="166"/>
  <c r="N3" i="166"/>
  <c r="J3" i="166"/>
  <c r="D25" i="166"/>
  <c r="O3" i="166"/>
  <c r="K3" i="166"/>
  <c r="I3" i="166"/>
  <c r="H37" i="166"/>
  <c r="R8" i="166"/>
  <c r="P93" i="166"/>
  <c r="J93" i="166"/>
  <c r="N93" i="166"/>
  <c r="H93" i="166"/>
  <c r="M93" i="166"/>
  <c r="I93" i="166"/>
  <c r="F93" i="166"/>
  <c r="O93" i="166"/>
  <c r="L93" i="166"/>
  <c r="K93" i="166"/>
  <c r="G93" i="166"/>
  <c r="Q93" i="166" s="1"/>
  <c r="L29" i="166"/>
  <c r="Q29" i="166" s="1"/>
  <c r="F29" i="166"/>
  <c r="R29" i="166" s="1"/>
  <c r="O29" i="166"/>
  <c r="I29" i="166"/>
  <c r="H29" i="166"/>
  <c r="P29" i="166"/>
  <c r="G29" i="166"/>
  <c r="G37" i="166" s="1"/>
  <c r="J29" i="166"/>
  <c r="N29" i="166"/>
  <c r="M29" i="166"/>
  <c r="M37" i="166" s="1"/>
  <c r="K29" i="166"/>
  <c r="L57" i="166"/>
  <c r="F57" i="166"/>
  <c r="P57" i="166"/>
  <c r="J57" i="166"/>
  <c r="M57" i="166"/>
  <c r="H57" i="166"/>
  <c r="O57" i="166"/>
  <c r="N57" i="166"/>
  <c r="G57" i="166"/>
  <c r="K57" i="166"/>
  <c r="I57" i="166"/>
  <c r="P13" i="166"/>
  <c r="J13" i="166"/>
  <c r="M13" i="166"/>
  <c r="F13" i="166"/>
  <c r="L13" i="166"/>
  <c r="G13" i="166"/>
  <c r="N13" i="166"/>
  <c r="I13" i="166"/>
  <c r="H13" i="166"/>
  <c r="O13" i="166"/>
  <c r="K13" i="166"/>
  <c r="Q13" i="166" s="1"/>
  <c r="Q90" i="166"/>
  <c r="L90" i="166" s="1"/>
  <c r="R90" i="166" s="1"/>
  <c r="D45" i="166"/>
  <c r="I42" i="166"/>
  <c r="I45" i="166" s="1"/>
  <c r="N31" i="166"/>
  <c r="H31" i="166"/>
  <c r="K31" i="166"/>
  <c r="P31" i="166"/>
  <c r="G31" i="166"/>
  <c r="O31" i="166"/>
  <c r="F31" i="166"/>
  <c r="I31" i="166"/>
  <c r="Q31" i="166" s="1"/>
  <c r="M31" i="166"/>
  <c r="L31" i="166"/>
  <c r="J31" i="166"/>
  <c r="I72" i="166"/>
  <c r="I76" i="166" s="1"/>
  <c r="M72" i="166"/>
  <c r="G72" i="166"/>
  <c r="G76" i="166" s="1"/>
  <c r="J72" i="166"/>
  <c r="N72" i="166"/>
  <c r="H72" i="166"/>
  <c r="F72" i="166"/>
  <c r="F76" i="166" s="1"/>
  <c r="K72" i="166"/>
  <c r="K76" i="166" s="1"/>
  <c r="L72" i="166"/>
  <c r="N77" i="166"/>
  <c r="H77" i="166"/>
  <c r="R77" i="166"/>
  <c r="F43" i="166"/>
  <c r="F45" i="166" s="1"/>
  <c r="R36" i="166"/>
  <c r="R53" i="166"/>
  <c r="D76" i="166"/>
  <c r="R30" i="166"/>
  <c r="N16" i="166"/>
  <c r="H16" i="166"/>
  <c r="J16" i="166"/>
  <c r="P16" i="166"/>
  <c r="I16" i="166"/>
  <c r="F16" i="166"/>
  <c r="M16" i="166"/>
  <c r="K16" i="166"/>
  <c r="O16" i="166"/>
  <c r="L16" i="166"/>
  <c r="G16" i="166"/>
  <c r="Q16" i="166" s="1"/>
  <c r="R16" i="166" s="1"/>
  <c r="R6" i="166"/>
  <c r="R56" i="166"/>
  <c r="R17" i="166"/>
  <c r="N14" i="166"/>
  <c r="H14" i="166"/>
  <c r="R14" i="166" s="1"/>
  <c r="M14" i="166"/>
  <c r="F14" i="166"/>
  <c r="Q14" i="166" s="1"/>
  <c r="L14" i="166"/>
  <c r="O14" i="166"/>
  <c r="J14" i="166"/>
  <c r="G14" i="166"/>
  <c r="K14" i="166"/>
  <c r="I14" i="166"/>
  <c r="P14" i="166"/>
  <c r="L65" i="166"/>
  <c r="F65" i="166"/>
  <c r="J65" i="166"/>
  <c r="G65" i="166"/>
  <c r="K65" i="166"/>
  <c r="H65" i="166"/>
  <c r="N65" i="166"/>
  <c r="M65" i="166"/>
  <c r="I65" i="166"/>
  <c r="O65" i="166" s="1"/>
  <c r="L44" i="166"/>
  <c r="L45" i="166" s="1"/>
  <c r="R44" i="166"/>
  <c r="R79" i="166"/>
  <c r="D83" i="166"/>
  <c r="F79" i="166"/>
  <c r="D87" i="166"/>
  <c r="F88" i="166"/>
  <c r="Q61" i="166"/>
  <c r="R74" i="166"/>
  <c r="O74" i="166"/>
  <c r="K37" i="166"/>
  <c r="Q9" i="166"/>
  <c r="R9" i="166" s="1"/>
  <c r="F15" i="166"/>
  <c r="L15" i="166"/>
  <c r="R15" i="166" s="1"/>
  <c r="R68" i="166"/>
  <c r="F68" i="166"/>
  <c r="L51" i="166"/>
  <c r="L70" i="166" s="1"/>
  <c r="F51" i="166"/>
  <c r="J51" i="166"/>
  <c r="I51" i="166"/>
  <c r="I70" i="166" s="1"/>
  <c r="N51" i="166"/>
  <c r="N70" i="166" s="1"/>
  <c r="M51" i="166"/>
  <c r="M70" i="166" s="1"/>
  <c r="K51" i="166"/>
  <c r="H51" i="166"/>
  <c r="G51" i="166"/>
  <c r="G70" i="166" s="1"/>
  <c r="R24" i="166"/>
  <c r="L33" i="166"/>
  <c r="J33" i="166"/>
  <c r="N33" i="166"/>
  <c r="G33" i="166"/>
  <c r="P33" i="166"/>
  <c r="F33" i="166"/>
  <c r="Q33" i="166" s="1"/>
  <c r="O33" i="166"/>
  <c r="H33" i="166"/>
  <c r="M33" i="166"/>
  <c r="K33" i="166"/>
  <c r="I33" i="166"/>
  <c r="R33" i="166" s="1"/>
  <c r="K4" i="166"/>
  <c r="P4" i="166"/>
  <c r="J4" i="166"/>
  <c r="L4" i="166"/>
  <c r="H4" i="166"/>
  <c r="O4" i="166"/>
  <c r="N4" i="166"/>
  <c r="F4" i="166"/>
  <c r="Q4" i="166" s="1"/>
  <c r="M4" i="166"/>
  <c r="I4" i="166"/>
  <c r="R4" i="166" s="1"/>
  <c r="G4" i="166"/>
  <c r="F80" i="166"/>
  <c r="R80" i="166" s="1"/>
  <c r="L54" i="166"/>
  <c r="F54" i="166"/>
  <c r="P54" i="166"/>
  <c r="J54" i="166"/>
  <c r="I54" i="166"/>
  <c r="N54" i="166"/>
  <c r="O54" i="166"/>
  <c r="G54" i="166"/>
  <c r="H54" i="166"/>
  <c r="M54" i="166"/>
  <c r="K54" i="166"/>
  <c r="P55" i="166"/>
  <c r="J55" i="166"/>
  <c r="J70" i="166" s="1"/>
  <c r="N55" i="166"/>
  <c r="H55" i="166"/>
  <c r="M55" i="166"/>
  <c r="I55" i="166"/>
  <c r="Q55" i="166"/>
  <c r="O55" i="166"/>
  <c r="K55" i="166"/>
  <c r="L55" i="166"/>
  <c r="G55" i="166"/>
  <c r="R55" i="166" s="1"/>
  <c r="F55" i="166"/>
  <c r="F89" i="166"/>
  <c r="L89" i="166" s="1"/>
  <c r="R89" i="166" s="1"/>
  <c r="R59" i="166"/>
  <c r="R49" i="166"/>
  <c r="L52" i="166"/>
  <c r="F52" i="166"/>
  <c r="J52" i="166"/>
  <c r="G52" i="166"/>
  <c r="K52" i="166"/>
  <c r="K70" i="166" s="1"/>
  <c r="N52" i="166"/>
  <c r="M52" i="166"/>
  <c r="H52" i="166"/>
  <c r="I52" i="166"/>
  <c r="O52" i="166" s="1"/>
  <c r="I75" i="166"/>
  <c r="M75" i="166"/>
  <c r="G75" i="166"/>
  <c r="J75" i="166"/>
  <c r="N75" i="166"/>
  <c r="L75" i="166"/>
  <c r="O75" i="166" s="1"/>
  <c r="K75" i="166"/>
  <c r="H75" i="166"/>
  <c r="F75" i="166"/>
  <c r="F81" i="166"/>
  <c r="R81" i="166" s="1"/>
  <c r="F63" i="166"/>
  <c r="R63" i="166" s="1"/>
  <c r="K7" i="166"/>
  <c r="P7" i="166"/>
  <c r="J7" i="166"/>
  <c r="N7" i="166"/>
  <c r="F7" i="166"/>
  <c r="L7" i="166"/>
  <c r="H7" i="166"/>
  <c r="M7" i="166"/>
  <c r="I7" i="166"/>
  <c r="O7" i="166"/>
  <c r="G7" i="166"/>
  <c r="Q7" i="166" s="1"/>
  <c r="L64" i="166"/>
  <c r="F64" i="166"/>
  <c r="J64" i="166"/>
  <c r="I64" i="166"/>
  <c r="N64" i="166"/>
  <c r="K64" i="166"/>
  <c r="H64" i="166"/>
  <c r="G64" i="166"/>
  <c r="M64" i="166"/>
  <c r="F37" i="166"/>
  <c r="Q26" i="166"/>
  <c r="R26" i="166" s="1"/>
  <c r="O5" i="166"/>
  <c r="I5" i="166"/>
  <c r="N5" i="166"/>
  <c r="H5" i="166"/>
  <c r="Q5" i="166" s="1"/>
  <c r="P5" i="166"/>
  <c r="F5" i="166"/>
  <c r="R5" i="166" s="1"/>
  <c r="L5" i="166"/>
  <c r="J5" i="166"/>
  <c r="M5" i="166"/>
  <c r="K5" i="166"/>
  <c r="G5" i="166"/>
  <c r="O50" i="166"/>
  <c r="R50" i="166" s="1"/>
  <c r="R46" i="166"/>
  <c r="R54" i="165"/>
  <c r="R11" i="165"/>
  <c r="F11" i="165"/>
  <c r="F71" i="165"/>
  <c r="D76" i="165"/>
  <c r="R71" i="165"/>
  <c r="N58" i="165"/>
  <c r="H58" i="165"/>
  <c r="M58" i="165"/>
  <c r="G58" i="165"/>
  <c r="J58" i="165"/>
  <c r="P58" i="165"/>
  <c r="F58" i="165"/>
  <c r="O58" i="165"/>
  <c r="L58" i="165"/>
  <c r="I58" i="165"/>
  <c r="K58" i="165"/>
  <c r="I42" i="165"/>
  <c r="I45" i="165" s="1"/>
  <c r="D45" i="165"/>
  <c r="F82" i="165"/>
  <c r="R82" i="165" s="1"/>
  <c r="F63" i="165"/>
  <c r="R63" i="165" s="1"/>
  <c r="P7" i="165"/>
  <c r="J7" i="165"/>
  <c r="L7" i="165"/>
  <c r="O7" i="165"/>
  <c r="I7" i="165"/>
  <c r="N7" i="165"/>
  <c r="H7" i="165"/>
  <c r="F7" i="165"/>
  <c r="M7" i="165"/>
  <c r="G7" i="165"/>
  <c r="K7" i="165"/>
  <c r="F36" i="165"/>
  <c r="L36" i="165" s="1"/>
  <c r="R36" i="165" s="1"/>
  <c r="L3" i="165"/>
  <c r="F3" i="165"/>
  <c r="Q3" i="165" s="1"/>
  <c r="K3" i="165"/>
  <c r="D25" i="165"/>
  <c r="P3" i="165"/>
  <c r="J3" i="165"/>
  <c r="J25" i="165" s="1"/>
  <c r="O3" i="165"/>
  <c r="I3" i="165"/>
  <c r="M3" i="165"/>
  <c r="H3" i="165"/>
  <c r="G3" i="165"/>
  <c r="N3" i="165"/>
  <c r="K13" i="165"/>
  <c r="P13" i="165"/>
  <c r="J13" i="165"/>
  <c r="G13" i="165"/>
  <c r="O13" i="165"/>
  <c r="I13" i="165"/>
  <c r="M13" i="165"/>
  <c r="N13" i="165"/>
  <c r="H13" i="165"/>
  <c r="L13" i="165"/>
  <c r="F13" i="165"/>
  <c r="M72" i="165"/>
  <c r="G72" i="165"/>
  <c r="L72" i="165"/>
  <c r="L76" i="165" s="1"/>
  <c r="F72" i="165"/>
  <c r="K72" i="165"/>
  <c r="K76" i="165" s="1"/>
  <c r="I72" i="165"/>
  <c r="H72" i="165"/>
  <c r="N72" i="165"/>
  <c r="N76" i="165" s="1"/>
  <c r="J72" i="165"/>
  <c r="O72" i="165" s="1"/>
  <c r="L30" i="165"/>
  <c r="F30" i="165"/>
  <c r="K30" i="165"/>
  <c r="M30" i="165"/>
  <c r="Q30" i="165" s="1"/>
  <c r="J30" i="165"/>
  <c r="I30" i="165"/>
  <c r="G30" i="165"/>
  <c r="P30" i="165"/>
  <c r="H30" i="165"/>
  <c r="R30" i="165" s="1"/>
  <c r="O30" i="165"/>
  <c r="N30" i="165"/>
  <c r="J65" i="165"/>
  <c r="I65" i="165"/>
  <c r="H65" i="165"/>
  <c r="N65" i="165"/>
  <c r="F65" i="165"/>
  <c r="M65" i="165"/>
  <c r="L65" i="165"/>
  <c r="K65" i="165"/>
  <c r="G65" i="165"/>
  <c r="O65" i="165" s="1"/>
  <c r="M73" i="165"/>
  <c r="G73" i="165"/>
  <c r="L73" i="165"/>
  <c r="F73" i="165"/>
  <c r="I73" i="165"/>
  <c r="O73" i="165"/>
  <c r="R73" i="165" s="1"/>
  <c r="N73" i="165"/>
  <c r="K73" i="165"/>
  <c r="H73" i="165"/>
  <c r="J73" i="165"/>
  <c r="M74" i="165"/>
  <c r="G74" i="165"/>
  <c r="L74" i="165"/>
  <c r="F74" i="165"/>
  <c r="K74" i="165"/>
  <c r="J74" i="165"/>
  <c r="I74" i="165"/>
  <c r="N74" i="165"/>
  <c r="H74" i="165"/>
  <c r="O74" i="165" s="1"/>
  <c r="L56" i="165"/>
  <c r="F56" i="165"/>
  <c r="Q56" i="165" s="1"/>
  <c r="K56" i="165"/>
  <c r="J56" i="165"/>
  <c r="P56" i="165"/>
  <c r="H56" i="165"/>
  <c r="R56" i="165" s="1"/>
  <c r="O56" i="165"/>
  <c r="G56" i="165"/>
  <c r="N56" i="165"/>
  <c r="I56" i="165"/>
  <c r="M56" i="165"/>
  <c r="D83" i="165"/>
  <c r="R79" i="165"/>
  <c r="F79" i="165"/>
  <c r="J50" i="165"/>
  <c r="I50" i="165"/>
  <c r="N50" i="165"/>
  <c r="L50" i="165"/>
  <c r="K50" i="165"/>
  <c r="H50" i="165"/>
  <c r="M50" i="165"/>
  <c r="F50" i="165"/>
  <c r="O50" i="165" s="1"/>
  <c r="G50" i="165"/>
  <c r="F68" i="165"/>
  <c r="R68" i="165" s="1"/>
  <c r="L44" i="165"/>
  <c r="L45" i="165" s="1"/>
  <c r="M32" i="165"/>
  <c r="O32" i="165"/>
  <c r="H32" i="165"/>
  <c r="N32" i="165"/>
  <c r="G32" i="165"/>
  <c r="K32" i="165"/>
  <c r="Q32" i="165" s="1"/>
  <c r="J32" i="165"/>
  <c r="I32" i="165"/>
  <c r="F32" i="165"/>
  <c r="R32" i="165" s="1"/>
  <c r="P32" i="165"/>
  <c r="L32" i="165"/>
  <c r="J53" i="165"/>
  <c r="I53" i="165"/>
  <c r="N53" i="165"/>
  <c r="F53" i="165"/>
  <c r="R53" i="165" s="1"/>
  <c r="L53" i="165"/>
  <c r="K53" i="165"/>
  <c r="H53" i="165"/>
  <c r="M53" i="165"/>
  <c r="G53" i="165"/>
  <c r="O53" i="165" s="1"/>
  <c r="L6" i="165"/>
  <c r="F6" i="165"/>
  <c r="H6" i="165"/>
  <c r="Q6" i="165" s="1"/>
  <c r="K6" i="165"/>
  <c r="N6" i="165"/>
  <c r="P6" i="165"/>
  <c r="J6" i="165"/>
  <c r="O6" i="165"/>
  <c r="I6" i="165"/>
  <c r="M6" i="165"/>
  <c r="G6" i="165"/>
  <c r="P14" i="165"/>
  <c r="J14" i="165"/>
  <c r="O14" i="165"/>
  <c r="I14" i="165"/>
  <c r="M14" i="165"/>
  <c r="R14" i="165" s="1"/>
  <c r="G14" i="165"/>
  <c r="L14" i="165"/>
  <c r="K14" i="165"/>
  <c r="H14" i="165"/>
  <c r="Q14" i="165"/>
  <c r="N14" i="165"/>
  <c r="F14" i="165"/>
  <c r="M75" i="165"/>
  <c r="G75" i="165"/>
  <c r="L75" i="165"/>
  <c r="F75" i="165"/>
  <c r="O75" i="165" s="1"/>
  <c r="K75" i="165"/>
  <c r="I75" i="165"/>
  <c r="H75" i="165"/>
  <c r="J75" i="165"/>
  <c r="N75" i="165"/>
  <c r="K46" i="165"/>
  <c r="K47" i="165" s="1"/>
  <c r="F46" i="165"/>
  <c r="F47" i="165" s="1"/>
  <c r="N46" i="165"/>
  <c r="N47" i="165" s="1"/>
  <c r="D47" i="165"/>
  <c r="R46" i="165"/>
  <c r="R80" i="165"/>
  <c r="F80" i="165"/>
  <c r="D87" i="165"/>
  <c r="F88" i="165"/>
  <c r="D109" i="165"/>
  <c r="L59" i="165"/>
  <c r="F59" i="165"/>
  <c r="K59" i="165"/>
  <c r="N59" i="165"/>
  <c r="J59" i="165"/>
  <c r="I59" i="165"/>
  <c r="P59" i="165"/>
  <c r="H59" i="165"/>
  <c r="Q59" i="165" s="1"/>
  <c r="M59" i="165"/>
  <c r="G59" i="165"/>
  <c r="O59" i="165"/>
  <c r="R81" i="165"/>
  <c r="F81" i="165"/>
  <c r="P4" i="165"/>
  <c r="J4" i="165"/>
  <c r="L4" i="165"/>
  <c r="O4" i="165"/>
  <c r="I4" i="165"/>
  <c r="N4" i="165"/>
  <c r="H4" i="165"/>
  <c r="M4" i="165"/>
  <c r="G4" i="165"/>
  <c r="K4" i="165"/>
  <c r="F4" i="165"/>
  <c r="F69" i="165"/>
  <c r="D37" i="165"/>
  <c r="N26" i="165"/>
  <c r="F26" i="165"/>
  <c r="F37" i="165" s="1"/>
  <c r="M26" i="165"/>
  <c r="O26" i="165"/>
  <c r="K26" i="165"/>
  <c r="J26" i="165"/>
  <c r="I26" i="165"/>
  <c r="H26" i="165"/>
  <c r="P26" i="165"/>
  <c r="M61" i="165"/>
  <c r="G61" i="165"/>
  <c r="L61" i="165"/>
  <c r="F61" i="165"/>
  <c r="O61" i="165"/>
  <c r="K61" i="165"/>
  <c r="J61" i="165"/>
  <c r="Q61" i="165"/>
  <c r="R61" i="165" s="1"/>
  <c r="I61" i="165"/>
  <c r="P61" i="165"/>
  <c r="N61" i="165"/>
  <c r="H61" i="165"/>
  <c r="I62" i="165"/>
  <c r="N62" i="165" s="1"/>
  <c r="H67" i="165"/>
  <c r="R67" i="165" s="1"/>
  <c r="K12" i="165"/>
  <c r="M12" i="165"/>
  <c r="J12" i="165"/>
  <c r="I12" i="165"/>
  <c r="G12" i="165"/>
  <c r="N12" i="165"/>
  <c r="H12" i="165"/>
  <c r="R12" i="165" s="1"/>
  <c r="L12" i="165"/>
  <c r="F12" i="165"/>
  <c r="O12" i="165" s="1"/>
  <c r="F60" i="165"/>
  <c r="R60" i="165"/>
  <c r="J64" i="165"/>
  <c r="I64" i="165"/>
  <c r="L64" i="165"/>
  <c r="H64" i="165"/>
  <c r="G64" i="165"/>
  <c r="R64" i="165" s="1"/>
  <c r="N64" i="165"/>
  <c r="F64" i="165"/>
  <c r="O64" i="165" s="1"/>
  <c r="M64" i="165"/>
  <c r="K64" i="165"/>
  <c r="N5" i="165"/>
  <c r="H5" i="165"/>
  <c r="M5" i="165"/>
  <c r="G5" i="165"/>
  <c r="J5" i="165"/>
  <c r="L5" i="165"/>
  <c r="F5" i="165"/>
  <c r="Q5" i="165"/>
  <c r="K5" i="165"/>
  <c r="P5" i="165"/>
  <c r="O5" i="165"/>
  <c r="I5" i="165"/>
  <c r="R5" i="165" s="1"/>
  <c r="L15" i="165"/>
  <c r="R15" i="165" s="1"/>
  <c r="F15" i="165"/>
  <c r="N55" i="165"/>
  <c r="H55" i="165"/>
  <c r="M55" i="165"/>
  <c r="G55" i="165"/>
  <c r="P55" i="165"/>
  <c r="P70" i="165" s="1"/>
  <c r="P78" i="165" s="1"/>
  <c r="F55" i="165"/>
  <c r="Q55" i="165" s="1"/>
  <c r="L55" i="165"/>
  <c r="K55" i="165"/>
  <c r="J55" i="165"/>
  <c r="O55" i="165"/>
  <c r="R55" i="165" s="1"/>
  <c r="I55" i="165"/>
  <c r="L9" i="165"/>
  <c r="F9" i="165"/>
  <c r="K9" i="165"/>
  <c r="H9" i="165"/>
  <c r="P9" i="165"/>
  <c r="J9" i="165"/>
  <c r="N9" i="165"/>
  <c r="O9" i="165"/>
  <c r="Q9" i="165" s="1"/>
  <c r="I9" i="165"/>
  <c r="M9" i="165"/>
  <c r="G9" i="165"/>
  <c r="R9" i="165" s="1"/>
  <c r="P16" i="165"/>
  <c r="J16" i="165"/>
  <c r="O16" i="165"/>
  <c r="I16" i="165"/>
  <c r="M16" i="165"/>
  <c r="L16" i="165"/>
  <c r="K16" i="165"/>
  <c r="G16" i="165"/>
  <c r="H16" i="165"/>
  <c r="N16" i="165"/>
  <c r="F16" i="165"/>
  <c r="Q16" i="165" s="1"/>
  <c r="R16" i="165" s="1"/>
  <c r="J49" i="165"/>
  <c r="J70" i="165" s="1"/>
  <c r="D70" i="165"/>
  <c r="I49" i="165"/>
  <c r="N49" i="165"/>
  <c r="F49" i="165"/>
  <c r="O49" i="165" s="1"/>
  <c r="M49" i="165"/>
  <c r="L49" i="165"/>
  <c r="K49" i="165"/>
  <c r="H49" i="165"/>
  <c r="G49" i="165"/>
  <c r="Q90" i="165"/>
  <c r="L90" i="165" s="1"/>
  <c r="R90" i="165" s="1"/>
  <c r="D93" i="165"/>
  <c r="D92" i="165"/>
  <c r="F89" i="165"/>
  <c r="L89" i="165" s="1"/>
  <c r="N29" i="165"/>
  <c r="H29" i="165"/>
  <c r="M29" i="165"/>
  <c r="G29" i="165"/>
  <c r="Q29" i="165" s="1"/>
  <c r="R29" i="165" s="1"/>
  <c r="I29" i="165"/>
  <c r="P29" i="165"/>
  <c r="F29" i="165"/>
  <c r="O29" i="165"/>
  <c r="L29" i="165"/>
  <c r="K29" i="165"/>
  <c r="J29" i="165"/>
  <c r="J66" i="165"/>
  <c r="I66" i="165"/>
  <c r="N66" i="165"/>
  <c r="F66" i="165"/>
  <c r="R66" i="165" s="1"/>
  <c r="L66" i="165"/>
  <c r="K66" i="165"/>
  <c r="H66" i="165"/>
  <c r="M66" i="165"/>
  <c r="G66" i="165"/>
  <c r="O66" i="165" s="1"/>
  <c r="R43" i="165"/>
  <c r="F43" i="165"/>
  <c r="F45" i="165" s="1"/>
  <c r="H94" i="165"/>
  <c r="O94" i="165" s="1"/>
  <c r="R94" i="165" s="1"/>
  <c r="P10" i="165"/>
  <c r="J10" i="165"/>
  <c r="L10" i="165"/>
  <c r="F10" i="165"/>
  <c r="Q10" i="165" s="1"/>
  <c r="O10" i="165"/>
  <c r="I10" i="165"/>
  <c r="N10" i="165"/>
  <c r="H10" i="165"/>
  <c r="M10" i="165"/>
  <c r="G10" i="165"/>
  <c r="K10" i="165"/>
  <c r="P31" i="165"/>
  <c r="J31" i="165"/>
  <c r="O31" i="165"/>
  <c r="I31" i="165"/>
  <c r="G31" i="165"/>
  <c r="Q31" i="165" s="1"/>
  <c r="R31" i="165" s="1"/>
  <c r="N31" i="165"/>
  <c r="F31" i="165"/>
  <c r="M31" i="165"/>
  <c r="K31" i="165"/>
  <c r="L31" i="165"/>
  <c r="H31" i="165"/>
  <c r="L27" i="165"/>
  <c r="F27" i="165"/>
  <c r="Q27" i="165" s="1"/>
  <c r="K27" i="165"/>
  <c r="I27" i="165"/>
  <c r="P27" i="165"/>
  <c r="H27" i="165"/>
  <c r="O27" i="165"/>
  <c r="G27" i="165"/>
  <c r="M27" i="165"/>
  <c r="N27" i="165"/>
  <c r="J27" i="165"/>
  <c r="N77" i="165"/>
  <c r="R77" i="165" s="1"/>
  <c r="H77" i="165"/>
  <c r="N8" i="165"/>
  <c r="H8" i="165"/>
  <c r="P8" i="165"/>
  <c r="M8" i="165"/>
  <c r="G8" i="165"/>
  <c r="L8" i="165"/>
  <c r="F8" i="165"/>
  <c r="J8" i="165"/>
  <c r="K8" i="165"/>
  <c r="O8" i="165"/>
  <c r="I8" i="165"/>
  <c r="N17" i="165"/>
  <c r="H17" i="165"/>
  <c r="M17" i="165"/>
  <c r="G17" i="165"/>
  <c r="I17" i="165"/>
  <c r="K17" i="165"/>
  <c r="P17" i="165"/>
  <c r="F17" i="165"/>
  <c r="Q17" i="165" s="1"/>
  <c r="R17" i="165" s="1"/>
  <c r="O17" i="165"/>
  <c r="L17" i="165"/>
  <c r="J17" i="165"/>
  <c r="P57" i="165"/>
  <c r="J57" i="165"/>
  <c r="O57" i="165"/>
  <c r="I57" i="165"/>
  <c r="N57" i="165"/>
  <c r="F57" i="165"/>
  <c r="Q57" i="165" s="1"/>
  <c r="L57" i="165"/>
  <c r="K57" i="165"/>
  <c r="H57" i="165"/>
  <c r="M57" i="165"/>
  <c r="R57" i="165" s="1"/>
  <c r="G57" i="165"/>
  <c r="J51" i="165"/>
  <c r="I51" i="165"/>
  <c r="L51" i="165"/>
  <c r="H51" i="165"/>
  <c r="G51" i="165"/>
  <c r="R51" i="165" s="1"/>
  <c r="N51" i="165"/>
  <c r="F51" i="165"/>
  <c r="O51" i="165" s="1"/>
  <c r="K51" i="165"/>
  <c r="M51" i="165"/>
  <c r="P28" i="165"/>
  <c r="J28" i="165"/>
  <c r="O28" i="165"/>
  <c r="I28" i="165"/>
  <c r="M28" i="165"/>
  <c r="L28" i="165"/>
  <c r="K28" i="165"/>
  <c r="H28" i="165"/>
  <c r="G28" i="165"/>
  <c r="Q28" i="165" s="1"/>
  <c r="N28" i="165"/>
  <c r="F28" i="165"/>
  <c r="F24" i="165"/>
  <c r="R24" i="165" s="1"/>
  <c r="L24" i="165"/>
  <c r="J52" i="165"/>
  <c r="I52" i="165"/>
  <c r="H52" i="165"/>
  <c r="N52" i="165"/>
  <c r="F52" i="165"/>
  <c r="M52" i="165"/>
  <c r="L52" i="165"/>
  <c r="G52" i="165"/>
  <c r="K52" i="165"/>
  <c r="L33" i="165"/>
  <c r="K33" i="165"/>
  <c r="P33" i="165"/>
  <c r="H33" i="165"/>
  <c r="O33" i="165"/>
  <c r="G33" i="165"/>
  <c r="I33" i="165"/>
  <c r="F33" i="165"/>
  <c r="Q33" i="165" s="1"/>
  <c r="M33" i="165"/>
  <c r="N33" i="165"/>
  <c r="J33" i="165"/>
  <c r="K92" i="164"/>
  <c r="H92" i="164"/>
  <c r="G92" i="164"/>
  <c r="F92" i="164"/>
  <c r="J92" i="164"/>
  <c r="L92" i="164"/>
  <c r="I92" i="164"/>
  <c r="R6" i="164"/>
  <c r="R80" i="164"/>
  <c r="F80" i="164"/>
  <c r="K65" i="164"/>
  <c r="N65" i="164"/>
  <c r="G65" i="164"/>
  <c r="M65" i="164"/>
  <c r="F65" i="164"/>
  <c r="R65" i="164" s="1"/>
  <c r="I65" i="164"/>
  <c r="J65" i="164"/>
  <c r="H65" i="164"/>
  <c r="L65" i="164"/>
  <c r="O65" i="164"/>
  <c r="P26" i="164"/>
  <c r="I26" i="164"/>
  <c r="M26" i="164"/>
  <c r="D37" i="164"/>
  <c r="H26" i="164"/>
  <c r="F26" i="164"/>
  <c r="O26" i="164"/>
  <c r="J26" i="164"/>
  <c r="N26" i="164"/>
  <c r="K26" i="164"/>
  <c r="K37" i="164" s="1"/>
  <c r="F81" i="164"/>
  <c r="R81" i="164" s="1"/>
  <c r="K53" i="164"/>
  <c r="I53" i="164"/>
  <c r="H53" i="164"/>
  <c r="L53" i="164"/>
  <c r="M53" i="164"/>
  <c r="J53" i="164"/>
  <c r="G53" i="164"/>
  <c r="F53" i="164"/>
  <c r="N53" i="164"/>
  <c r="F24" i="164"/>
  <c r="R33" i="164"/>
  <c r="Q61" i="164"/>
  <c r="R61" i="164" s="1"/>
  <c r="N27" i="164"/>
  <c r="H27" i="164"/>
  <c r="K27" i="164"/>
  <c r="M27" i="164"/>
  <c r="L27" i="164"/>
  <c r="J27" i="164"/>
  <c r="O27" i="164"/>
  <c r="I27" i="164"/>
  <c r="P27" i="164"/>
  <c r="G27" i="164"/>
  <c r="F27" i="164"/>
  <c r="N46" i="164"/>
  <c r="N47" i="164" s="1"/>
  <c r="F46" i="164"/>
  <c r="F47" i="164" s="1"/>
  <c r="K46" i="164"/>
  <c r="K47" i="164" s="1"/>
  <c r="D47" i="164"/>
  <c r="F88" i="164"/>
  <c r="D87" i="164"/>
  <c r="L36" i="164"/>
  <c r="R36" i="164" s="1"/>
  <c r="F36" i="164"/>
  <c r="K54" i="164"/>
  <c r="L54" i="164"/>
  <c r="J54" i="164"/>
  <c r="N54" i="164"/>
  <c r="G54" i="164"/>
  <c r="O54" i="164"/>
  <c r="M54" i="164"/>
  <c r="I54" i="164"/>
  <c r="R54" i="164" s="1"/>
  <c r="P54" i="164"/>
  <c r="H54" i="164"/>
  <c r="F54" i="164"/>
  <c r="Q54" i="164" s="1"/>
  <c r="R67" i="164"/>
  <c r="H67" i="164"/>
  <c r="L93" i="164"/>
  <c r="F93" i="164"/>
  <c r="O93" i="164"/>
  <c r="I93" i="164"/>
  <c r="Q93" i="164" s="1"/>
  <c r="N93" i="164"/>
  <c r="M93" i="164"/>
  <c r="H93" i="164"/>
  <c r="K93" i="164"/>
  <c r="P93" i="164"/>
  <c r="G93" i="164"/>
  <c r="J93" i="164"/>
  <c r="M13" i="164"/>
  <c r="G13" i="164"/>
  <c r="L13" i="164"/>
  <c r="F13" i="164"/>
  <c r="Q13" i="164" s="1"/>
  <c r="K13" i="164"/>
  <c r="H13" i="164"/>
  <c r="I13" i="164"/>
  <c r="P13" i="164"/>
  <c r="O13" i="164"/>
  <c r="N13" i="164"/>
  <c r="J13" i="164"/>
  <c r="Q31" i="164"/>
  <c r="R31" i="164" s="1"/>
  <c r="R9" i="164"/>
  <c r="N72" i="164"/>
  <c r="H72" i="164"/>
  <c r="M72" i="164"/>
  <c r="F72" i="164"/>
  <c r="L72" i="164"/>
  <c r="I72" i="164"/>
  <c r="K72" i="164"/>
  <c r="J72" i="164"/>
  <c r="G72" i="164"/>
  <c r="G76" i="164" s="1"/>
  <c r="K51" i="164"/>
  <c r="L51" i="164"/>
  <c r="J51" i="164"/>
  <c r="N51" i="164"/>
  <c r="G51" i="164"/>
  <c r="H51" i="164"/>
  <c r="F51" i="164"/>
  <c r="O51" i="164" s="1"/>
  <c r="R51" i="164" s="1"/>
  <c r="M51" i="164"/>
  <c r="I51" i="164"/>
  <c r="F89" i="164"/>
  <c r="L89" i="164" s="1"/>
  <c r="Q90" i="164"/>
  <c r="L90" i="164" s="1"/>
  <c r="R90" i="164" s="1"/>
  <c r="L4" i="164"/>
  <c r="F4" i="164"/>
  <c r="Q4" i="164" s="1"/>
  <c r="K4" i="164"/>
  <c r="P4" i="164"/>
  <c r="J4" i="164"/>
  <c r="J25" i="164" s="1"/>
  <c r="M4" i="164"/>
  <c r="O4" i="164"/>
  <c r="N4" i="164"/>
  <c r="I4" i="164"/>
  <c r="H4" i="164"/>
  <c r="G4" i="164"/>
  <c r="G25" i="164" s="1"/>
  <c r="N30" i="164"/>
  <c r="H30" i="164"/>
  <c r="K30" i="164"/>
  <c r="P30" i="164"/>
  <c r="G30" i="164"/>
  <c r="O30" i="164"/>
  <c r="F30" i="164"/>
  <c r="Q30" i="164" s="1"/>
  <c r="M30" i="164"/>
  <c r="I30" i="164"/>
  <c r="L30" i="164"/>
  <c r="J30" i="164"/>
  <c r="O58" i="164"/>
  <c r="I58" i="164"/>
  <c r="M58" i="164"/>
  <c r="F58" i="164"/>
  <c r="L58" i="164"/>
  <c r="P58" i="164"/>
  <c r="H58" i="164"/>
  <c r="N58" i="164"/>
  <c r="K58" i="164"/>
  <c r="J58" i="164"/>
  <c r="G58" i="164"/>
  <c r="Q58" i="164" s="1"/>
  <c r="K49" i="164"/>
  <c r="N49" i="164"/>
  <c r="G49" i="164"/>
  <c r="M49" i="164"/>
  <c r="F49" i="164"/>
  <c r="I49" i="164"/>
  <c r="D70" i="164"/>
  <c r="L49" i="164"/>
  <c r="J49" i="164"/>
  <c r="H49" i="164"/>
  <c r="K57" i="164"/>
  <c r="M57" i="164"/>
  <c r="F57" i="164"/>
  <c r="Q57" i="164" s="1"/>
  <c r="L57" i="164"/>
  <c r="O57" i="164"/>
  <c r="H57" i="164"/>
  <c r="P57" i="164"/>
  <c r="N57" i="164"/>
  <c r="J57" i="164"/>
  <c r="I57" i="164"/>
  <c r="G57" i="164"/>
  <c r="F69" i="164"/>
  <c r="R69" i="164" s="1"/>
  <c r="L69" i="164"/>
  <c r="N74" i="164"/>
  <c r="H74" i="164"/>
  <c r="K74" i="164"/>
  <c r="J74" i="164"/>
  <c r="M74" i="164"/>
  <c r="F74" i="164"/>
  <c r="O74" i="164" s="1"/>
  <c r="R74" i="164" s="1"/>
  <c r="G74" i="164"/>
  <c r="L74" i="164"/>
  <c r="I74" i="164"/>
  <c r="M12" i="164"/>
  <c r="G12" i="164"/>
  <c r="O12" i="164" s="1"/>
  <c r="L12" i="164"/>
  <c r="F12" i="164"/>
  <c r="K12" i="164"/>
  <c r="H12" i="164"/>
  <c r="J12" i="164"/>
  <c r="I12" i="164"/>
  <c r="R12" i="164" s="1"/>
  <c r="N12" i="164"/>
  <c r="Q5" i="164"/>
  <c r="R5" i="164" s="1"/>
  <c r="K16" i="164"/>
  <c r="P16" i="164"/>
  <c r="J16" i="164"/>
  <c r="O16" i="164"/>
  <c r="I16" i="164"/>
  <c r="L16" i="164"/>
  <c r="H16" i="164"/>
  <c r="M16" i="164"/>
  <c r="G16" i="164"/>
  <c r="F16" i="164"/>
  <c r="N16" i="164"/>
  <c r="M56" i="164"/>
  <c r="G56" i="164"/>
  <c r="L56" i="164"/>
  <c r="K56" i="164"/>
  <c r="O56" i="164"/>
  <c r="H56" i="164"/>
  <c r="P56" i="164"/>
  <c r="N56" i="164"/>
  <c r="J56" i="164"/>
  <c r="I56" i="164"/>
  <c r="F56" i="164"/>
  <c r="Q56" i="164" s="1"/>
  <c r="K64" i="164"/>
  <c r="L64" i="164"/>
  <c r="J64" i="164"/>
  <c r="N64" i="164"/>
  <c r="G64" i="164"/>
  <c r="H64" i="164"/>
  <c r="F64" i="164"/>
  <c r="O64" i="164" s="1"/>
  <c r="M64" i="164"/>
  <c r="I64" i="164"/>
  <c r="L10" i="164"/>
  <c r="F10" i="164"/>
  <c r="Q10" i="164" s="1"/>
  <c r="K10" i="164"/>
  <c r="P10" i="164"/>
  <c r="J10" i="164"/>
  <c r="R10" i="164" s="1"/>
  <c r="M10" i="164"/>
  <c r="I10" i="164"/>
  <c r="N10" i="164"/>
  <c r="H10" i="164"/>
  <c r="G10" i="164"/>
  <c r="O10" i="164"/>
  <c r="F63" i="164"/>
  <c r="R63" i="164" s="1"/>
  <c r="K14" i="164"/>
  <c r="P14" i="164"/>
  <c r="J14" i="164"/>
  <c r="O14" i="164"/>
  <c r="I14" i="164"/>
  <c r="F14" i="164"/>
  <c r="Q14" i="164" s="1"/>
  <c r="H14" i="164"/>
  <c r="N14" i="164"/>
  <c r="G14" i="164"/>
  <c r="M14" i="164"/>
  <c r="L14" i="164"/>
  <c r="N75" i="164"/>
  <c r="H75" i="164"/>
  <c r="M75" i="164"/>
  <c r="F75" i="164"/>
  <c r="L75" i="164"/>
  <c r="I75" i="164"/>
  <c r="O75" i="164" s="1"/>
  <c r="J75" i="164"/>
  <c r="G75" i="164"/>
  <c r="K75" i="164"/>
  <c r="F79" i="164"/>
  <c r="F83" i="164" s="1"/>
  <c r="R79" i="164"/>
  <c r="D83" i="164"/>
  <c r="K52" i="164"/>
  <c r="N52" i="164"/>
  <c r="G52" i="164"/>
  <c r="M52" i="164"/>
  <c r="F52" i="164"/>
  <c r="R52" i="164" s="1"/>
  <c r="I52" i="164"/>
  <c r="J52" i="164"/>
  <c r="H52" i="164"/>
  <c r="L52" i="164"/>
  <c r="O52" i="164"/>
  <c r="L7" i="164"/>
  <c r="F7" i="164"/>
  <c r="K7" i="164"/>
  <c r="P7" i="164"/>
  <c r="J7" i="164"/>
  <c r="G7" i="164"/>
  <c r="R7" i="164" s="1"/>
  <c r="I7" i="164"/>
  <c r="H7" i="164"/>
  <c r="Q7" i="164" s="1"/>
  <c r="O7" i="164"/>
  <c r="N7" i="164"/>
  <c r="N25" i="164" s="1"/>
  <c r="M7" i="164"/>
  <c r="L28" i="164"/>
  <c r="F28" i="164"/>
  <c r="Q28" i="164" s="1"/>
  <c r="O28" i="164"/>
  <c r="I28" i="164"/>
  <c r="H28" i="164"/>
  <c r="P28" i="164"/>
  <c r="G28" i="164"/>
  <c r="N28" i="164"/>
  <c r="M28" i="164"/>
  <c r="K28" i="164"/>
  <c r="J28" i="164"/>
  <c r="R44" i="164"/>
  <c r="O94" i="164"/>
  <c r="R94" i="164"/>
  <c r="H94" i="164"/>
  <c r="K66" i="164"/>
  <c r="I66" i="164"/>
  <c r="H66" i="164"/>
  <c r="L66" i="164"/>
  <c r="M66" i="164"/>
  <c r="J66" i="164"/>
  <c r="G66" i="164"/>
  <c r="R66" i="164" s="1"/>
  <c r="F66" i="164"/>
  <c r="O66" i="164" s="1"/>
  <c r="N66" i="164"/>
  <c r="N73" i="164"/>
  <c r="H73" i="164"/>
  <c r="I73" i="164"/>
  <c r="G73" i="164"/>
  <c r="K73" i="164"/>
  <c r="M73" i="164"/>
  <c r="F73" i="164"/>
  <c r="O73" i="164" s="1"/>
  <c r="L73" i="164"/>
  <c r="J73" i="164"/>
  <c r="R42" i="164"/>
  <c r="I42" i="164"/>
  <c r="I45" i="164" s="1"/>
  <c r="D45" i="164"/>
  <c r="M59" i="164"/>
  <c r="G59" i="164"/>
  <c r="R59" i="164" s="1"/>
  <c r="N59" i="164"/>
  <c r="F59" i="164"/>
  <c r="L59" i="164"/>
  <c r="P59" i="164"/>
  <c r="I59" i="164"/>
  <c r="Q59" i="164"/>
  <c r="O59" i="164"/>
  <c r="K59" i="164"/>
  <c r="J59" i="164"/>
  <c r="H59" i="164"/>
  <c r="O55" i="164"/>
  <c r="I55" i="164"/>
  <c r="L55" i="164"/>
  <c r="K55" i="164"/>
  <c r="N55" i="164"/>
  <c r="G55" i="164"/>
  <c r="P55" i="164"/>
  <c r="M55" i="164"/>
  <c r="J55" i="164"/>
  <c r="H55" i="164"/>
  <c r="F55" i="164"/>
  <c r="K50" i="164"/>
  <c r="I50" i="164"/>
  <c r="H50" i="164"/>
  <c r="R50" i="164" s="1"/>
  <c r="L50" i="164"/>
  <c r="O50" i="164" s="1"/>
  <c r="F50" i="164"/>
  <c r="N50" i="164"/>
  <c r="G50" i="164"/>
  <c r="M50" i="164"/>
  <c r="J50" i="164"/>
  <c r="R60" i="164"/>
  <c r="F60" i="164"/>
  <c r="F71" i="164"/>
  <c r="D76" i="164"/>
  <c r="R71" i="164"/>
  <c r="O32" i="164"/>
  <c r="J32" i="164"/>
  <c r="M32" i="164"/>
  <c r="G32" i="164"/>
  <c r="P32" i="164"/>
  <c r="F32" i="164"/>
  <c r="N32" i="164"/>
  <c r="Q32" i="164" s="1"/>
  <c r="L32" i="164"/>
  <c r="K32" i="164"/>
  <c r="I32" i="164"/>
  <c r="H32" i="164"/>
  <c r="H77" i="164"/>
  <c r="Q8" i="164"/>
  <c r="R8" i="164" s="1"/>
  <c r="M25" i="164"/>
  <c r="I25" i="164"/>
  <c r="R72" i="163"/>
  <c r="H77" i="163"/>
  <c r="I74" i="163"/>
  <c r="N74" i="163"/>
  <c r="H74" i="163"/>
  <c r="L74" i="163"/>
  <c r="L76" i="163" s="1"/>
  <c r="K74" i="163"/>
  <c r="F74" i="163"/>
  <c r="O74" i="163" s="1"/>
  <c r="J74" i="163"/>
  <c r="G74" i="163"/>
  <c r="M74" i="163"/>
  <c r="M76" i="163" s="1"/>
  <c r="M78" i="163" s="1"/>
  <c r="L14" i="163"/>
  <c r="F14" i="163"/>
  <c r="K14" i="163"/>
  <c r="N14" i="163"/>
  <c r="H14" i="163"/>
  <c r="P14" i="163"/>
  <c r="O14" i="163"/>
  <c r="I14" i="163"/>
  <c r="M14" i="163"/>
  <c r="J14" i="163"/>
  <c r="G14" i="163"/>
  <c r="F60" i="163"/>
  <c r="R60" i="163"/>
  <c r="O6" i="163"/>
  <c r="I6" i="163"/>
  <c r="N6" i="163"/>
  <c r="H6" i="163"/>
  <c r="K6" i="163"/>
  <c r="G6" i="163"/>
  <c r="F6" i="163"/>
  <c r="Q6" i="163" s="1"/>
  <c r="P6" i="163"/>
  <c r="L6" i="163"/>
  <c r="J6" i="163"/>
  <c r="M6" i="163"/>
  <c r="D92" i="163"/>
  <c r="L51" i="163"/>
  <c r="F51" i="163"/>
  <c r="K51" i="163"/>
  <c r="I51" i="163"/>
  <c r="H51" i="163"/>
  <c r="R51" i="163" s="1"/>
  <c r="M51" i="163"/>
  <c r="N51" i="163"/>
  <c r="G51" i="163"/>
  <c r="O51" i="163" s="1"/>
  <c r="J51" i="163"/>
  <c r="K5" i="163"/>
  <c r="P5" i="163"/>
  <c r="J5" i="163"/>
  <c r="M5" i="163"/>
  <c r="G5" i="163"/>
  <c r="I5" i="163"/>
  <c r="Q5" i="163" s="1"/>
  <c r="H5" i="163"/>
  <c r="F5" i="163"/>
  <c r="R5" i="163" s="1"/>
  <c r="N5" i="163"/>
  <c r="L5" i="163"/>
  <c r="O5" i="163"/>
  <c r="L28" i="163"/>
  <c r="F28" i="163"/>
  <c r="K28" i="163"/>
  <c r="N28" i="163"/>
  <c r="H28" i="163"/>
  <c r="J28" i="163"/>
  <c r="I28" i="163"/>
  <c r="O28" i="163"/>
  <c r="P28" i="163"/>
  <c r="M28" i="163"/>
  <c r="G28" i="163"/>
  <c r="L65" i="163"/>
  <c r="F65" i="163"/>
  <c r="O65" i="163" s="1"/>
  <c r="R65" i="163" s="1"/>
  <c r="K65" i="163"/>
  <c r="G65" i="163"/>
  <c r="N65" i="163"/>
  <c r="I65" i="163"/>
  <c r="H65" i="163"/>
  <c r="M65" i="163"/>
  <c r="J65" i="163"/>
  <c r="Q10" i="163"/>
  <c r="R10" i="163" s="1"/>
  <c r="O61" i="163"/>
  <c r="I61" i="163"/>
  <c r="N61" i="163"/>
  <c r="H61" i="163"/>
  <c r="R61" i="163" s="1"/>
  <c r="L61" i="163"/>
  <c r="K61" i="163"/>
  <c r="P61" i="163"/>
  <c r="F61" i="163"/>
  <c r="Q61" i="163"/>
  <c r="J61" i="163"/>
  <c r="G61" i="163"/>
  <c r="M61" i="163"/>
  <c r="N56" i="163"/>
  <c r="H56" i="163"/>
  <c r="M56" i="163"/>
  <c r="G56" i="163"/>
  <c r="I56" i="163"/>
  <c r="P56" i="163"/>
  <c r="F56" i="163"/>
  <c r="Q56" i="163" s="1"/>
  <c r="R56" i="163" s="1"/>
  <c r="K56" i="163"/>
  <c r="J56" i="163"/>
  <c r="O56" i="163"/>
  <c r="L56" i="163"/>
  <c r="R82" i="163"/>
  <c r="F82" i="163"/>
  <c r="L31" i="163"/>
  <c r="F31" i="163"/>
  <c r="K31" i="163"/>
  <c r="N31" i="163"/>
  <c r="H31" i="163"/>
  <c r="P31" i="163"/>
  <c r="O31" i="163"/>
  <c r="M31" i="163"/>
  <c r="Q31" i="163" s="1"/>
  <c r="I31" i="163"/>
  <c r="J31" i="163"/>
  <c r="G31" i="163"/>
  <c r="R31" i="163" s="1"/>
  <c r="D93" i="163"/>
  <c r="L53" i="163"/>
  <c r="F53" i="163"/>
  <c r="K53" i="163"/>
  <c r="M53" i="163"/>
  <c r="J53" i="163"/>
  <c r="G53" i="163"/>
  <c r="N53" i="163"/>
  <c r="I53" i="163"/>
  <c r="H53" i="163"/>
  <c r="L66" i="163"/>
  <c r="F66" i="163"/>
  <c r="K66" i="163"/>
  <c r="M66" i="163"/>
  <c r="J66" i="163"/>
  <c r="G66" i="163"/>
  <c r="N66" i="163"/>
  <c r="I66" i="163"/>
  <c r="O66" i="163" s="1"/>
  <c r="H66" i="163"/>
  <c r="R43" i="163"/>
  <c r="F43" i="163"/>
  <c r="F45" i="163" s="1"/>
  <c r="Q29" i="163"/>
  <c r="R29" i="163" s="1"/>
  <c r="N27" i="163"/>
  <c r="H27" i="163"/>
  <c r="M27" i="163"/>
  <c r="G27" i="163"/>
  <c r="P27" i="163"/>
  <c r="J27" i="163"/>
  <c r="L27" i="163"/>
  <c r="L37" i="163" s="1"/>
  <c r="K27" i="163"/>
  <c r="I27" i="163"/>
  <c r="F27" i="163"/>
  <c r="Q27" i="163" s="1"/>
  <c r="O27" i="163"/>
  <c r="R75" i="163"/>
  <c r="R32" i="163"/>
  <c r="R4" i="163"/>
  <c r="F11" i="163"/>
  <c r="R11" i="163" s="1"/>
  <c r="O72" i="163"/>
  <c r="L50" i="163"/>
  <c r="F50" i="163"/>
  <c r="O50" i="163" s="1"/>
  <c r="R50" i="163" s="1"/>
  <c r="K50" i="163"/>
  <c r="M50" i="163"/>
  <c r="J50" i="163"/>
  <c r="G50" i="163"/>
  <c r="N50" i="163"/>
  <c r="I50" i="163"/>
  <c r="H50" i="163"/>
  <c r="K8" i="163"/>
  <c r="P8" i="163"/>
  <c r="J8" i="163"/>
  <c r="M8" i="163"/>
  <c r="G8" i="163"/>
  <c r="O8" i="163"/>
  <c r="N8" i="163"/>
  <c r="L8" i="163"/>
  <c r="H8" i="163"/>
  <c r="F8" i="163"/>
  <c r="Q8" i="163" s="1"/>
  <c r="I8" i="163"/>
  <c r="L16" i="163"/>
  <c r="F16" i="163"/>
  <c r="K16" i="163"/>
  <c r="N16" i="163"/>
  <c r="H16" i="163"/>
  <c r="J16" i="163"/>
  <c r="I16" i="163"/>
  <c r="O16" i="163"/>
  <c r="Q16" i="163" s="1"/>
  <c r="P16" i="163"/>
  <c r="M16" i="163"/>
  <c r="G16" i="163"/>
  <c r="L64" i="163"/>
  <c r="F64" i="163"/>
  <c r="R64" i="163" s="1"/>
  <c r="K64" i="163"/>
  <c r="I64" i="163"/>
  <c r="H64" i="163"/>
  <c r="O64" i="163" s="1"/>
  <c r="M64" i="163"/>
  <c r="N64" i="163"/>
  <c r="G64" i="163"/>
  <c r="J64" i="163"/>
  <c r="O3" i="163"/>
  <c r="I3" i="163"/>
  <c r="N3" i="163"/>
  <c r="H3" i="163"/>
  <c r="H25" i="163" s="1"/>
  <c r="H48" i="163" s="1"/>
  <c r="K3" i="163"/>
  <c r="M3" i="163"/>
  <c r="L3" i="163"/>
  <c r="D25" i="163"/>
  <c r="J3" i="163"/>
  <c r="J25" i="163" s="1"/>
  <c r="G3" i="163"/>
  <c r="F3" i="163"/>
  <c r="P3" i="163"/>
  <c r="R44" i="163"/>
  <c r="F63" i="163"/>
  <c r="R63" i="163" s="1"/>
  <c r="P55" i="163"/>
  <c r="J55" i="163"/>
  <c r="O55" i="163"/>
  <c r="I55" i="163"/>
  <c r="Q55" i="163" s="1"/>
  <c r="R55" i="163" s="1"/>
  <c r="M55" i="163"/>
  <c r="L55" i="163"/>
  <c r="G55" i="163"/>
  <c r="F55" i="163"/>
  <c r="K55" i="163"/>
  <c r="H55" i="163"/>
  <c r="N55" i="163"/>
  <c r="R17" i="163"/>
  <c r="N46" i="163"/>
  <c r="N47" i="163" s="1"/>
  <c r="D47" i="163"/>
  <c r="K46" i="163"/>
  <c r="K47" i="163" s="1"/>
  <c r="F46" i="163"/>
  <c r="F47" i="163" s="1"/>
  <c r="D45" i="163"/>
  <c r="R42" i="163"/>
  <c r="I42" i="163"/>
  <c r="I45" i="163" s="1"/>
  <c r="F89" i="163"/>
  <c r="L89" i="163" s="1"/>
  <c r="I62" i="163"/>
  <c r="F36" i="163"/>
  <c r="R36" i="163"/>
  <c r="L36" i="163"/>
  <c r="L54" i="163"/>
  <c r="F54" i="163"/>
  <c r="Q54" i="163" s="1"/>
  <c r="K54" i="163"/>
  <c r="I54" i="163"/>
  <c r="P54" i="163"/>
  <c r="H54" i="163"/>
  <c r="M54" i="163"/>
  <c r="O54" i="163"/>
  <c r="N54" i="163"/>
  <c r="G54" i="163"/>
  <c r="J54" i="163"/>
  <c r="H67" i="163"/>
  <c r="R67" i="163" s="1"/>
  <c r="F88" i="163"/>
  <c r="D87" i="163"/>
  <c r="P26" i="163"/>
  <c r="P37" i="163" s="1"/>
  <c r="I26" i="163"/>
  <c r="O26" i="163"/>
  <c r="H26" i="163"/>
  <c r="H37" i="163" s="1"/>
  <c r="K26" i="163"/>
  <c r="K37" i="163" s="1"/>
  <c r="N26" i="163"/>
  <c r="N37" i="163" s="1"/>
  <c r="M26" i="163"/>
  <c r="D37" i="163"/>
  <c r="J26" i="163"/>
  <c r="F26" i="163"/>
  <c r="Q33" i="163"/>
  <c r="R33" i="163" s="1"/>
  <c r="I73" i="163"/>
  <c r="I76" i="163" s="1"/>
  <c r="N73" i="163"/>
  <c r="N76" i="163" s="1"/>
  <c r="H73" i="163"/>
  <c r="H76" i="163" s="1"/>
  <c r="F73" i="163"/>
  <c r="O73" i="163" s="1"/>
  <c r="M73" i="163"/>
  <c r="J73" i="163"/>
  <c r="J76" i="163" s="1"/>
  <c r="L73" i="163"/>
  <c r="K73" i="163"/>
  <c r="K76" i="163" s="1"/>
  <c r="G73" i="163"/>
  <c r="G76" i="163" s="1"/>
  <c r="F71" i="163"/>
  <c r="D76" i="163"/>
  <c r="R71" i="163"/>
  <c r="F24" i="163"/>
  <c r="N59" i="163"/>
  <c r="H59" i="163"/>
  <c r="M59" i="163"/>
  <c r="G59" i="163"/>
  <c r="K59" i="163"/>
  <c r="J59" i="163"/>
  <c r="O59" i="163"/>
  <c r="P59" i="163"/>
  <c r="I59" i="163"/>
  <c r="F59" i="163"/>
  <c r="Q59" i="163" s="1"/>
  <c r="L59" i="163"/>
  <c r="L52" i="163"/>
  <c r="F52" i="163"/>
  <c r="O52" i="163" s="1"/>
  <c r="K52" i="163"/>
  <c r="G52" i="163"/>
  <c r="N52" i="163"/>
  <c r="I52" i="163"/>
  <c r="H52" i="163"/>
  <c r="M52" i="163"/>
  <c r="J52" i="163"/>
  <c r="P58" i="163"/>
  <c r="J58" i="163"/>
  <c r="O58" i="163"/>
  <c r="I58" i="163"/>
  <c r="G58" i="163"/>
  <c r="N58" i="163"/>
  <c r="F58" i="163"/>
  <c r="K58" i="163"/>
  <c r="M58" i="163"/>
  <c r="L58" i="163"/>
  <c r="H58" i="163"/>
  <c r="N30" i="163"/>
  <c r="H30" i="163"/>
  <c r="M30" i="163"/>
  <c r="G30" i="163"/>
  <c r="P30" i="163"/>
  <c r="J30" i="163"/>
  <c r="F30" i="163"/>
  <c r="O30" i="163"/>
  <c r="K30" i="163"/>
  <c r="I30" i="163"/>
  <c r="L30" i="163"/>
  <c r="H94" i="163"/>
  <c r="F68" i="163"/>
  <c r="R68" i="163" s="1"/>
  <c r="L49" i="163"/>
  <c r="F49" i="163"/>
  <c r="K49" i="163"/>
  <c r="G49" i="163"/>
  <c r="N49" i="163"/>
  <c r="I49" i="163"/>
  <c r="H49" i="163"/>
  <c r="D70" i="163"/>
  <c r="M49" i="163"/>
  <c r="M70" i="163" s="1"/>
  <c r="J49" i="163"/>
  <c r="L57" i="163"/>
  <c r="F57" i="163"/>
  <c r="K57" i="163"/>
  <c r="M57" i="163"/>
  <c r="J57" i="163"/>
  <c r="O57" i="163"/>
  <c r="G57" i="163"/>
  <c r="N57" i="163"/>
  <c r="Q57" i="163" s="1"/>
  <c r="I57" i="163"/>
  <c r="H57" i="163"/>
  <c r="P57" i="163"/>
  <c r="F69" i="163"/>
  <c r="L69" i="163"/>
  <c r="R69" i="163"/>
  <c r="D109" i="163"/>
  <c r="R79" i="163"/>
  <c r="F79" i="163"/>
  <c r="F83" i="163" s="1"/>
  <c r="D83" i="163"/>
  <c r="R83" i="163" s="1"/>
  <c r="O9" i="163"/>
  <c r="I9" i="163"/>
  <c r="N9" i="163"/>
  <c r="H9" i="163"/>
  <c r="K9" i="163"/>
  <c r="M9" i="163"/>
  <c r="L9" i="163"/>
  <c r="J9" i="163"/>
  <c r="F9" i="163"/>
  <c r="Q9" i="163" s="1"/>
  <c r="P9" i="163"/>
  <c r="G9" i="163"/>
  <c r="R14" i="162"/>
  <c r="R29" i="162"/>
  <c r="P25" i="162"/>
  <c r="F80" i="162"/>
  <c r="R80" i="162" s="1"/>
  <c r="R36" i="162"/>
  <c r="F36" i="162"/>
  <c r="L36" i="162"/>
  <c r="N46" i="162"/>
  <c r="N47" i="162" s="1"/>
  <c r="K46" i="162"/>
  <c r="K47" i="162" s="1"/>
  <c r="F46" i="162"/>
  <c r="F47" i="162" s="1"/>
  <c r="D47" i="162"/>
  <c r="R31" i="162"/>
  <c r="R93" i="162"/>
  <c r="N76" i="162"/>
  <c r="M59" i="162"/>
  <c r="G59" i="162"/>
  <c r="R59" i="162" s="1"/>
  <c r="L59" i="162"/>
  <c r="F59" i="162"/>
  <c r="O59" i="162"/>
  <c r="K59" i="162"/>
  <c r="Q59" i="162"/>
  <c r="P59" i="162"/>
  <c r="N59" i="162"/>
  <c r="J59" i="162"/>
  <c r="I59" i="162"/>
  <c r="H59" i="162"/>
  <c r="F79" i="162"/>
  <c r="F83" i="162" s="1"/>
  <c r="D83" i="162"/>
  <c r="K49" i="162"/>
  <c r="J49" i="162"/>
  <c r="I49" i="162"/>
  <c r="G49" i="162"/>
  <c r="M49" i="162"/>
  <c r="L49" i="162"/>
  <c r="H49" i="162"/>
  <c r="F49" i="162"/>
  <c r="O49" i="162" s="1"/>
  <c r="D70" i="162"/>
  <c r="N49" i="162"/>
  <c r="K57" i="162"/>
  <c r="P57" i="162"/>
  <c r="J57" i="162"/>
  <c r="O57" i="162"/>
  <c r="G57" i="162"/>
  <c r="M57" i="162"/>
  <c r="F57" i="162"/>
  <c r="Q57" i="162" s="1"/>
  <c r="N57" i="162"/>
  <c r="L57" i="162"/>
  <c r="I57" i="162"/>
  <c r="H57" i="162"/>
  <c r="L69" i="162"/>
  <c r="F69" i="162"/>
  <c r="R69" i="162"/>
  <c r="N74" i="162"/>
  <c r="H74" i="162"/>
  <c r="H76" i="162" s="1"/>
  <c r="M74" i="162"/>
  <c r="G74" i="162"/>
  <c r="F74" i="162"/>
  <c r="L74" i="162"/>
  <c r="K74" i="162"/>
  <c r="K76" i="162" s="1"/>
  <c r="J74" i="162"/>
  <c r="J76" i="162" s="1"/>
  <c r="I74" i="162"/>
  <c r="M33" i="162"/>
  <c r="L33" i="162"/>
  <c r="N33" i="162"/>
  <c r="F33" i="162"/>
  <c r="J33" i="162"/>
  <c r="H33" i="162"/>
  <c r="Q33" i="162" s="1"/>
  <c r="O33" i="162"/>
  <c r="G33" i="162"/>
  <c r="P33" i="162"/>
  <c r="K33" i="162"/>
  <c r="I33" i="162"/>
  <c r="I37" i="162" s="1"/>
  <c r="H94" i="162"/>
  <c r="Q16" i="162"/>
  <c r="R16" i="162" s="1"/>
  <c r="L44" i="162"/>
  <c r="L45" i="162" s="1"/>
  <c r="Q45" i="162" s="1"/>
  <c r="K54" i="162"/>
  <c r="P54" i="162"/>
  <c r="J54" i="162"/>
  <c r="M54" i="162"/>
  <c r="I54" i="162"/>
  <c r="G54" i="162"/>
  <c r="Q54" i="162" s="1"/>
  <c r="F54" i="162"/>
  <c r="O54" i="162"/>
  <c r="N54" i="162"/>
  <c r="L54" i="162"/>
  <c r="H54" i="162"/>
  <c r="Q8" i="162"/>
  <c r="R8" i="162" s="1"/>
  <c r="R58" i="162"/>
  <c r="R30" i="162"/>
  <c r="N25" i="162"/>
  <c r="F88" i="162"/>
  <c r="L88" i="162" s="1"/>
  <c r="D87" i="162"/>
  <c r="F81" i="162"/>
  <c r="R81" i="162"/>
  <c r="K50" i="162"/>
  <c r="J50" i="162"/>
  <c r="G50" i="162"/>
  <c r="M50" i="162"/>
  <c r="N50" i="162"/>
  <c r="H50" i="162"/>
  <c r="O50" i="162" s="1"/>
  <c r="L50" i="162"/>
  <c r="I50" i="162"/>
  <c r="F50" i="162"/>
  <c r="R60" i="162"/>
  <c r="F60" i="162"/>
  <c r="R71" i="162"/>
  <c r="F71" i="162"/>
  <c r="D76" i="162"/>
  <c r="Q7" i="162"/>
  <c r="R7" i="162" s="1"/>
  <c r="L27" i="162"/>
  <c r="L37" i="162" s="1"/>
  <c r="F27" i="162"/>
  <c r="P27" i="162"/>
  <c r="P37" i="162" s="1"/>
  <c r="J27" i="162"/>
  <c r="J37" i="162" s="1"/>
  <c r="K27" i="162"/>
  <c r="Q27" i="162" s="1"/>
  <c r="I27" i="162"/>
  <c r="O27" i="162"/>
  <c r="O37" i="162" s="1"/>
  <c r="G27" i="162"/>
  <c r="G37" i="162" s="1"/>
  <c r="H27" i="162"/>
  <c r="N27" i="162"/>
  <c r="D37" i="162"/>
  <c r="M27" i="162"/>
  <c r="M37" i="162" s="1"/>
  <c r="K25" i="162"/>
  <c r="M76" i="162"/>
  <c r="Q90" i="162"/>
  <c r="K53" i="162"/>
  <c r="J53" i="162"/>
  <c r="G53" i="162"/>
  <c r="M53" i="162"/>
  <c r="F53" i="162"/>
  <c r="N53" i="162"/>
  <c r="L53" i="162"/>
  <c r="I53" i="162"/>
  <c r="H53" i="162"/>
  <c r="Q32" i="162"/>
  <c r="R32" i="162" s="1"/>
  <c r="R82" i="162"/>
  <c r="F82" i="162"/>
  <c r="Q10" i="162"/>
  <c r="R10" i="162" s="1"/>
  <c r="F37" i="162"/>
  <c r="Q26" i="162"/>
  <c r="R26" i="162" s="1"/>
  <c r="O12" i="162"/>
  <c r="O25" i="162" s="1"/>
  <c r="O48" i="162" s="1"/>
  <c r="L76" i="162"/>
  <c r="R63" i="162"/>
  <c r="F63" i="162"/>
  <c r="R11" i="162"/>
  <c r="F11" i="162"/>
  <c r="F25" i="162" s="1"/>
  <c r="F48" i="162" s="1"/>
  <c r="H25" i="162"/>
  <c r="D109" i="162"/>
  <c r="F89" i="162"/>
  <c r="K51" i="162"/>
  <c r="J51" i="162"/>
  <c r="M51" i="162"/>
  <c r="I51" i="162"/>
  <c r="N51" i="162"/>
  <c r="L51" i="162"/>
  <c r="H51" i="162"/>
  <c r="G51" i="162"/>
  <c r="F51" i="162"/>
  <c r="O51" i="162" s="1"/>
  <c r="K64" i="162"/>
  <c r="J64" i="162"/>
  <c r="M64" i="162"/>
  <c r="I64" i="162"/>
  <c r="G64" i="162"/>
  <c r="F64" i="162"/>
  <c r="O64" i="162"/>
  <c r="R64" i="162" s="1"/>
  <c r="N64" i="162"/>
  <c r="L64" i="162"/>
  <c r="H64" i="162"/>
  <c r="N61" i="162"/>
  <c r="H61" i="162"/>
  <c r="M61" i="162"/>
  <c r="G61" i="162"/>
  <c r="R61" i="162" s="1"/>
  <c r="P61" i="162"/>
  <c r="F61" i="162"/>
  <c r="L61" i="162"/>
  <c r="O61" i="162"/>
  <c r="K61" i="162"/>
  <c r="J61" i="162"/>
  <c r="I61" i="162"/>
  <c r="Q61" i="162" s="1"/>
  <c r="R6" i="162"/>
  <c r="I62" i="162"/>
  <c r="K66" i="162"/>
  <c r="J66" i="162"/>
  <c r="G66" i="162"/>
  <c r="M66" i="162"/>
  <c r="I66" i="162"/>
  <c r="H66" i="162"/>
  <c r="F66" i="162"/>
  <c r="N66" i="162"/>
  <c r="L66" i="162"/>
  <c r="R77" i="162"/>
  <c r="H77" i="162"/>
  <c r="N77" i="162"/>
  <c r="H67" i="162"/>
  <c r="R67" i="162" s="1"/>
  <c r="R28" i="162"/>
  <c r="N37" i="162"/>
  <c r="I76" i="162"/>
  <c r="G76" i="162"/>
  <c r="D25" i="162"/>
  <c r="O55" i="162"/>
  <c r="I55" i="162"/>
  <c r="N55" i="162"/>
  <c r="H55" i="162"/>
  <c r="G55" i="162"/>
  <c r="M55" i="162"/>
  <c r="F55" i="162"/>
  <c r="P55" i="162"/>
  <c r="L55" i="162"/>
  <c r="Q55" i="162" s="1"/>
  <c r="R55" i="162" s="1"/>
  <c r="K55" i="162"/>
  <c r="J55" i="162"/>
  <c r="D92" i="162"/>
  <c r="K52" i="162"/>
  <c r="J52" i="162"/>
  <c r="I52" i="162"/>
  <c r="G52" i="162"/>
  <c r="N52" i="162"/>
  <c r="M52" i="162"/>
  <c r="L52" i="162"/>
  <c r="H52" i="162"/>
  <c r="F52" i="162"/>
  <c r="O52" i="162" s="1"/>
  <c r="K65" i="162"/>
  <c r="J65" i="162"/>
  <c r="I65" i="162"/>
  <c r="G65" i="162"/>
  <c r="H65" i="162"/>
  <c r="F65" i="162"/>
  <c r="O65" i="162" s="1"/>
  <c r="N65" i="162"/>
  <c r="M65" i="162"/>
  <c r="L65" i="162"/>
  <c r="O73" i="162"/>
  <c r="R73" i="162" s="1"/>
  <c r="L13" i="162"/>
  <c r="L25" i="162" s="1"/>
  <c r="L48" i="162" s="1"/>
  <c r="F13" i="162"/>
  <c r="Q13" i="162" s="1"/>
  <c r="P13" i="162"/>
  <c r="J13" i="162"/>
  <c r="J25" i="162" s="1"/>
  <c r="J48" i="162" s="1"/>
  <c r="K13" i="162"/>
  <c r="I13" i="162"/>
  <c r="I25" i="162" s="1"/>
  <c r="I48" i="162" s="1"/>
  <c r="H13" i="162"/>
  <c r="O13" i="162"/>
  <c r="G13" i="162"/>
  <c r="G25" i="162" s="1"/>
  <c r="G48" i="162" s="1"/>
  <c r="N13" i="162"/>
  <c r="M13" i="162"/>
  <c r="M25" i="162" s="1"/>
  <c r="M48" i="162" s="1"/>
  <c r="R3" i="162"/>
  <c r="O72" i="162"/>
  <c r="R72" i="162" s="1"/>
  <c r="R8" i="161"/>
  <c r="R13" i="161"/>
  <c r="R5" i="161"/>
  <c r="R12" i="161"/>
  <c r="N61" i="161"/>
  <c r="H61" i="161"/>
  <c r="M61" i="161"/>
  <c r="G61" i="161"/>
  <c r="L61" i="161"/>
  <c r="F61" i="161"/>
  <c r="O61" i="161"/>
  <c r="J61" i="161"/>
  <c r="P61" i="161"/>
  <c r="K61" i="161"/>
  <c r="I61" i="161"/>
  <c r="K53" i="161"/>
  <c r="R53" i="161" s="1"/>
  <c r="J53" i="161"/>
  <c r="I53" i="161"/>
  <c r="F53" i="161"/>
  <c r="M53" i="161"/>
  <c r="N53" i="161"/>
  <c r="L53" i="161"/>
  <c r="G53" i="161"/>
  <c r="O53" i="161" s="1"/>
  <c r="H53" i="161"/>
  <c r="K66" i="161"/>
  <c r="J66" i="161"/>
  <c r="I66" i="161"/>
  <c r="F66" i="161"/>
  <c r="O66" i="161" s="1"/>
  <c r="M66" i="161"/>
  <c r="N66" i="161"/>
  <c r="R66" i="161" s="1"/>
  <c r="L66" i="161"/>
  <c r="G66" i="161"/>
  <c r="H66" i="161"/>
  <c r="D87" i="161"/>
  <c r="F88" i="161"/>
  <c r="F36" i="161"/>
  <c r="L36" i="161" s="1"/>
  <c r="R36" i="161" s="1"/>
  <c r="F43" i="161"/>
  <c r="F45" i="161" s="1"/>
  <c r="R43" i="161"/>
  <c r="P93" i="161"/>
  <c r="J93" i="161"/>
  <c r="O93" i="161"/>
  <c r="I93" i="161"/>
  <c r="N93" i="161"/>
  <c r="H93" i="161"/>
  <c r="R93" i="161" s="1"/>
  <c r="M93" i="161"/>
  <c r="G93" i="161"/>
  <c r="L93" i="161"/>
  <c r="F93" i="161"/>
  <c r="Q93" i="161"/>
  <c r="K93" i="161"/>
  <c r="Q47" i="161"/>
  <c r="R47" i="161"/>
  <c r="P28" i="161"/>
  <c r="P37" i="161" s="1"/>
  <c r="J28" i="161"/>
  <c r="J37" i="161" s="1"/>
  <c r="N28" i="161"/>
  <c r="N37" i="161" s="1"/>
  <c r="H28" i="161"/>
  <c r="H37" i="161" s="1"/>
  <c r="M28" i="161"/>
  <c r="L28" i="161"/>
  <c r="I28" i="161"/>
  <c r="K28" i="161"/>
  <c r="Q28" i="161" s="1"/>
  <c r="G28" i="161"/>
  <c r="O28" i="161"/>
  <c r="F28" i="161"/>
  <c r="O58" i="161"/>
  <c r="I58" i="161"/>
  <c r="R58" i="161" s="1"/>
  <c r="N58" i="161"/>
  <c r="H58" i="161"/>
  <c r="M58" i="161"/>
  <c r="G58" i="161"/>
  <c r="J58" i="161"/>
  <c r="Q58" i="161"/>
  <c r="P58" i="161"/>
  <c r="K58" i="161"/>
  <c r="L58" i="161"/>
  <c r="F58" i="161"/>
  <c r="R42" i="161"/>
  <c r="I42" i="161"/>
  <c r="I45" i="161" s="1"/>
  <c r="D45" i="161"/>
  <c r="I62" i="161"/>
  <c r="N62" i="161" s="1"/>
  <c r="R62" i="161" s="1"/>
  <c r="R94" i="161"/>
  <c r="O94" i="161"/>
  <c r="H94" i="161"/>
  <c r="K54" i="161"/>
  <c r="P54" i="161"/>
  <c r="J54" i="161"/>
  <c r="O54" i="161"/>
  <c r="I54" i="161"/>
  <c r="F54" i="161"/>
  <c r="Q54" i="161" s="1"/>
  <c r="M54" i="161"/>
  <c r="L54" i="161"/>
  <c r="N54" i="161"/>
  <c r="H54" i="161"/>
  <c r="G54" i="161"/>
  <c r="H67" i="161"/>
  <c r="R67" i="161" s="1"/>
  <c r="D109" i="161"/>
  <c r="P31" i="161"/>
  <c r="J31" i="161"/>
  <c r="N31" i="161"/>
  <c r="H31" i="161"/>
  <c r="G31" i="161"/>
  <c r="L31" i="161"/>
  <c r="O31" i="161"/>
  <c r="F31" i="161"/>
  <c r="M31" i="161"/>
  <c r="K31" i="161"/>
  <c r="Q31" i="161" s="1"/>
  <c r="I31" i="161"/>
  <c r="I37" i="161" s="1"/>
  <c r="N73" i="161"/>
  <c r="H73" i="161"/>
  <c r="M73" i="161"/>
  <c r="G73" i="161"/>
  <c r="O73" i="161" s="1"/>
  <c r="L73" i="161"/>
  <c r="F73" i="161"/>
  <c r="J73" i="161"/>
  <c r="I73" i="161"/>
  <c r="K73" i="161"/>
  <c r="R46" i="161"/>
  <c r="Q13" i="161"/>
  <c r="M9" i="161"/>
  <c r="G9" i="161"/>
  <c r="K9" i="161"/>
  <c r="P9" i="161"/>
  <c r="H9" i="161"/>
  <c r="O9" i="161"/>
  <c r="F9" i="161"/>
  <c r="Q9" i="161" s="1"/>
  <c r="N9" i="161"/>
  <c r="J9" i="161"/>
  <c r="I9" i="161"/>
  <c r="L9" i="161"/>
  <c r="R82" i="161"/>
  <c r="F82" i="161"/>
  <c r="K49" i="161"/>
  <c r="J49" i="161"/>
  <c r="D70" i="161"/>
  <c r="I49" i="161"/>
  <c r="F49" i="161"/>
  <c r="M49" i="161"/>
  <c r="H49" i="161"/>
  <c r="G49" i="161"/>
  <c r="N49" i="161"/>
  <c r="L49" i="161"/>
  <c r="P16" i="161"/>
  <c r="J16" i="161"/>
  <c r="N16" i="161"/>
  <c r="H16" i="161"/>
  <c r="M16" i="161"/>
  <c r="L16" i="161"/>
  <c r="K16" i="161"/>
  <c r="Q16" i="161" s="1"/>
  <c r="R16" i="161" s="1"/>
  <c r="G16" i="161"/>
  <c r="O16" i="161"/>
  <c r="I16" i="161"/>
  <c r="F16" i="161"/>
  <c r="Q90" i="161"/>
  <c r="L90" i="161" s="1"/>
  <c r="R90" i="161" s="1"/>
  <c r="M56" i="161"/>
  <c r="G56" i="161"/>
  <c r="Q56" i="161" s="1"/>
  <c r="R56" i="161" s="1"/>
  <c r="L56" i="161"/>
  <c r="F56" i="161"/>
  <c r="K56" i="161"/>
  <c r="N56" i="161"/>
  <c r="I56" i="161"/>
  <c r="J56" i="161"/>
  <c r="H56" i="161"/>
  <c r="P56" i="161"/>
  <c r="O56" i="161"/>
  <c r="F79" i="161"/>
  <c r="D83" i="161"/>
  <c r="R79" i="161"/>
  <c r="K50" i="161"/>
  <c r="J50" i="161"/>
  <c r="I50" i="161"/>
  <c r="F50" i="161"/>
  <c r="M50" i="161"/>
  <c r="N50" i="161"/>
  <c r="L50" i="161"/>
  <c r="G50" i="161"/>
  <c r="H50" i="161"/>
  <c r="F60" i="161"/>
  <c r="R60" i="161" s="1"/>
  <c r="F71" i="161"/>
  <c r="R71" i="161"/>
  <c r="D76" i="161"/>
  <c r="R11" i="161"/>
  <c r="F11" i="161"/>
  <c r="N32" i="161"/>
  <c r="H32" i="161"/>
  <c r="L32" i="161"/>
  <c r="F32" i="161"/>
  <c r="R32" i="161" s="1"/>
  <c r="K32" i="161"/>
  <c r="P32" i="161"/>
  <c r="J32" i="161"/>
  <c r="G32" i="161"/>
  <c r="Q32" i="161"/>
  <c r="I32" i="161"/>
  <c r="O32" i="161"/>
  <c r="M32" i="161"/>
  <c r="Q30" i="161"/>
  <c r="R30" i="161" s="1"/>
  <c r="D37" i="161"/>
  <c r="L33" i="161"/>
  <c r="K33" i="161"/>
  <c r="O33" i="161"/>
  <c r="G33" i="161"/>
  <c r="M33" i="161"/>
  <c r="H33" i="161"/>
  <c r="Q33" i="161" s="1"/>
  <c r="N33" i="161"/>
  <c r="F33" i="161"/>
  <c r="P33" i="161"/>
  <c r="J33" i="161"/>
  <c r="I33" i="161"/>
  <c r="R44" i="161"/>
  <c r="L44" i="161"/>
  <c r="L45" i="161" s="1"/>
  <c r="K57" i="161"/>
  <c r="P57" i="161"/>
  <c r="J57" i="161"/>
  <c r="O57" i="161"/>
  <c r="I57" i="161"/>
  <c r="L57" i="161"/>
  <c r="G57" i="161"/>
  <c r="N57" i="161"/>
  <c r="F57" i="161"/>
  <c r="Q57" i="161" s="1"/>
  <c r="M57" i="161"/>
  <c r="H57" i="161"/>
  <c r="N29" i="161"/>
  <c r="H29" i="161"/>
  <c r="L29" i="161"/>
  <c r="F29" i="161"/>
  <c r="Q29" i="161" s="1"/>
  <c r="I29" i="161"/>
  <c r="P29" i="161"/>
  <c r="G29" i="161"/>
  <c r="G37" i="161" s="1"/>
  <c r="M29" i="161"/>
  <c r="M37" i="161" s="1"/>
  <c r="O29" i="161"/>
  <c r="O37" i="161" s="1"/>
  <c r="K29" i="161"/>
  <c r="J29" i="161"/>
  <c r="N74" i="161"/>
  <c r="H74" i="161"/>
  <c r="M74" i="161"/>
  <c r="G74" i="161"/>
  <c r="L74" i="161"/>
  <c r="F74" i="161"/>
  <c r="J74" i="161"/>
  <c r="K74" i="161"/>
  <c r="I74" i="161"/>
  <c r="P14" i="161"/>
  <c r="J14" i="161"/>
  <c r="N14" i="161"/>
  <c r="H14" i="161"/>
  <c r="M14" i="161"/>
  <c r="L14" i="161"/>
  <c r="K14" i="161"/>
  <c r="G14" i="161"/>
  <c r="F14" i="161"/>
  <c r="O14" i="161"/>
  <c r="I14" i="161"/>
  <c r="K7" i="161"/>
  <c r="O7" i="161"/>
  <c r="I7" i="161"/>
  <c r="H7" i="161"/>
  <c r="P7" i="161"/>
  <c r="G7" i="161"/>
  <c r="N7" i="161"/>
  <c r="N25" i="161" s="1"/>
  <c r="N48" i="161" s="1"/>
  <c r="F7" i="161"/>
  <c r="L7" i="161"/>
  <c r="J7" i="161"/>
  <c r="M7" i="161"/>
  <c r="M59" i="161"/>
  <c r="G59" i="161"/>
  <c r="Q59" i="161" s="1"/>
  <c r="L59" i="161"/>
  <c r="F59" i="161"/>
  <c r="K59" i="161"/>
  <c r="H59" i="161"/>
  <c r="O59" i="161"/>
  <c r="N59" i="161"/>
  <c r="P59" i="161"/>
  <c r="J59" i="161"/>
  <c r="I59" i="161"/>
  <c r="F81" i="161"/>
  <c r="R81" i="161" s="1"/>
  <c r="K51" i="161"/>
  <c r="J51" i="161"/>
  <c r="I51" i="161"/>
  <c r="F51" i="161"/>
  <c r="M51" i="161"/>
  <c r="L51" i="161"/>
  <c r="N51" i="161"/>
  <c r="H51" i="161"/>
  <c r="O51" i="161" s="1"/>
  <c r="G51" i="161"/>
  <c r="K64" i="161"/>
  <c r="J64" i="161"/>
  <c r="I64" i="161"/>
  <c r="F64" i="161"/>
  <c r="M64" i="161"/>
  <c r="L64" i="161"/>
  <c r="N64" i="161"/>
  <c r="H64" i="161"/>
  <c r="G64" i="161"/>
  <c r="L4" i="161"/>
  <c r="F4" i="161"/>
  <c r="K4" i="161"/>
  <c r="K25" i="161" s="1"/>
  <c r="K48" i="161" s="1"/>
  <c r="P4" i="161"/>
  <c r="P25" i="161" s="1"/>
  <c r="J4" i="161"/>
  <c r="J25" i="161" s="1"/>
  <c r="J48" i="161" s="1"/>
  <c r="N4" i="161"/>
  <c r="H4" i="161"/>
  <c r="G4" i="161"/>
  <c r="G25" i="161" s="1"/>
  <c r="M4" i="161"/>
  <c r="M25" i="161" s="1"/>
  <c r="M48" i="161" s="1"/>
  <c r="O4" i="161"/>
  <c r="O25" i="161" s="1"/>
  <c r="O48" i="161" s="1"/>
  <c r="I4" i="161"/>
  <c r="N75" i="161"/>
  <c r="H75" i="161"/>
  <c r="M75" i="161"/>
  <c r="G75" i="161"/>
  <c r="L75" i="161"/>
  <c r="F75" i="161"/>
  <c r="O75" i="161" s="1"/>
  <c r="J75" i="161"/>
  <c r="K75" i="161"/>
  <c r="I75" i="161"/>
  <c r="N17" i="161"/>
  <c r="H17" i="161"/>
  <c r="L17" i="161"/>
  <c r="F17" i="161"/>
  <c r="I17" i="161"/>
  <c r="M17" i="161"/>
  <c r="P17" i="161"/>
  <c r="G17" i="161"/>
  <c r="O17" i="161"/>
  <c r="K17" i="161"/>
  <c r="Q17" i="161" s="1"/>
  <c r="J17" i="161"/>
  <c r="H77" i="161"/>
  <c r="F69" i="161"/>
  <c r="L69" i="161" s="1"/>
  <c r="R69" i="161" s="1"/>
  <c r="R68" i="161"/>
  <c r="F68" i="161"/>
  <c r="F63" i="161"/>
  <c r="R63" i="161" s="1"/>
  <c r="M6" i="161"/>
  <c r="G6" i="161"/>
  <c r="Q6" i="161" s="1"/>
  <c r="K6" i="161"/>
  <c r="N6" i="161"/>
  <c r="L6" i="161"/>
  <c r="L25" i="161" s="1"/>
  <c r="J6" i="161"/>
  <c r="P6" i="161"/>
  <c r="H6" i="161"/>
  <c r="H25" i="161" s="1"/>
  <c r="H48" i="161" s="1"/>
  <c r="O6" i="161"/>
  <c r="F6" i="161"/>
  <c r="I6" i="161"/>
  <c r="K10" i="161"/>
  <c r="O10" i="161"/>
  <c r="I10" i="161"/>
  <c r="L10" i="161"/>
  <c r="J10" i="161"/>
  <c r="H10" i="161"/>
  <c r="N10" i="161"/>
  <c r="F10" i="161"/>
  <c r="P10" i="161"/>
  <c r="M10" i="161"/>
  <c r="G10" i="161"/>
  <c r="Q10" i="161" s="1"/>
  <c r="D92" i="161"/>
  <c r="F89" i="161"/>
  <c r="L89" i="161" s="1"/>
  <c r="R89" i="161" s="1"/>
  <c r="K52" i="161"/>
  <c r="J52" i="161"/>
  <c r="I52" i="161"/>
  <c r="F52" i="161"/>
  <c r="O52" i="161" s="1"/>
  <c r="M52" i="161"/>
  <c r="H52" i="161"/>
  <c r="R52" i="161" s="1"/>
  <c r="G52" i="161"/>
  <c r="N52" i="161"/>
  <c r="L52" i="161"/>
  <c r="K65" i="161"/>
  <c r="J65" i="161"/>
  <c r="I65" i="161"/>
  <c r="F65" i="161"/>
  <c r="M65" i="161"/>
  <c r="H65" i="161"/>
  <c r="G65" i="161"/>
  <c r="O65" i="161" s="1"/>
  <c r="N65" i="161"/>
  <c r="L65" i="161"/>
  <c r="N72" i="161"/>
  <c r="H72" i="161"/>
  <c r="M72" i="161"/>
  <c r="G72" i="161"/>
  <c r="G76" i="161" s="1"/>
  <c r="L72" i="161"/>
  <c r="F72" i="161"/>
  <c r="J72" i="161"/>
  <c r="K72" i="161"/>
  <c r="I72" i="161"/>
  <c r="I76" i="161" s="1"/>
  <c r="F15" i="161"/>
  <c r="R15" i="161" s="1"/>
  <c r="L15" i="161"/>
  <c r="K37" i="161"/>
  <c r="Q3" i="161"/>
  <c r="R3" i="161" s="1"/>
  <c r="M26" i="160"/>
  <c r="K26" i="160"/>
  <c r="P26" i="160"/>
  <c r="F26" i="160"/>
  <c r="N26" i="160"/>
  <c r="J26" i="160"/>
  <c r="D37" i="160"/>
  <c r="H26" i="160"/>
  <c r="H37" i="160" s="1"/>
  <c r="O26" i="160"/>
  <c r="I26" i="160"/>
  <c r="M17" i="160"/>
  <c r="G17" i="160"/>
  <c r="Q17" i="160" s="1"/>
  <c r="K17" i="160"/>
  <c r="P17" i="160"/>
  <c r="J17" i="160"/>
  <c r="L17" i="160"/>
  <c r="I17" i="160"/>
  <c r="H17" i="160"/>
  <c r="O17" i="160"/>
  <c r="N17" i="160"/>
  <c r="F17" i="160"/>
  <c r="D45" i="160"/>
  <c r="I42" i="160"/>
  <c r="I45" i="160" s="1"/>
  <c r="F60" i="160"/>
  <c r="R60" i="160" s="1"/>
  <c r="F80" i="160"/>
  <c r="R80" i="160"/>
  <c r="P7" i="160"/>
  <c r="J7" i="160"/>
  <c r="N7" i="160"/>
  <c r="H7" i="160"/>
  <c r="M7" i="160"/>
  <c r="G7" i="160"/>
  <c r="Q7" i="160" s="1"/>
  <c r="R7" i="160" s="1"/>
  <c r="I7" i="160"/>
  <c r="F7" i="160"/>
  <c r="K7" i="160"/>
  <c r="L7" i="160"/>
  <c r="O7" i="160"/>
  <c r="L9" i="160"/>
  <c r="F9" i="160"/>
  <c r="Q9" i="160" s="1"/>
  <c r="P9" i="160"/>
  <c r="J9" i="160"/>
  <c r="O9" i="160"/>
  <c r="I9" i="160"/>
  <c r="N9" i="160"/>
  <c r="G9" i="160"/>
  <c r="M9" i="160"/>
  <c r="H9" i="160"/>
  <c r="K9" i="160"/>
  <c r="R9" i="160" s="1"/>
  <c r="O31" i="160"/>
  <c r="I31" i="160"/>
  <c r="N31" i="160"/>
  <c r="H31" i="160"/>
  <c r="J31" i="160"/>
  <c r="P31" i="160"/>
  <c r="F31" i="160"/>
  <c r="M31" i="160"/>
  <c r="G31" i="160"/>
  <c r="R31" i="160" s="1"/>
  <c r="K31" i="160"/>
  <c r="Q31" i="160"/>
  <c r="L31" i="160"/>
  <c r="N75" i="160"/>
  <c r="H75" i="160"/>
  <c r="I75" i="160"/>
  <c r="G75" i="160"/>
  <c r="J75" i="160"/>
  <c r="M75" i="160"/>
  <c r="F75" i="160"/>
  <c r="R75" i="160" s="1"/>
  <c r="K75" i="160"/>
  <c r="L75" i="160"/>
  <c r="O75" i="160" s="1"/>
  <c r="N46" i="160"/>
  <c r="N47" i="160" s="1"/>
  <c r="K46" i="160"/>
  <c r="K47" i="160" s="1"/>
  <c r="D47" i="160"/>
  <c r="F46" i="160"/>
  <c r="F47" i="160" s="1"/>
  <c r="R44" i="160"/>
  <c r="L44" i="160"/>
  <c r="L45" i="160" s="1"/>
  <c r="Q90" i="160"/>
  <c r="L90" i="160" s="1"/>
  <c r="R90" i="160" s="1"/>
  <c r="K52" i="160"/>
  <c r="I52" i="160"/>
  <c r="H52" i="160"/>
  <c r="M52" i="160"/>
  <c r="J52" i="160"/>
  <c r="G52" i="160"/>
  <c r="R52" i="160" s="1"/>
  <c r="N52" i="160"/>
  <c r="F52" i="160"/>
  <c r="O52" i="160" s="1"/>
  <c r="L52" i="160"/>
  <c r="K65" i="160"/>
  <c r="I65" i="160"/>
  <c r="H65" i="160"/>
  <c r="J65" i="160"/>
  <c r="F65" i="160"/>
  <c r="O65" i="160" s="1"/>
  <c r="N65" i="160"/>
  <c r="G65" i="160"/>
  <c r="L65" i="160"/>
  <c r="M65" i="160"/>
  <c r="H77" i="160"/>
  <c r="R77" i="160"/>
  <c r="N77" i="160"/>
  <c r="N4" i="160"/>
  <c r="Q4" i="160" s="1"/>
  <c r="H4" i="160"/>
  <c r="M4" i="160"/>
  <c r="G4" i="160"/>
  <c r="J4" i="160"/>
  <c r="I4" i="160"/>
  <c r="K4" i="160"/>
  <c r="P4" i="160"/>
  <c r="F4" i="160"/>
  <c r="R4" i="160" s="1"/>
  <c r="L4" i="160"/>
  <c r="O4" i="160"/>
  <c r="O73" i="160"/>
  <c r="R73" i="160" s="1"/>
  <c r="O28" i="160"/>
  <c r="I28" i="160"/>
  <c r="N28" i="160"/>
  <c r="H28" i="160"/>
  <c r="P28" i="160"/>
  <c r="F28" i="160"/>
  <c r="L28" i="160"/>
  <c r="K28" i="160"/>
  <c r="M28" i="160"/>
  <c r="J28" i="160"/>
  <c r="G28" i="160"/>
  <c r="O58" i="160"/>
  <c r="I58" i="160"/>
  <c r="P58" i="160"/>
  <c r="H58" i="160"/>
  <c r="N58" i="160"/>
  <c r="G58" i="160"/>
  <c r="J58" i="160"/>
  <c r="M58" i="160"/>
  <c r="F58" i="160"/>
  <c r="Q58" i="160" s="1"/>
  <c r="L58" i="160"/>
  <c r="K58" i="160"/>
  <c r="F88" i="160"/>
  <c r="D87" i="160"/>
  <c r="F81" i="160"/>
  <c r="R81" i="160"/>
  <c r="M59" i="160"/>
  <c r="G59" i="160"/>
  <c r="P59" i="160"/>
  <c r="I59" i="160"/>
  <c r="O59" i="160"/>
  <c r="H59" i="160"/>
  <c r="L59" i="160"/>
  <c r="K59" i="160"/>
  <c r="N59" i="160"/>
  <c r="J59" i="160"/>
  <c r="F59" i="160"/>
  <c r="Q59" i="160" s="1"/>
  <c r="N61" i="160"/>
  <c r="H61" i="160"/>
  <c r="M61" i="160"/>
  <c r="F61" i="160"/>
  <c r="Q61" i="160" s="1"/>
  <c r="L61" i="160"/>
  <c r="J61" i="160"/>
  <c r="G61" i="160"/>
  <c r="P61" i="160"/>
  <c r="O61" i="160"/>
  <c r="K61" i="160"/>
  <c r="I61" i="160"/>
  <c r="K53" i="160"/>
  <c r="L53" i="160"/>
  <c r="J53" i="160"/>
  <c r="M53" i="160"/>
  <c r="H53" i="160"/>
  <c r="G53" i="160"/>
  <c r="I53" i="160"/>
  <c r="F53" i="160"/>
  <c r="O53" i="160" s="1"/>
  <c r="N53" i="160"/>
  <c r="K66" i="160"/>
  <c r="L66" i="160"/>
  <c r="J66" i="160"/>
  <c r="H66" i="160"/>
  <c r="F66" i="160"/>
  <c r="O66" i="160" s="1"/>
  <c r="N66" i="160"/>
  <c r="M66" i="160"/>
  <c r="I66" i="160"/>
  <c r="G66" i="160"/>
  <c r="Q10" i="160"/>
  <c r="R10" i="160" s="1"/>
  <c r="F89" i="160"/>
  <c r="L89" i="160" s="1"/>
  <c r="R89" i="160" s="1"/>
  <c r="N72" i="160"/>
  <c r="N76" i="160" s="1"/>
  <c r="H72" i="160"/>
  <c r="I72" i="160"/>
  <c r="G72" i="160"/>
  <c r="L72" i="160"/>
  <c r="L76" i="160" s="1"/>
  <c r="J72" i="160"/>
  <c r="F72" i="160"/>
  <c r="M72" i="160"/>
  <c r="K72" i="160"/>
  <c r="K76" i="160" s="1"/>
  <c r="F82" i="160"/>
  <c r="R82" i="160"/>
  <c r="F24" i="160"/>
  <c r="K51" i="160"/>
  <c r="N51" i="160"/>
  <c r="G51" i="160"/>
  <c r="M51" i="160"/>
  <c r="F51" i="160"/>
  <c r="J51" i="160"/>
  <c r="I51" i="160"/>
  <c r="L51" i="160"/>
  <c r="H51" i="160"/>
  <c r="D25" i="160"/>
  <c r="P3" i="160"/>
  <c r="J3" i="160"/>
  <c r="O3" i="160"/>
  <c r="I3" i="160"/>
  <c r="N3" i="160"/>
  <c r="F3" i="160"/>
  <c r="M3" i="160"/>
  <c r="G3" i="160"/>
  <c r="Q3" i="160" s="1"/>
  <c r="L3" i="160"/>
  <c r="H3" i="160"/>
  <c r="K3" i="160"/>
  <c r="L5" i="160"/>
  <c r="F5" i="160"/>
  <c r="K5" i="160"/>
  <c r="N5" i="160"/>
  <c r="M5" i="160"/>
  <c r="O5" i="160"/>
  <c r="G5" i="160"/>
  <c r="J5" i="160"/>
  <c r="P5" i="160"/>
  <c r="I5" i="160"/>
  <c r="H5" i="160"/>
  <c r="Q5" i="160" s="1"/>
  <c r="D93" i="160"/>
  <c r="H94" i="160"/>
  <c r="O94" i="160" s="1"/>
  <c r="R68" i="160"/>
  <c r="F68" i="160"/>
  <c r="I62" i="160"/>
  <c r="N62" i="160" s="1"/>
  <c r="K27" i="160"/>
  <c r="P27" i="160"/>
  <c r="J27" i="160"/>
  <c r="L27" i="160"/>
  <c r="H27" i="160"/>
  <c r="O27" i="160"/>
  <c r="G27" i="160"/>
  <c r="I27" i="160"/>
  <c r="F27" i="160"/>
  <c r="M27" i="160"/>
  <c r="N27" i="160"/>
  <c r="L36" i="160"/>
  <c r="F36" i="160"/>
  <c r="R36" i="160"/>
  <c r="K54" i="160"/>
  <c r="N54" i="160"/>
  <c r="G54" i="160"/>
  <c r="M54" i="160"/>
  <c r="F54" i="160"/>
  <c r="Q54" i="160" s="1"/>
  <c r="J54" i="160"/>
  <c r="H54" i="160"/>
  <c r="P54" i="160"/>
  <c r="O54" i="160"/>
  <c r="L54" i="160"/>
  <c r="I54" i="160"/>
  <c r="H67" i="160"/>
  <c r="R67" i="160" s="1"/>
  <c r="R43" i="160"/>
  <c r="F43" i="160"/>
  <c r="F45" i="160" s="1"/>
  <c r="M56" i="160"/>
  <c r="G56" i="160"/>
  <c r="O56" i="160"/>
  <c r="H56" i="160"/>
  <c r="N56" i="160"/>
  <c r="F56" i="160"/>
  <c r="P56" i="160"/>
  <c r="K56" i="160"/>
  <c r="J56" i="160"/>
  <c r="L56" i="160"/>
  <c r="I56" i="160"/>
  <c r="Q56" i="160" s="1"/>
  <c r="R56" i="160" s="1"/>
  <c r="O16" i="160"/>
  <c r="I16" i="160"/>
  <c r="M16" i="160"/>
  <c r="G16" i="160"/>
  <c r="Q16" i="160" s="1"/>
  <c r="L16" i="160"/>
  <c r="F16" i="160"/>
  <c r="N16" i="160"/>
  <c r="K16" i="160"/>
  <c r="J16" i="160"/>
  <c r="P16" i="160"/>
  <c r="H16" i="160"/>
  <c r="F11" i="160"/>
  <c r="R11" i="160"/>
  <c r="K13" i="160"/>
  <c r="O13" i="160"/>
  <c r="I13" i="160"/>
  <c r="N13" i="160"/>
  <c r="H13" i="160"/>
  <c r="J13" i="160"/>
  <c r="Q13" i="160" s="1"/>
  <c r="G13" i="160"/>
  <c r="F13" i="160"/>
  <c r="L13" i="160"/>
  <c r="P13" i="160"/>
  <c r="M13" i="160"/>
  <c r="K50" i="160"/>
  <c r="L50" i="160"/>
  <c r="J50" i="160"/>
  <c r="F50" i="160"/>
  <c r="O50" i="160" s="1"/>
  <c r="R50" i="160" s="1"/>
  <c r="M50" i="160"/>
  <c r="I50" i="160"/>
  <c r="G50" i="160"/>
  <c r="N50" i="160"/>
  <c r="H50" i="160"/>
  <c r="F71" i="160"/>
  <c r="F76" i="160" s="1"/>
  <c r="D76" i="160"/>
  <c r="R71" i="160"/>
  <c r="M29" i="160"/>
  <c r="G29" i="160"/>
  <c r="L29" i="160"/>
  <c r="F29" i="160"/>
  <c r="R29" i="160" s="1"/>
  <c r="J29" i="160"/>
  <c r="Q29" i="160" s="1"/>
  <c r="P29" i="160"/>
  <c r="H29" i="160"/>
  <c r="O29" i="160"/>
  <c r="N29" i="160"/>
  <c r="K29" i="160"/>
  <c r="I29" i="160"/>
  <c r="M33" i="160"/>
  <c r="G33" i="160"/>
  <c r="N33" i="160"/>
  <c r="F33" i="160"/>
  <c r="Q33" i="160" s="1"/>
  <c r="L33" i="160"/>
  <c r="J33" i="160"/>
  <c r="H33" i="160"/>
  <c r="P33" i="160"/>
  <c r="O33" i="160"/>
  <c r="K33" i="160"/>
  <c r="I33" i="160"/>
  <c r="K64" i="160"/>
  <c r="N64" i="160"/>
  <c r="G64" i="160"/>
  <c r="M64" i="160"/>
  <c r="F64" i="160"/>
  <c r="J64" i="160"/>
  <c r="H64" i="160"/>
  <c r="L64" i="160"/>
  <c r="I64" i="160"/>
  <c r="L6" i="160"/>
  <c r="F6" i="160"/>
  <c r="Q6" i="160" s="1"/>
  <c r="P6" i="160"/>
  <c r="J6" i="160"/>
  <c r="O6" i="160"/>
  <c r="I6" i="160"/>
  <c r="K6" i="160"/>
  <c r="H6" i="160"/>
  <c r="M6" i="160"/>
  <c r="G6" i="160"/>
  <c r="N6" i="160"/>
  <c r="O55" i="160"/>
  <c r="I55" i="160"/>
  <c r="N55" i="160"/>
  <c r="G55" i="160"/>
  <c r="M55" i="160"/>
  <c r="F55" i="160"/>
  <c r="H55" i="160"/>
  <c r="P55" i="160"/>
  <c r="L55" i="160"/>
  <c r="K55" i="160"/>
  <c r="J55" i="160"/>
  <c r="N8" i="160"/>
  <c r="H8" i="160"/>
  <c r="L8" i="160"/>
  <c r="F8" i="160"/>
  <c r="K8" i="160"/>
  <c r="G8" i="160"/>
  <c r="Q8" i="160" s="1"/>
  <c r="P8" i="160"/>
  <c r="R8" i="160" s="1"/>
  <c r="I8" i="160"/>
  <c r="O8" i="160"/>
  <c r="M8" i="160"/>
  <c r="J8" i="160"/>
  <c r="F15" i="160"/>
  <c r="K12" i="160"/>
  <c r="I12" i="160"/>
  <c r="N12" i="160"/>
  <c r="H12" i="160"/>
  <c r="J12" i="160"/>
  <c r="G12" i="160"/>
  <c r="F12" i="160"/>
  <c r="O12" i="160" s="1"/>
  <c r="R12" i="160" s="1"/>
  <c r="M12" i="160"/>
  <c r="L12" i="160"/>
  <c r="F79" i="160"/>
  <c r="R79" i="160" s="1"/>
  <c r="D83" i="160"/>
  <c r="N74" i="160"/>
  <c r="H74" i="160"/>
  <c r="M74" i="160"/>
  <c r="O74" i="160" s="1"/>
  <c r="F74" i="160"/>
  <c r="L74" i="160"/>
  <c r="J74" i="160"/>
  <c r="G74" i="160"/>
  <c r="K74" i="160"/>
  <c r="I74" i="160"/>
  <c r="K30" i="160"/>
  <c r="P30" i="160"/>
  <c r="J30" i="160"/>
  <c r="N30" i="160"/>
  <c r="F30" i="160"/>
  <c r="L30" i="160"/>
  <c r="I30" i="160"/>
  <c r="R30" i="160" s="1"/>
  <c r="O30" i="160"/>
  <c r="G30" i="160"/>
  <c r="M30" i="160"/>
  <c r="H30" i="160"/>
  <c r="Q30" i="160" s="1"/>
  <c r="K49" i="160"/>
  <c r="K70" i="160" s="1"/>
  <c r="I49" i="160"/>
  <c r="I70" i="160" s="1"/>
  <c r="H49" i="160"/>
  <c r="F49" i="160"/>
  <c r="D70" i="160"/>
  <c r="M49" i="160"/>
  <c r="L49" i="160"/>
  <c r="N49" i="160"/>
  <c r="J49" i="160"/>
  <c r="G49" i="160"/>
  <c r="K57" i="160"/>
  <c r="O57" i="160"/>
  <c r="H57" i="160"/>
  <c r="N57" i="160"/>
  <c r="G57" i="160"/>
  <c r="L57" i="160"/>
  <c r="I57" i="160"/>
  <c r="F57" i="160"/>
  <c r="P57" i="160"/>
  <c r="M57" i="160"/>
  <c r="J57" i="160"/>
  <c r="Q57" i="160" s="1"/>
  <c r="R57" i="160" s="1"/>
  <c r="L69" i="160"/>
  <c r="R69" i="160" s="1"/>
  <c r="F69" i="160"/>
  <c r="O14" i="160"/>
  <c r="I14" i="160"/>
  <c r="M14" i="160"/>
  <c r="Q14" i="160" s="1"/>
  <c r="G14" i="160"/>
  <c r="L14" i="160"/>
  <c r="F14" i="160"/>
  <c r="H14" i="160"/>
  <c r="J14" i="160"/>
  <c r="P14" i="160"/>
  <c r="K14" i="160"/>
  <c r="N14" i="160"/>
  <c r="O32" i="160"/>
  <c r="M32" i="160"/>
  <c r="G32" i="160"/>
  <c r="L32" i="160"/>
  <c r="F32" i="160"/>
  <c r="N32" i="160"/>
  <c r="J32" i="160"/>
  <c r="I32" i="160"/>
  <c r="K32" i="160"/>
  <c r="Q32" i="160" s="1"/>
  <c r="H32" i="160"/>
  <c r="P32" i="160"/>
  <c r="D92" i="160"/>
  <c r="I92" i="159"/>
  <c r="H92" i="159"/>
  <c r="G92" i="159"/>
  <c r="J92" i="159"/>
  <c r="F92" i="159"/>
  <c r="K92" i="159"/>
  <c r="L92" i="159"/>
  <c r="R55" i="159"/>
  <c r="R14" i="159"/>
  <c r="R9" i="159"/>
  <c r="I72" i="159"/>
  <c r="N72" i="159"/>
  <c r="H72" i="159"/>
  <c r="M72" i="159"/>
  <c r="G72" i="159"/>
  <c r="L72" i="159"/>
  <c r="K72" i="159"/>
  <c r="F72" i="159"/>
  <c r="J72" i="159"/>
  <c r="P6" i="159"/>
  <c r="L6" i="159"/>
  <c r="F6" i="159"/>
  <c r="R6" i="159" s="1"/>
  <c r="M6" i="159"/>
  <c r="G6" i="159"/>
  <c r="Q6" i="159" s="1"/>
  <c r="K6" i="159"/>
  <c r="O6" i="159"/>
  <c r="I6" i="159"/>
  <c r="J6" i="159"/>
  <c r="N6" i="159"/>
  <c r="H6" i="159"/>
  <c r="N17" i="159"/>
  <c r="H17" i="159"/>
  <c r="M17" i="159"/>
  <c r="G17" i="159"/>
  <c r="R17" i="159" s="1"/>
  <c r="K17" i="159"/>
  <c r="F17" i="159"/>
  <c r="Q17" i="159" s="1"/>
  <c r="P17" i="159"/>
  <c r="L17" i="159"/>
  <c r="O17" i="159"/>
  <c r="J17" i="159"/>
  <c r="I17" i="159"/>
  <c r="L30" i="159"/>
  <c r="F30" i="159"/>
  <c r="Q30" i="159" s="1"/>
  <c r="K30" i="159"/>
  <c r="O30" i="159"/>
  <c r="I30" i="159"/>
  <c r="P30" i="159"/>
  <c r="N30" i="159"/>
  <c r="J30" i="159"/>
  <c r="M30" i="159"/>
  <c r="H30" i="159"/>
  <c r="G30" i="159"/>
  <c r="N59" i="159"/>
  <c r="H59" i="159"/>
  <c r="M59" i="159"/>
  <c r="G59" i="159"/>
  <c r="L59" i="159"/>
  <c r="F59" i="159"/>
  <c r="R59" i="159" s="1"/>
  <c r="Q59" i="159"/>
  <c r="P59" i="159"/>
  <c r="K59" i="159"/>
  <c r="O59" i="159"/>
  <c r="J59" i="159"/>
  <c r="I59" i="159"/>
  <c r="F89" i="159"/>
  <c r="L89" i="159" s="1"/>
  <c r="R89" i="159" s="1"/>
  <c r="L51" i="159"/>
  <c r="F51" i="159"/>
  <c r="O51" i="159" s="1"/>
  <c r="K51" i="159"/>
  <c r="J51" i="159"/>
  <c r="N51" i="159"/>
  <c r="I51" i="159"/>
  <c r="M51" i="159"/>
  <c r="G51" i="159"/>
  <c r="R51" i="159" s="1"/>
  <c r="H51" i="159"/>
  <c r="L64" i="159"/>
  <c r="F64" i="159"/>
  <c r="O64" i="159" s="1"/>
  <c r="K64" i="159"/>
  <c r="J64" i="159"/>
  <c r="N64" i="159"/>
  <c r="I64" i="159"/>
  <c r="M64" i="159"/>
  <c r="H64" i="159"/>
  <c r="G64" i="159"/>
  <c r="R64" i="159" s="1"/>
  <c r="Q14" i="159"/>
  <c r="F68" i="159"/>
  <c r="R68" i="159" s="1"/>
  <c r="I75" i="159"/>
  <c r="N75" i="159"/>
  <c r="H75" i="159"/>
  <c r="M75" i="159"/>
  <c r="G75" i="159"/>
  <c r="L75" i="159"/>
  <c r="K75" i="159"/>
  <c r="F75" i="159"/>
  <c r="J75" i="159"/>
  <c r="N29" i="159"/>
  <c r="H29" i="159"/>
  <c r="M29" i="159"/>
  <c r="G29" i="159"/>
  <c r="K29" i="159"/>
  <c r="F29" i="159"/>
  <c r="Q29" i="159" s="1"/>
  <c r="P29" i="159"/>
  <c r="L29" i="159"/>
  <c r="O29" i="159"/>
  <c r="J29" i="159"/>
  <c r="I29" i="159"/>
  <c r="L12" i="159"/>
  <c r="F12" i="159"/>
  <c r="O12" i="159" s="1"/>
  <c r="K12" i="159"/>
  <c r="I12" i="159"/>
  <c r="N12" i="159"/>
  <c r="J12" i="159"/>
  <c r="M12" i="159"/>
  <c r="G12" i="159"/>
  <c r="H12" i="159"/>
  <c r="L33" i="159"/>
  <c r="M33" i="159"/>
  <c r="F33" i="159"/>
  <c r="R33" i="159" s="1"/>
  <c r="K33" i="159"/>
  <c r="P33" i="159"/>
  <c r="I33" i="159"/>
  <c r="J33" i="159"/>
  <c r="H33" i="159"/>
  <c r="Q33" i="159"/>
  <c r="G33" i="159"/>
  <c r="O33" i="159"/>
  <c r="N33" i="159"/>
  <c r="L52" i="159"/>
  <c r="F52" i="159"/>
  <c r="K52" i="159"/>
  <c r="J52" i="159"/>
  <c r="N52" i="159"/>
  <c r="I52" i="159"/>
  <c r="M52" i="159"/>
  <c r="H52" i="159"/>
  <c r="G52" i="159"/>
  <c r="L65" i="159"/>
  <c r="F65" i="159"/>
  <c r="K65" i="159"/>
  <c r="J65" i="159"/>
  <c r="N65" i="159"/>
  <c r="I65" i="159"/>
  <c r="M65" i="159"/>
  <c r="H65" i="159"/>
  <c r="G65" i="159"/>
  <c r="L90" i="159"/>
  <c r="R90" i="159" s="1"/>
  <c r="R5" i="159"/>
  <c r="N32" i="159"/>
  <c r="H32" i="159"/>
  <c r="Q32" i="159" s="1"/>
  <c r="M32" i="159"/>
  <c r="G32" i="159"/>
  <c r="K32" i="159"/>
  <c r="L32" i="159"/>
  <c r="J32" i="159"/>
  <c r="F32" i="159"/>
  <c r="R32" i="159" s="1"/>
  <c r="I32" i="159"/>
  <c r="P32" i="159"/>
  <c r="O32" i="159"/>
  <c r="N62" i="159"/>
  <c r="R62" i="159" s="1"/>
  <c r="I62" i="159"/>
  <c r="F43" i="159"/>
  <c r="F45" i="159" s="1"/>
  <c r="R7" i="159"/>
  <c r="Q58" i="159"/>
  <c r="R58" i="159" s="1"/>
  <c r="P28" i="159"/>
  <c r="J28" i="159"/>
  <c r="O28" i="159"/>
  <c r="I28" i="159"/>
  <c r="M28" i="159"/>
  <c r="G28" i="159"/>
  <c r="Q28" i="159" s="1"/>
  <c r="H28" i="159"/>
  <c r="F28" i="159"/>
  <c r="N28" i="159"/>
  <c r="L28" i="159"/>
  <c r="K28" i="159"/>
  <c r="O61" i="159"/>
  <c r="I61" i="159"/>
  <c r="N61" i="159"/>
  <c r="H61" i="159"/>
  <c r="M61" i="159"/>
  <c r="G61" i="159"/>
  <c r="L61" i="159"/>
  <c r="K61" i="159"/>
  <c r="F61" i="159"/>
  <c r="R61" i="159" s="1"/>
  <c r="Q61" i="159"/>
  <c r="J61" i="159"/>
  <c r="P61" i="159"/>
  <c r="R44" i="159"/>
  <c r="L44" i="159"/>
  <c r="L45" i="159" s="1"/>
  <c r="F24" i="159"/>
  <c r="L24" i="159" s="1"/>
  <c r="R24" i="159" s="1"/>
  <c r="H77" i="159"/>
  <c r="N77" i="159" s="1"/>
  <c r="F36" i="159"/>
  <c r="L36" i="159" s="1"/>
  <c r="R36" i="159" s="1"/>
  <c r="L54" i="159"/>
  <c r="F54" i="159"/>
  <c r="K54" i="159"/>
  <c r="P54" i="159"/>
  <c r="J54" i="159"/>
  <c r="O54" i="159"/>
  <c r="N54" i="159"/>
  <c r="I54" i="159"/>
  <c r="Q54" i="159" s="1"/>
  <c r="M54" i="159"/>
  <c r="H54" i="159"/>
  <c r="G54" i="159"/>
  <c r="H67" i="159"/>
  <c r="R67" i="159" s="1"/>
  <c r="D87" i="159"/>
  <c r="F88" i="159"/>
  <c r="L88" i="159" s="1"/>
  <c r="I73" i="159"/>
  <c r="N73" i="159"/>
  <c r="H73" i="159"/>
  <c r="M73" i="159"/>
  <c r="G73" i="159"/>
  <c r="L73" i="159"/>
  <c r="K73" i="159"/>
  <c r="F73" i="159"/>
  <c r="J73" i="159"/>
  <c r="F63" i="159"/>
  <c r="R63" i="159" s="1"/>
  <c r="L66" i="159"/>
  <c r="F66" i="159"/>
  <c r="K66" i="159"/>
  <c r="J66" i="159"/>
  <c r="N66" i="159"/>
  <c r="I66" i="159"/>
  <c r="M66" i="159"/>
  <c r="H66" i="159"/>
  <c r="G66" i="159"/>
  <c r="P16" i="159"/>
  <c r="J16" i="159"/>
  <c r="O16" i="159"/>
  <c r="I16" i="159"/>
  <c r="M16" i="159"/>
  <c r="G16" i="159"/>
  <c r="H16" i="159"/>
  <c r="F16" i="159"/>
  <c r="Q16" i="159" s="1"/>
  <c r="N16" i="159"/>
  <c r="L16" i="159"/>
  <c r="K16" i="159"/>
  <c r="D93" i="159"/>
  <c r="O8" i="159"/>
  <c r="I8" i="159"/>
  <c r="N8" i="159"/>
  <c r="H8" i="159"/>
  <c r="L8" i="159"/>
  <c r="F8" i="159"/>
  <c r="Q8" i="159" s="1"/>
  <c r="M8" i="159"/>
  <c r="P8" i="159"/>
  <c r="K8" i="159"/>
  <c r="G8" i="159"/>
  <c r="J8" i="159"/>
  <c r="N46" i="159"/>
  <c r="N47" i="159" s="1"/>
  <c r="K46" i="159"/>
  <c r="K47" i="159" s="1"/>
  <c r="D47" i="159"/>
  <c r="F46" i="159"/>
  <c r="F47" i="159" s="1"/>
  <c r="N26" i="159"/>
  <c r="N37" i="159" s="1"/>
  <c r="F26" i="159"/>
  <c r="M26" i="159"/>
  <c r="J26" i="159"/>
  <c r="K26" i="159"/>
  <c r="K37" i="159" s="1"/>
  <c r="I26" i="159"/>
  <c r="I37" i="159" s="1"/>
  <c r="D37" i="159"/>
  <c r="H26" i="159"/>
  <c r="P26" i="159"/>
  <c r="O26" i="159"/>
  <c r="O37" i="159" s="1"/>
  <c r="Q10" i="159"/>
  <c r="K10" i="159"/>
  <c r="P10" i="159"/>
  <c r="J10" i="159"/>
  <c r="N10" i="159"/>
  <c r="H10" i="159"/>
  <c r="I10" i="159"/>
  <c r="L10" i="159"/>
  <c r="G10" i="159"/>
  <c r="O10" i="159"/>
  <c r="F10" i="159"/>
  <c r="R10" i="159" s="1"/>
  <c r="M10" i="159"/>
  <c r="F79" i="159"/>
  <c r="D83" i="159"/>
  <c r="L49" i="159"/>
  <c r="F49" i="159"/>
  <c r="K49" i="159"/>
  <c r="K70" i="159" s="1"/>
  <c r="J49" i="159"/>
  <c r="D70" i="159"/>
  <c r="N49" i="159"/>
  <c r="I49" i="159"/>
  <c r="M49" i="159"/>
  <c r="H49" i="159"/>
  <c r="G49" i="159"/>
  <c r="L57" i="159"/>
  <c r="F57" i="159"/>
  <c r="Q57" i="159" s="1"/>
  <c r="K57" i="159"/>
  <c r="P57" i="159"/>
  <c r="J57" i="159"/>
  <c r="I57" i="159"/>
  <c r="H57" i="159"/>
  <c r="O57" i="159"/>
  <c r="N57" i="159"/>
  <c r="G57" i="159"/>
  <c r="M57" i="159"/>
  <c r="F69" i="159"/>
  <c r="L69" i="159" s="1"/>
  <c r="R69" i="159" s="1"/>
  <c r="L13" i="159"/>
  <c r="F13" i="159"/>
  <c r="Q13" i="159" s="1"/>
  <c r="K13" i="159"/>
  <c r="O13" i="159"/>
  <c r="I13" i="159"/>
  <c r="P13" i="159"/>
  <c r="G13" i="159"/>
  <c r="N13" i="159"/>
  <c r="J13" i="159"/>
  <c r="M13" i="159"/>
  <c r="H13" i="159"/>
  <c r="O94" i="159"/>
  <c r="R94" i="159" s="1"/>
  <c r="H94" i="159"/>
  <c r="L53" i="159"/>
  <c r="F53" i="159"/>
  <c r="O53" i="159" s="1"/>
  <c r="K53" i="159"/>
  <c r="J53" i="159"/>
  <c r="N53" i="159"/>
  <c r="I53" i="159"/>
  <c r="G53" i="159"/>
  <c r="M53" i="159"/>
  <c r="H53" i="159"/>
  <c r="R53" i="159" s="1"/>
  <c r="I74" i="159"/>
  <c r="N74" i="159"/>
  <c r="H74" i="159"/>
  <c r="M74" i="159"/>
  <c r="G74" i="159"/>
  <c r="L74" i="159"/>
  <c r="K74" i="159"/>
  <c r="F74" i="159"/>
  <c r="O74" i="159" s="1"/>
  <c r="J74" i="159"/>
  <c r="F11" i="159"/>
  <c r="R11" i="159" s="1"/>
  <c r="D25" i="159"/>
  <c r="L3" i="159"/>
  <c r="F3" i="159"/>
  <c r="O3" i="159"/>
  <c r="I3" i="159"/>
  <c r="M3" i="159"/>
  <c r="K3" i="159"/>
  <c r="G3" i="159"/>
  <c r="P3" i="159"/>
  <c r="P25" i="159" s="1"/>
  <c r="J3" i="159"/>
  <c r="N3" i="159"/>
  <c r="N25" i="159" s="1"/>
  <c r="H3" i="159"/>
  <c r="R31" i="159"/>
  <c r="L15" i="159"/>
  <c r="R15" i="159" s="1"/>
  <c r="F15" i="159"/>
  <c r="N56" i="159"/>
  <c r="H56" i="159"/>
  <c r="M56" i="159"/>
  <c r="G56" i="159"/>
  <c r="L56" i="159"/>
  <c r="F56" i="159"/>
  <c r="K56" i="159"/>
  <c r="J56" i="159"/>
  <c r="I56" i="159"/>
  <c r="P56" i="159"/>
  <c r="O56" i="159"/>
  <c r="L27" i="159"/>
  <c r="F27" i="159"/>
  <c r="K27" i="159"/>
  <c r="O27" i="159"/>
  <c r="I27" i="159"/>
  <c r="J27" i="159"/>
  <c r="H27" i="159"/>
  <c r="P27" i="159"/>
  <c r="Q27" i="159" s="1"/>
  <c r="G27" i="159"/>
  <c r="N27" i="159"/>
  <c r="M27" i="159"/>
  <c r="D45" i="159"/>
  <c r="I42" i="159"/>
  <c r="I45" i="159" s="1"/>
  <c r="F81" i="159"/>
  <c r="R81" i="159" s="1"/>
  <c r="L50" i="159"/>
  <c r="F50" i="159"/>
  <c r="K50" i="159"/>
  <c r="J50" i="159"/>
  <c r="N50" i="159"/>
  <c r="I50" i="159"/>
  <c r="M50" i="159"/>
  <c r="H50" i="159"/>
  <c r="G50" i="159"/>
  <c r="F60" i="159"/>
  <c r="R60" i="159"/>
  <c r="F71" i="159"/>
  <c r="D76" i="159"/>
  <c r="R71" i="159"/>
  <c r="I62" i="158"/>
  <c r="N62" i="158" s="1"/>
  <c r="R62" i="158" s="1"/>
  <c r="P61" i="158"/>
  <c r="J61" i="158"/>
  <c r="Q61" i="158" s="1"/>
  <c r="O61" i="158"/>
  <c r="I61" i="158"/>
  <c r="N61" i="158"/>
  <c r="H61" i="158"/>
  <c r="L61" i="158"/>
  <c r="K61" i="158"/>
  <c r="G61" i="158"/>
  <c r="R61" i="158" s="1"/>
  <c r="F61" i="158"/>
  <c r="M61" i="158"/>
  <c r="L29" i="158"/>
  <c r="F29" i="158"/>
  <c r="Q29" i="158" s="1"/>
  <c r="P29" i="158"/>
  <c r="J29" i="158"/>
  <c r="O29" i="158"/>
  <c r="I29" i="158"/>
  <c r="N29" i="158"/>
  <c r="H29" i="158"/>
  <c r="M29" i="158"/>
  <c r="G29" i="158"/>
  <c r="K29" i="158"/>
  <c r="F24" i="158"/>
  <c r="L24" i="158" s="1"/>
  <c r="D47" i="158"/>
  <c r="N46" i="158"/>
  <c r="N47" i="158" s="1"/>
  <c r="K46" i="158"/>
  <c r="K47" i="158" s="1"/>
  <c r="F46" i="158"/>
  <c r="F47" i="158" s="1"/>
  <c r="D45" i="158"/>
  <c r="I42" i="158"/>
  <c r="I45" i="158" s="1"/>
  <c r="R42" i="158"/>
  <c r="R11" i="158"/>
  <c r="F11" i="158"/>
  <c r="F68" i="158"/>
  <c r="R68" i="158" s="1"/>
  <c r="Q90" i="158"/>
  <c r="L90" i="158" s="1"/>
  <c r="R90" i="158" s="1"/>
  <c r="F60" i="158"/>
  <c r="R60" i="158" s="1"/>
  <c r="R71" i="158"/>
  <c r="F71" i="158"/>
  <c r="D76" i="158"/>
  <c r="L32" i="158"/>
  <c r="F32" i="158"/>
  <c r="Q32" i="158" s="1"/>
  <c r="P32" i="158"/>
  <c r="J32" i="158"/>
  <c r="O32" i="158"/>
  <c r="I32" i="158"/>
  <c r="N32" i="158"/>
  <c r="H32" i="158"/>
  <c r="M32" i="158"/>
  <c r="G32" i="158"/>
  <c r="K32" i="158"/>
  <c r="R4" i="158"/>
  <c r="F82" i="158"/>
  <c r="R82" i="158"/>
  <c r="L17" i="158"/>
  <c r="F17" i="158"/>
  <c r="Q17" i="158" s="1"/>
  <c r="P17" i="158"/>
  <c r="J17" i="158"/>
  <c r="O17" i="158"/>
  <c r="I17" i="158"/>
  <c r="N17" i="158"/>
  <c r="H17" i="158"/>
  <c r="M17" i="158"/>
  <c r="G17" i="158"/>
  <c r="R17" i="158" s="1"/>
  <c r="K17" i="158"/>
  <c r="D37" i="158"/>
  <c r="K26" i="158"/>
  <c r="P26" i="158"/>
  <c r="I26" i="158"/>
  <c r="O26" i="158"/>
  <c r="H26" i="158"/>
  <c r="N26" i="158"/>
  <c r="F26" i="158"/>
  <c r="Q26" i="158" s="1"/>
  <c r="M26" i="158"/>
  <c r="J26" i="158"/>
  <c r="O56" i="158"/>
  <c r="I56" i="158"/>
  <c r="N56" i="158"/>
  <c r="H56" i="158"/>
  <c r="Q56" i="158" s="1"/>
  <c r="R56" i="158" s="1"/>
  <c r="M56" i="158"/>
  <c r="G56" i="158"/>
  <c r="P56" i="158"/>
  <c r="K56" i="158"/>
  <c r="J56" i="158"/>
  <c r="F56" i="158"/>
  <c r="L56" i="158"/>
  <c r="N14" i="158"/>
  <c r="H14" i="158"/>
  <c r="L14" i="158"/>
  <c r="F14" i="158"/>
  <c r="Q14" i="158" s="1"/>
  <c r="K14" i="158"/>
  <c r="P14" i="158"/>
  <c r="J14" i="158"/>
  <c r="O14" i="158"/>
  <c r="I14" i="158"/>
  <c r="M14" i="158"/>
  <c r="G14" i="158"/>
  <c r="F63" i="158"/>
  <c r="R63" i="158"/>
  <c r="M50" i="158"/>
  <c r="G50" i="158"/>
  <c r="L50" i="158"/>
  <c r="F50" i="158"/>
  <c r="O50" i="158" s="1"/>
  <c r="I50" i="158"/>
  <c r="N50" i="158"/>
  <c r="K50" i="158"/>
  <c r="J50" i="158"/>
  <c r="H50" i="158"/>
  <c r="J72" i="158"/>
  <c r="I72" i="158"/>
  <c r="N72" i="158"/>
  <c r="N76" i="158" s="1"/>
  <c r="H72" i="158"/>
  <c r="L72" i="158"/>
  <c r="L76" i="158" s="1"/>
  <c r="K72" i="158"/>
  <c r="G72" i="158"/>
  <c r="F72" i="158"/>
  <c r="M72" i="158"/>
  <c r="M76" i="158" s="1"/>
  <c r="M78" i="158" s="1"/>
  <c r="M51" i="158"/>
  <c r="G51" i="158"/>
  <c r="O51" i="158" s="1"/>
  <c r="L51" i="158"/>
  <c r="F51" i="158"/>
  <c r="R51" i="158" s="1"/>
  <c r="K51" i="158"/>
  <c r="H51" i="158"/>
  <c r="N51" i="158"/>
  <c r="J51" i="158"/>
  <c r="I51" i="158"/>
  <c r="M64" i="158"/>
  <c r="O64" i="158" s="1"/>
  <c r="G64" i="158"/>
  <c r="L64" i="158"/>
  <c r="F64" i="158"/>
  <c r="K64" i="158"/>
  <c r="H64" i="158"/>
  <c r="N64" i="158"/>
  <c r="J64" i="158"/>
  <c r="I64" i="158"/>
  <c r="L36" i="158"/>
  <c r="R36" i="158" s="1"/>
  <c r="F36" i="158"/>
  <c r="F69" i="158"/>
  <c r="L69" i="158" s="1"/>
  <c r="P27" i="158"/>
  <c r="J27" i="158"/>
  <c r="N27" i="158"/>
  <c r="H27" i="158"/>
  <c r="M27" i="158"/>
  <c r="G27" i="158"/>
  <c r="L27" i="158"/>
  <c r="F27" i="158"/>
  <c r="Q27" i="158" s="1"/>
  <c r="K27" i="158"/>
  <c r="O27" i="158"/>
  <c r="I27" i="158"/>
  <c r="R27" i="158" s="1"/>
  <c r="D92" i="158"/>
  <c r="N16" i="158"/>
  <c r="H16" i="158"/>
  <c r="L16" i="158"/>
  <c r="F16" i="158"/>
  <c r="Q16" i="158" s="1"/>
  <c r="R16" i="158" s="1"/>
  <c r="K16" i="158"/>
  <c r="P16" i="158"/>
  <c r="J16" i="158"/>
  <c r="O16" i="158"/>
  <c r="I16" i="158"/>
  <c r="G16" i="158"/>
  <c r="M16" i="158"/>
  <c r="N77" i="158"/>
  <c r="H77" i="158"/>
  <c r="R77" i="158" s="1"/>
  <c r="O59" i="158"/>
  <c r="I59" i="158"/>
  <c r="N59" i="158"/>
  <c r="H59" i="158"/>
  <c r="M59" i="158"/>
  <c r="G59" i="158"/>
  <c r="J59" i="158"/>
  <c r="P59" i="158"/>
  <c r="L59" i="158"/>
  <c r="K59" i="158"/>
  <c r="F59" i="158"/>
  <c r="J73" i="158"/>
  <c r="I73" i="158"/>
  <c r="N73" i="158"/>
  <c r="H73" i="158"/>
  <c r="L73" i="158"/>
  <c r="K73" i="158"/>
  <c r="G73" i="158"/>
  <c r="F73" i="158"/>
  <c r="M73" i="158"/>
  <c r="M52" i="158"/>
  <c r="G52" i="158"/>
  <c r="L52" i="158"/>
  <c r="F52" i="158"/>
  <c r="K52" i="158"/>
  <c r="O52" i="158" s="1"/>
  <c r="R52" i="158" s="1"/>
  <c r="H52" i="158"/>
  <c r="N52" i="158"/>
  <c r="J52" i="158"/>
  <c r="I52" i="158"/>
  <c r="M65" i="158"/>
  <c r="G65" i="158"/>
  <c r="O65" i="158" s="1"/>
  <c r="L65" i="158"/>
  <c r="F65" i="158"/>
  <c r="K65" i="158"/>
  <c r="H65" i="158"/>
  <c r="N65" i="158"/>
  <c r="J65" i="158"/>
  <c r="I65" i="158"/>
  <c r="K55" i="158"/>
  <c r="P55" i="158"/>
  <c r="J55" i="158"/>
  <c r="O55" i="158"/>
  <c r="I55" i="158"/>
  <c r="F55" i="158"/>
  <c r="M55" i="158"/>
  <c r="L55" i="158"/>
  <c r="H55" i="158"/>
  <c r="G55" i="158"/>
  <c r="N55" i="158"/>
  <c r="D48" i="158"/>
  <c r="R44" i="158"/>
  <c r="L44" i="158"/>
  <c r="L45" i="158" s="1"/>
  <c r="R79" i="158"/>
  <c r="F79" i="158"/>
  <c r="D83" i="158"/>
  <c r="Q3" i="158"/>
  <c r="P30" i="158"/>
  <c r="J30" i="158"/>
  <c r="N30" i="158"/>
  <c r="H30" i="158"/>
  <c r="M30" i="158"/>
  <c r="G30" i="158"/>
  <c r="L30" i="158"/>
  <c r="F30" i="158"/>
  <c r="Q30" i="158" s="1"/>
  <c r="K30" i="158"/>
  <c r="O30" i="158"/>
  <c r="I30" i="158"/>
  <c r="O10" i="158"/>
  <c r="I10" i="158"/>
  <c r="M10" i="158"/>
  <c r="G10" i="158"/>
  <c r="K10" i="158"/>
  <c r="P10" i="158"/>
  <c r="J10" i="158"/>
  <c r="L10" i="158"/>
  <c r="H10" i="158"/>
  <c r="F10" i="158"/>
  <c r="Q10" i="158" s="1"/>
  <c r="N10" i="158"/>
  <c r="N28" i="158"/>
  <c r="H28" i="158"/>
  <c r="L28" i="158"/>
  <c r="F28" i="158"/>
  <c r="Q28" i="158" s="1"/>
  <c r="K28" i="158"/>
  <c r="P28" i="158"/>
  <c r="J28" i="158"/>
  <c r="O28" i="158"/>
  <c r="I28" i="158"/>
  <c r="G28" i="158"/>
  <c r="M28" i="158"/>
  <c r="F81" i="158"/>
  <c r="R81" i="158" s="1"/>
  <c r="J74" i="158"/>
  <c r="I74" i="158"/>
  <c r="N74" i="158"/>
  <c r="H74" i="158"/>
  <c r="L74" i="158"/>
  <c r="K74" i="158"/>
  <c r="G74" i="158"/>
  <c r="F74" i="158"/>
  <c r="O74" i="158" s="1"/>
  <c r="M74" i="158"/>
  <c r="M53" i="158"/>
  <c r="G53" i="158"/>
  <c r="L53" i="158"/>
  <c r="F53" i="158"/>
  <c r="O53" i="158" s="1"/>
  <c r="K53" i="158"/>
  <c r="H53" i="158"/>
  <c r="N53" i="158"/>
  <c r="J53" i="158"/>
  <c r="R53" i="158" s="1"/>
  <c r="I53" i="158"/>
  <c r="M66" i="158"/>
  <c r="G66" i="158"/>
  <c r="L66" i="158"/>
  <c r="F66" i="158"/>
  <c r="K66" i="158"/>
  <c r="H66" i="158"/>
  <c r="N66" i="158"/>
  <c r="J66" i="158"/>
  <c r="I66" i="158"/>
  <c r="F43" i="158"/>
  <c r="F45" i="158" s="1"/>
  <c r="K58" i="158"/>
  <c r="P58" i="158"/>
  <c r="J58" i="158"/>
  <c r="O58" i="158"/>
  <c r="I58" i="158"/>
  <c r="L58" i="158"/>
  <c r="G58" i="158"/>
  <c r="F58" i="158"/>
  <c r="Q58" i="158" s="1"/>
  <c r="R58" i="158" s="1"/>
  <c r="N58" i="158"/>
  <c r="M58" i="158"/>
  <c r="H58" i="158"/>
  <c r="R3" i="158"/>
  <c r="P13" i="158"/>
  <c r="J13" i="158"/>
  <c r="N13" i="158"/>
  <c r="H13" i="158"/>
  <c r="M13" i="158"/>
  <c r="G13" i="158"/>
  <c r="L13" i="158"/>
  <c r="F13" i="158"/>
  <c r="Q13" i="158" s="1"/>
  <c r="K13" i="158"/>
  <c r="O13" i="158"/>
  <c r="I13" i="158"/>
  <c r="M8" i="158"/>
  <c r="G8" i="158"/>
  <c r="K8" i="158"/>
  <c r="O8" i="158"/>
  <c r="I8" i="158"/>
  <c r="N8" i="158"/>
  <c r="N25" i="158" s="1"/>
  <c r="H8" i="158"/>
  <c r="P8" i="158"/>
  <c r="L8" i="158"/>
  <c r="J8" i="158"/>
  <c r="F8" i="158"/>
  <c r="F25" i="158" s="1"/>
  <c r="M57" i="158"/>
  <c r="G57" i="158"/>
  <c r="L57" i="158"/>
  <c r="F57" i="158"/>
  <c r="Q57" i="158" s="1"/>
  <c r="K57" i="158"/>
  <c r="N57" i="158"/>
  <c r="I57" i="158"/>
  <c r="H57" i="158"/>
  <c r="P57" i="158"/>
  <c r="O57" i="158"/>
  <c r="J57" i="158"/>
  <c r="N5" i="158"/>
  <c r="H5" i="158"/>
  <c r="H25" i="158" s="1"/>
  <c r="M5" i="158"/>
  <c r="M25" i="158" s="1"/>
  <c r="G5" i="158"/>
  <c r="G25" i="158" s="1"/>
  <c r="L5" i="158"/>
  <c r="L25" i="158" s="1"/>
  <c r="F5" i="158"/>
  <c r="I5" i="158"/>
  <c r="I25" i="158" s="1"/>
  <c r="K5" i="158"/>
  <c r="K25" i="158" s="1"/>
  <c r="P5" i="158"/>
  <c r="P25" i="158" s="1"/>
  <c r="J5" i="158"/>
  <c r="J25" i="158" s="1"/>
  <c r="O5" i="158"/>
  <c r="J12" i="158"/>
  <c r="N12" i="158"/>
  <c r="H12" i="158"/>
  <c r="M12" i="158"/>
  <c r="L12" i="158"/>
  <c r="F12" i="158"/>
  <c r="O12" i="158" s="1"/>
  <c r="K12" i="158"/>
  <c r="I12" i="158"/>
  <c r="G12" i="158"/>
  <c r="P33" i="158"/>
  <c r="J33" i="158"/>
  <c r="Q33" i="158" s="1"/>
  <c r="N33" i="158"/>
  <c r="H33" i="158"/>
  <c r="M33" i="158"/>
  <c r="G33" i="158"/>
  <c r="L33" i="158"/>
  <c r="F33" i="158"/>
  <c r="R33" i="158" s="1"/>
  <c r="K33" i="158"/>
  <c r="I33" i="158"/>
  <c r="O33" i="158"/>
  <c r="M49" i="158"/>
  <c r="M70" i="158" s="1"/>
  <c r="G49" i="158"/>
  <c r="O49" i="158" s="1"/>
  <c r="L49" i="158"/>
  <c r="F49" i="158"/>
  <c r="K49" i="158"/>
  <c r="D70" i="158"/>
  <c r="I49" i="158"/>
  <c r="I70" i="158" s="1"/>
  <c r="H49" i="158"/>
  <c r="N49" i="158"/>
  <c r="J49" i="158"/>
  <c r="N31" i="158"/>
  <c r="H31" i="158"/>
  <c r="L31" i="158"/>
  <c r="F31" i="158"/>
  <c r="Q31" i="158" s="1"/>
  <c r="K31" i="158"/>
  <c r="P31" i="158"/>
  <c r="J31" i="158"/>
  <c r="O31" i="158"/>
  <c r="I31" i="158"/>
  <c r="G31" i="158"/>
  <c r="M31" i="158"/>
  <c r="K93" i="158"/>
  <c r="P93" i="158"/>
  <c r="J93" i="158"/>
  <c r="O93" i="158"/>
  <c r="I93" i="158"/>
  <c r="L93" i="158"/>
  <c r="G93" i="158"/>
  <c r="Q93" i="158" s="1"/>
  <c r="F93" i="158"/>
  <c r="N93" i="158"/>
  <c r="M93" i="158"/>
  <c r="H93" i="158"/>
  <c r="K9" i="158"/>
  <c r="O9" i="158"/>
  <c r="I9" i="158"/>
  <c r="M9" i="158"/>
  <c r="Q9" i="158" s="1"/>
  <c r="G9" i="158"/>
  <c r="L9" i="158"/>
  <c r="F9" i="158"/>
  <c r="H9" i="158"/>
  <c r="P9" i="158"/>
  <c r="J9" i="158"/>
  <c r="N9" i="158"/>
  <c r="J75" i="158"/>
  <c r="I75" i="158"/>
  <c r="N75" i="158"/>
  <c r="H75" i="158"/>
  <c r="L75" i="158"/>
  <c r="K75" i="158"/>
  <c r="G75" i="158"/>
  <c r="F75" i="158"/>
  <c r="M75" i="158"/>
  <c r="M54" i="158"/>
  <c r="G54" i="158"/>
  <c r="L54" i="158"/>
  <c r="F54" i="158"/>
  <c r="Q54" i="158" s="1"/>
  <c r="K54" i="158"/>
  <c r="H54" i="158"/>
  <c r="O54" i="158"/>
  <c r="N54" i="158"/>
  <c r="J54" i="158"/>
  <c r="I54" i="158"/>
  <c r="P54" i="158"/>
  <c r="H67" i="158"/>
  <c r="R67" i="158" s="1"/>
  <c r="F88" i="158"/>
  <c r="L88" i="158" s="1"/>
  <c r="R88" i="158" s="1"/>
  <c r="D87" i="158"/>
  <c r="F80" i="158"/>
  <c r="R80" i="158" s="1"/>
  <c r="F24" i="157"/>
  <c r="K72" i="157"/>
  <c r="K76" i="157" s="1"/>
  <c r="J72" i="157"/>
  <c r="I72" i="157"/>
  <c r="N72" i="157"/>
  <c r="H72" i="157"/>
  <c r="H76" i="157" s="1"/>
  <c r="M72" i="157"/>
  <c r="G72" i="157"/>
  <c r="L72" i="157"/>
  <c r="F72" i="157"/>
  <c r="P31" i="157"/>
  <c r="J31" i="157"/>
  <c r="O31" i="157"/>
  <c r="I31" i="157"/>
  <c r="G31" i="157"/>
  <c r="N31" i="157"/>
  <c r="H31" i="157"/>
  <c r="M31" i="157"/>
  <c r="L31" i="157"/>
  <c r="F31" i="157"/>
  <c r="Q31" i="157" s="1"/>
  <c r="K31" i="157"/>
  <c r="L15" i="157"/>
  <c r="F15" i="157"/>
  <c r="R15" i="157" s="1"/>
  <c r="L27" i="157"/>
  <c r="F27" i="157"/>
  <c r="I27" i="157"/>
  <c r="K27" i="157"/>
  <c r="O27" i="157"/>
  <c r="P27" i="157"/>
  <c r="J27" i="157"/>
  <c r="N27" i="157"/>
  <c r="H27" i="157"/>
  <c r="Q27" i="157" s="1"/>
  <c r="M27" i="157"/>
  <c r="G27" i="157"/>
  <c r="K10" i="157"/>
  <c r="P10" i="157"/>
  <c r="J10" i="157"/>
  <c r="O10" i="157"/>
  <c r="I10" i="157"/>
  <c r="M10" i="157"/>
  <c r="G10" i="157"/>
  <c r="N10" i="157"/>
  <c r="L10" i="157"/>
  <c r="H10" i="157"/>
  <c r="F10" i="157"/>
  <c r="Q10" i="157" s="1"/>
  <c r="N52" i="157"/>
  <c r="H52" i="157"/>
  <c r="M52" i="157"/>
  <c r="G52" i="157"/>
  <c r="L52" i="157"/>
  <c r="F52" i="157"/>
  <c r="R52" i="157" s="1"/>
  <c r="K52" i="157"/>
  <c r="J52" i="157"/>
  <c r="O52" i="157" s="1"/>
  <c r="I52" i="157"/>
  <c r="N65" i="157"/>
  <c r="H65" i="157"/>
  <c r="M65" i="157"/>
  <c r="G65" i="157"/>
  <c r="R65" i="157" s="1"/>
  <c r="L65" i="157"/>
  <c r="F65" i="157"/>
  <c r="K65" i="157"/>
  <c r="J65" i="157"/>
  <c r="O65" i="157"/>
  <c r="I65" i="157"/>
  <c r="L55" i="157"/>
  <c r="F55" i="157"/>
  <c r="K55" i="157"/>
  <c r="P55" i="157"/>
  <c r="J55" i="157"/>
  <c r="O55" i="157"/>
  <c r="I55" i="157"/>
  <c r="N55" i="157"/>
  <c r="H55" i="157"/>
  <c r="M55" i="157"/>
  <c r="G55" i="157"/>
  <c r="D47" i="157"/>
  <c r="N46" i="157"/>
  <c r="N47" i="157" s="1"/>
  <c r="K46" i="157"/>
  <c r="K47" i="157" s="1"/>
  <c r="F46" i="157"/>
  <c r="F47" i="157" s="1"/>
  <c r="K74" i="157"/>
  <c r="J74" i="157"/>
  <c r="I74" i="157"/>
  <c r="N74" i="157"/>
  <c r="H74" i="157"/>
  <c r="M74" i="157"/>
  <c r="G74" i="157"/>
  <c r="L74" i="157"/>
  <c r="F74" i="157"/>
  <c r="D76" i="157"/>
  <c r="R71" i="157"/>
  <c r="F71" i="157"/>
  <c r="P14" i="157"/>
  <c r="J14" i="157"/>
  <c r="O14" i="157"/>
  <c r="I14" i="157"/>
  <c r="N14" i="157"/>
  <c r="H14" i="157"/>
  <c r="L14" i="157"/>
  <c r="F14" i="157"/>
  <c r="Q14" i="157" s="1"/>
  <c r="G14" i="157"/>
  <c r="M14" i="157"/>
  <c r="K14" i="157"/>
  <c r="O5" i="157"/>
  <c r="I5" i="157"/>
  <c r="N5" i="157"/>
  <c r="H5" i="157"/>
  <c r="M5" i="157"/>
  <c r="G5" i="157"/>
  <c r="Q5" i="157" s="1"/>
  <c r="K5" i="157"/>
  <c r="L5" i="157"/>
  <c r="J5" i="157"/>
  <c r="F5" i="157"/>
  <c r="P5" i="157"/>
  <c r="N29" i="157"/>
  <c r="H29" i="157"/>
  <c r="M29" i="157"/>
  <c r="G29" i="157"/>
  <c r="K29" i="157"/>
  <c r="L29" i="157"/>
  <c r="F29" i="157"/>
  <c r="Q29" i="157" s="1"/>
  <c r="P29" i="157"/>
  <c r="J29" i="157"/>
  <c r="O29" i="157"/>
  <c r="I29" i="157"/>
  <c r="N32" i="157"/>
  <c r="H32" i="157"/>
  <c r="K32" i="157"/>
  <c r="M32" i="157"/>
  <c r="G32" i="157"/>
  <c r="L32" i="157"/>
  <c r="F32" i="157"/>
  <c r="P32" i="157"/>
  <c r="J32" i="157"/>
  <c r="O32" i="157"/>
  <c r="Q32" i="157" s="1"/>
  <c r="I32" i="157"/>
  <c r="R32" i="157" s="1"/>
  <c r="L30" i="157"/>
  <c r="F30" i="157"/>
  <c r="K30" i="157"/>
  <c r="O30" i="157"/>
  <c r="I30" i="157"/>
  <c r="P30" i="157"/>
  <c r="J30" i="157"/>
  <c r="N30" i="157"/>
  <c r="H30" i="157"/>
  <c r="M30" i="157"/>
  <c r="G30" i="157"/>
  <c r="N62" i="157"/>
  <c r="I62" i="157"/>
  <c r="R62" i="157" s="1"/>
  <c r="R94" i="157"/>
  <c r="O94" i="157"/>
  <c r="H94" i="157"/>
  <c r="N53" i="157"/>
  <c r="H53" i="157"/>
  <c r="M53" i="157"/>
  <c r="G53" i="157"/>
  <c r="R53" i="157" s="1"/>
  <c r="L53" i="157"/>
  <c r="F53" i="157"/>
  <c r="K53" i="157"/>
  <c r="J53" i="157"/>
  <c r="O53" i="157"/>
  <c r="I53" i="157"/>
  <c r="N66" i="157"/>
  <c r="H66" i="157"/>
  <c r="M66" i="157"/>
  <c r="G66" i="157"/>
  <c r="L66" i="157"/>
  <c r="F66" i="157"/>
  <c r="K66" i="157"/>
  <c r="J66" i="157"/>
  <c r="I66" i="157"/>
  <c r="R43" i="157"/>
  <c r="F43" i="157"/>
  <c r="F45" i="157" s="1"/>
  <c r="L58" i="157"/>
  <c r="F58" i="157"/>
  <c r="K58" i="157"/>
  <c r="P58" i="157"/>
  <c r="J58" i="157"/>
  <c r="O58" i="157"/>
  <c r="I58" i="157"/>
  <c r="N58" i="157"/>
  <c r="Q58" i="157" s="1"/>
  <c r="H58" i="157"/>
  <c r="G58" i="157"/>
  <c r="M58" i="157"/>
  <c r="K61" i="157"/>
  <c r="P61" i="157"/>
  <c r="J61" i="157"/>
  <c r="O61" i="157"/>
  <c r="I61" i="157"/>
  <c r="N61" i="157"/>
  <c r="H61" i="157"/>
  <c r="M61" i="157"/>
  <c r="G61" i="157"/>
  <c r="L61" i="157"/>
  <c r="F61" i="157"/>
  <c r="K75" i="157"/>
  <c r="J75" i="157"/>
  <c r="I75" i="157"/>
  <c r="N75" i="157"/>
  <c r="H75" i="157"/>
  <c r="M75" i="157"/>
  <c r="G75" i="157"/>
  <c r="O75" i="157" s="1"/>
  <c r="L75" i="157"/>
  <c r="F75" i="157"/>
  <c r="P16" i="157"/>
  <c r="J16" i="157"/>
  <c r="O16" i="157"/>
  <c r="I16" i="157"/>
  <c r="N16" i="157"/>
  <c r="H16" i="157"/>
  <c r="M16" i="157"/>
  <c r="G16" i="157"/>
  <c r="L16" i="157"/>
  <c r="F16" i="157"/>
  <c r="Q16" i="157" s="1"/>
  <c r="R16" i="157" s="1"/>
  <c r="K16" i="157"/>
  <c r="M6" i="157"/>
  <c r="G6" i="157"/>
  <c r="L6" i="157"/>
  <c r="F6" i="157"/>
  <c r="K6" i="157"/>
  <c r="O6" i="157"/>
  <c r="I6" i="157"/>
  <c r="P6" i="157"/>
  <c r="N6" i="157"/>
  <c r="J6" i="157"/>
  <c r="H6" i="157"/>
  <c r="R81" i="157"/>
  <c r="F81" i="157"/>
  <c r="R60" i="157"/>
  <c r="F60" i="157"/>
  <c r="P59" i="157"/>
  <c r="J59" i="157"/>
  <c r="O59" i="157"/>
  <c r="Q59" i="157" s="1"/>
  <c r="R59" i="157" s="1"/>
  <c r="I59" i="157"/>
  <c r="N59" i="157"/>
  <c r="H59" i="157"/>
  <c r="M59" i="157"/>
  <c r="G59" i="157"/>
  <c r="L59" i="157"/>
  <c r="F59" i="157"/>
  <c r="K59" i="157"/>
  <c r="N26" i="157"/>
  <c r="F26" i="157"/>
  <c r="F37" i="157" s="1"/>
  <c r="M26" i="157"/>
  <c r="J26" i="157"/>
  <c r="K26" i="157"/>
  <c r="P26" i="157"/>
  <c r="I26" i="157"/>
  <c r="H26" i="157"/>
  <c r="D37" i="157"/>
  <c r="O26" i="157"/>
  <c r="F89" i="157"/>
  <c r="L89" i="157" s="1"/>
  <c r="N64" i="157"/>
  <c r="H64" i="157"/>
  <c r="M64" i="157"/>
  <c r="G64" i="157"/>
  <c r="L64" i="157"/>
  <c r="F64" i="157"/>
  <c r="K64" i="157"/>
  <c r="J64" i="157"/>
  <c r="I64" i="157"/>
  <c r="P56" i="157"/>
  <c r="J56" i="157"/>
  <c r="O56" i="157"/>
  <c r="I56" i="157"/>
  <c r="N56" i="157"/>
  <c r="H56" i="157"/>
  <c r="M56" i="157"/>
  <c r="G56" i="157"/>
  <c r="L56" i="157"/>
  <c r="F56" i="157"/>
  <c r="Q56" i="157" s="1"/>
  <c r="K56" i="157"/>
  <c r="O8" i="157"/>
  <c r="I8" i="157"/>
  <c r="N8" i="157"/>
  <c r="H8" i="157"/>
  <c r="M8" i="157"/>
  <c r="G8" i="157"/>
  <c r="K8" i="157"/>
  <c r="F8" i="157"/>
  <c r="Q8" i="157" s="1"/>
  <c r="R8" i="157" s="1"/>
  <c r="P8" i="157"/>
  <c r="L8" i="157"/>
  <c r="J8" i="157"/>
  <c r="D92" i="157"/>
  <c r="L12" i="157"/>
  <c r="F12" i="157"/>
  <c r="R12" i="157" s="1"/>
  <c r="K12" i="157"/>
  <c r="J12" i="157"/>
  <c r="N12" i="157"/>
  <c r="H12" i="157"/>
  <c r="O12" i="157"/>
  <c r="M12" i="157"/>
  <c r="I12" i="157"/>
  <c r="G12" i="157"/>
  <c r="P33" i="157"/>
  <c r="N33" i="157"/>
  <c r="H33" i="157"/>
  <c r="M33" i="157"/>
  <c r="L33" i="157"/>
  <c r="F33" i="157"/>
  <c r="R33" i="157" s="1"/>
  <c r="J33" i="157"/>
  <c r="O33" i="157"/>
  <c r="K33" i="157"/>
  <c r="I33" i="157"/>
  <c r="G33" i="157"/>
  <c r="Q33" i="157" s="1"/>
  <c r="N77" i="157"/>
  <c r="H77" i="157"/>
  <c r="R77" i="157" s="1"/>
  <c r="F36" i="157"/>
  <c r="N54" i="157"/>
  <c r="H54" i="157"/>
  <c r="M54" i="157"/>
  <c r="G54" i="157"/>
  <c r="L54" i="157"/>
  <c r="F54" i="157"/>
  <c r="R54" i="157" s="1"/>
  <c r="Q54" i="157"/>
  <c r="K54" i="157"/>
  <c r="P54" i="157"/>
  <c r="J54" i="157"/>
  <c r="I54" i="157"/>
  <c r="O54" i="157"/>
  <c r="R67" i="157"/>
  <c r="H67" i="157"/>
  <c r="F88" i="157"/>
  <c r="L88" i="157" s="1"/>
  <c r="R88" i="157" s="1"/>
  <c r="D87" i="157"/>
  <c r="F80" i="157"/>
  <c r="R80" i="157" s="1"/>
  <c r="R63" i="157"/>
  <c r="F63" i="157"/>
  <c r="Q90" i="157"/>
  <c r="L90" i="157" s="1"/>
  <c r="R90" i="157" s="1"/>
  <c r="R44" i="157"/>
  <c r="L44" i="157"/>
  <c r="L45" i="157" s="1"/>
  <c r="K4" i="157"/>
  <c r="P4" i="157"/>
  <c r="J4" i="157"/>
  <c r="O4" i="157"/>
  <c r="I4" i="157"/>
  <c r="M4" i="157"/>
  <c r="G4" i="157"/>
  <c r="H4" i="157"/>
  <c r="F4" i="157"/>
  <c r="N4" i="157"/>
  <c r="L4" i="157"/>
  <c r="N50" i="157"/>
  <c r="H50" i="157"/>
  <c r="M50" i="157"/>
  <c r="G50" i="157"/>
  <c r="L50" i="157"/>
  <c r="F50" i="157"/>
  <c r="K50" i="157"/>
  <c r="J50" i="157"/>
  <c r="O50" i="157" s="1"/>
  <c r="I50" i="157"/>
  <c r="D45" i="157"/>
  <c r="R42" i="157"/>
  <c r="I42" i="157"/>
  <c r="I45" i="157" s="1"/>
  <c r="M9" i="157"/>
  <c r="G9" i="157"/>
  <c r="L9" i="157"/>
  <c r="F9" i="157"/>
  <c r="K9" i="157"/>
  <c r="O9" i="157"/>
  <c r="I9" i="157"/>
  <c r="J9" i="157"/>
  <c r="H9" i="157"/>
  <c r="P9" i="157"/>
  <c r="N9" i="157"/>
  <c r="K7" i="157"/>
  <c r="P7" i="157"/>
  <c r="J7" i="157"/>
  <c r="O7" i="157"/>
  <c r="I7" i="157"/>
  <c r="M7" i="157"/>
  <c r="G7" i="157"/>
  <c r="N7" i="157"/>
  <c r="L7" i="157"/>
  <c r="H7" i="157"/>
  <c r="F7" i="157"/>
  <c r="Q7" i="157" s="1"/>
  <c r="N51" i="157"/>
  <c r="H51" i="157"/>
  <c r="M51" i="157"/>
  <c r="G51" i="157"/>
  <c r="L51" i="157"/>
  <c r="F51" i="157"/>
  <c r="K51" i="157"/>
  <c r="J51" i="157"/>
  <c r="I51" i="157"/>
  <c r="K73" i="157"/>
  <c r="J73" i="157"/>
  <c r="I73" i="157"/>
  <c r="N73" i="157"/>
  <c r="H73" i="157"/>
  <c r="M73" i="157"/>
  <c r="G73" i="157"/>
  <c r="F73" i="157"/>
  <c r="L73" i="157"/>
  <c r="P28" i="157"/>
  <c r="J28" i="157"/>
  <c r="O28" i="157"/>
  <c r="I28" i="157"/>
  <c r="M28" i="157"/>
  <c r="N28" i="157"/>
  <c r="H28" i="157"/>
  <c r="G28" i="157"/>
  <c r="L28" i="157"/>
  <c r="F28" i="157"/>
  <c r="K28" i="157"/>
  <c r="R11" i="157"/>
  <c r="F11" i="157"/>
  <c r="M3" i="157"/>
  <c r="G3" i="157"/>
  <c r="L3" i="157"/>
  <c r="F3" i="157"/>
  <c r="Q3" i="157" s="1"/>
  <c r="K3" i="157"/>
  <c r="D25" i="157"/>
  <c r="O3" i="157"/>
  <c r="I3" i="157"/>
  <c r="P3" i="157"/>
  <c r="N3" i="157"/>
  <c r="J3" i="157"/>
  <c r="H3" i="157"/>
  <c r="L13" i="157"/>
  <c r="F13" i="157"/>
  <c r="Q13" i="157" s="1"/>
  <c r="K13" i="157"/>
  <c r="P13" i="157"/>
  <c r="J13" i="157"/>
  <c r="N13" i="157"/>
  <c r="H13" i="157"/>
  <c r="O13" i="157"/>
  <c r="M13" i="157"/>
  <c r="I13" i="157"/>
  <c r="G13" i="157"/>
  <c r="N17" i="157"/>
  <c r="H17" i="157"/>
  <c r="M17" i="157"/>
  <c r="G17" i="157"/>
  <c r="L17" i="157"/>
  <c r="F17" i="157"/>
  <c r="Q17" i="157" s="1"/>
  <c r="K17" i="157"/>
  <c r="P17" i="157"/>
  <c r="J17" i="157"/>
  <c r="O17" i="157"/>
  <c r="I17" i="157"/>
  <c r="R79" i="157"/>
  <c r="F79" i="157"/>
  <c r="D83" i="157"/>
  <c r="N49" i="157"/>
  <c r="H49" i="157"/>
  <c r="M49" i="157"/>
  <c r="G49" i="157"/>
  <c r="L49" i="157"/>
  <c r="F49" i="157"/>
  <c r="K49" i="157"/>
  <c r="J49" i="157"/>
  <c r="J70" i="157" s="1"/>
  <c r="I49" i="157"/>
  <c r="D70" i="157"/>
  <c r="N57" i="157"/>
  <c r="H57" i="157"/>
  <c r="M57" i="157"/>
  <c r="G57" i="157"/>
  <c r="L57" i="157"/>
  <c r="F57" i="157"/>
  <c r="K57" i="157"/>
  <c r="P57" i="157"/>
  <c r="J57" i="157"/>
  <c r="O57" i="157"/>
  <c r="I57" i="157"/>
  <c r="L69" i="157"/>
  <c r="F69" i="157"/>
  <c r="R69" i="157" s="1"/>
  <c r="D109" i="157"/>
  <c r="F82" i="157"/>
  <c r="R82" i="157" s="1"/>
  <c r="R68" i="157"/>
  <c r="F68" i="157"/>
  <c r="D93" i="157"/>
  <c r="D92" i="156"/>
  <c r="N61" i="156"/>
  <c r="H61" i="156"/>
  <c r="M61" i="156"/>
  <c r="G61" i="156"/>
  <c r="L61" i="156"/>
  <c r="J61" i="156"/>
  <c r="P61" i="156"/>
  <c r="F61" i="156"/>
  <c r="R61" i="156" s="1"/>
  <c r="O61" i="156"/>
  <c r="Q61" i="156"/>
  <c r="K61" i="156"/>
  <c r="I61" i="156"/>
  <c r="F82" i="156"/>
  <c r="R82" i="156" s="1"/>
  <c r="F80" i="156"/>
  <c r="R80" i="156" s="1"/>
  <c r="O93" i="156"/>
  <c r="I93" i="156"/>
  <c r="N93" i="156"/>
  <c r="H93" i="156"/>
  <c r="P93" i="156"/>
  <c r="F93" i="156"/>
  <c r="L93" i="156"/>
  <c r="J93" i="156"/>
  <c r="M93" i="156"/>
  <c r="K93" i="156"/>
  <c r="G93" i="156"/>
  <c r="K53" i="156"/>
  <c r="J53" i="156"/>
  <c r="M53" i="156"/>
  <c r="I53" i="156"/>
  <c r="G53" i="156"/>
  <c r="N53" i="156"/>
  <c r="L53" i="156"/>
  <c r="F53" i="156"/>
  <c r="R53" i="156" s="1"/>
  <c r="H53" i="156"/>
  <c r="O53" i="156" s="1"/>
  <c r="K66" i="156"/>
  <c r="J66" i="156"/>
  <c r="M66" i="156"/>
  <c r="I66" i="156"/>
  <c r="O66" i="156"/>
  <c r="G66" i="156"/>
  <c r="N66" i="156"/>
  <c r="F66" i="156"/>
  <c r="R66" i="156" s="1"/>
  <c r="L66" i="156"/>
  <c r="H66" i="156"/>
  <c r="L33" i="156"/>
  <c r="M33" i="156"/>
  <c r="F33" i="156"/>
  <c r="J33" i="156"/>
  <c r="O33" i="156"/>
  <c r="H33" i="156"/>
  <c r="N33" i="156"/>
  <c r="K33" i="156"/>
  <c r="G33" i="156"/>
  <c r="I33" i="156"/>
  <c r="P33" i="156"/>
  <c r="M6" i="156"/>
  <c r="G6" i="156"/>
  <c r="L6" i="156"/>
  <c r="F6" i="156"/>
  <c r="Q6" i="156" s="1"/>
  <c r="K6" i="156"/>
  <c r="O6" i="156"/>
  <c r="I6" i="156"/>
  <c r="P6" i="156"/>
  <c r="N6" i="156"/>
  <c r="J6" i="156"/>
  <c r="H6" i="156"/>
  <c r="P16" i="156"/>
  <c r="J16" i="156"/>
  <c r="N16" i="156"/>
  <c r="H16" i="156"/>
  <c r="Q16" i="156" s="1"/>
  <c r="I16" i="156"/>
  <c r="M16" i="156"/>
  <c r="G16" i="156"/>
  <c r="O16" i="156"/>
  <c r="F16" i="156"/>
  <c r="R16" i="156" s="1"/>
  <c r="L16" i="156"/>
  <c r="K16" i="156"/>
  <c r="K4" i="156"/>
  <c r="P4" i="156"/>
  <c r="J4" i="156"/>
  <c r="O4" i="156"/>
  <c r="I4" i="156"/>
  <c r="M4" i="156"/>
  <c r="G4" i="156"/>
  <c r="H4" i="156"/>
  <c r="Q4" i="156" s="1"/>
  <c r="F4" i="156"/>
  <c r="R4" i="156" s="1"/>
  <c r="N4" i="156"/>
  <c r="L4" i="156"/>
  <c r="F63" i="156"/>
  <c r="R63" i="156" s="1"/>
  <c r="D87" i="156"/>
  <c r="F88" i="156"/>
  <c r="I62" i="156"/>
  <c r="R62" i="156"/>
  <c r="N62" i="156"/>
  <c r="H94" i="156"/>
  <c r="O94" i="156" s="1"/>
  <c r="R94" i="156" s="1"/>
  <c r="K54" i="156"/>
  <c r="P54" i="156"/>
  <c r="J54" i="156"/>
  <c r="I54" i="156"/>
  <c r="O54" i="156"/>
  <c r="G54" i="156"/>
  <c r="M54" i="156"/>
  <c r="N54" i="156"/>
  <c r="L54" i="156"/>
  <c r="H54" i="156"/>
  <c r="R54" i="156" s="1"/>
  <c r="F54" i="156"/>
  <c r="Q54" i="156" s="1"/>
  <c r="R67" i="156"/>
  <c r="H67" i="156"/>
  <c r="N75" i="156"/>
  <c r="H75" i="156"/>
  <c r="M75" i="156"/>
  <c r="G75" i="156"/>
  <c r="J75" i="156"/>
  <c r="R75" i="156" s="1"/>
  <c r="F75" i="156"/>
  <c r="L75" i="156"/>
  <c r="K75" i="156"/>
  <c r="I75" i="156"/>
  <c r="O75" i="156"/>
  <c r="O5" i="156"/>
  <c r="I5" i="156"/>
  <c r="N5" i="156"/>
  <c r="H5" i="156"/>
  <c r="M5" i="156"/>
  <c r="G5" i="156"/>
  <c r="Q5" i="156" s="1"/>
  <c r="R5" i="156" s="1"/>
  <c r="K5" i="156"/>
  <c r="L5" i="156"/>
  <c r="J5" i="156"/>
  <c r="F5" i="156"/>
  <c r="P5" i="156"/>
  <c r="P28" i="156"/>
  <c r="J28" i="156"/>
  <c r="N28" i="156"/>
  <c r="H28" i="156"/>
  <c r="L28" i="156"/>
  <c r="F28" i="156"/>
  <c r="K28" i="156"/>
  <c r="I28" i="156"/>
  <c r="G28" i="156"/>
  <c r="Q28" i="156"/>
  <c r="R28" i="156" s="1"/>
  <c r="O28" i="156"/>
  <c r="M28" i="156"/>
  <c r="I42" i="156"/>
  <c r="I45" i="156" s="1"/>
  <c r="D45" i="156"/>
  <c r="L69" i="156"/>
  <c r="F69" i="156"/>
  <c r="R69" i="156" s="1"/>
  <c r="N17" i="156"/>
  <c r="H17" i="156"/>
  <c r="L17" i="156"/>
  <c r="F17" i="156"/>
  <c r="Q17" i="156" s="1"/>
  <c r="M17" i="156"/>
  <c r="K17" i="156"/>
  <c r="J17" i="156"/>
  <c r="I17" i="156"/>
  <c r="P17" i="156"/>
  <c r="G17" i="156"/>
  <c r="O17" i="156"/>
  <c r="O8" i="156"/>
  <c r="I8" i="156"/>
  <c r="N8" i="156"/>
  <c r="H8" i="156"/>
  <c r="M8" i="156"/>
  <c r="G8" i="156"/>
  <c r="K8" i="156"/>
  <c r="F8" i="156"/>
  <c r="P8" i="156"/>
  <c r="L8" i="156"/>
  <c r="J8" i="156"/>
  <c r="F68" i="156"/>
  <c r="R68" i="156" s="1"/>
  <c r="F24" i="156"/>
  <c r="L12" i="156"/>
  <c r="F12" i="156"/>
  <c r="R12" i="156" s="1"/>
  <c r="K12" i="156"/>
  <c r="I12" i="156"/>
  <c r="J12" i="156"/>
  <c r="N12" i="156"/>
  <c r="H12" i="156"/>
  <c r="O12" i="156" s="1"/>
  <c r="M12" i="156"/>
  <c r="G12" i="156"/>
  <c r="K10" i="156"/>
  <c r="P10" i="156"/>
  <c r="J10" i="156"/>
  <c r="O10" i="156"/>
  <c r="I10" i="156"/>
  <c r="N10" i="156"/>
  <c r="M10" i="156"/>
  <c r="G10" i="156"/>
  <c r="L10" i="156"/>
  <c r="H10" i="156"/>
  <c r="F10" i="156"/>
  <c r="Q10" i="156" s="1"/>
  <c r="R10" i="156" s="1"/>
  <c r="N46" i="156"/>
  <c r="N47" i="156" s="1"/>
  <c r="K46" i="156"/>
  <c r="K47" i="156" s="1"/>
  <c r="R46" i="156"/>
  <c r="D47" i="156"/>
  <c r="F46" i="156"/>
  <c r="F47" i="156" s="1"/>
  <c r="F79" i="156"/>
  <c r="D83" i="156"/>
  <c r="R79" i="156"/>
  <c r="K50" i="156"/>
  <c r="J50" i="156"/>
  <c r="M50" i="156"/>
  <c r="I50" i="156"/>
  <c r="G50" i="156"/>
  <c r="N50" i="156"/>
  <c r="L50" i="156"/>
  <c r="H50" i="156"/>
  <c r="F50" i="156"/>
  <c r="F60" i="156"/>
  <c r="R60" i="156" s="1"/>
  <c r="R71" i="156"/>
  <c r="F71" i="156"/>
  <c r="D76" i="156"/>
  <c r="L27" i="156"/>
  <c r="F27" i="156"/>
  <c r="Q27" i="156" s="1"/>
  <c r="P27" i="156"/>
  <c r="J27" i="156"/>
  <c r="N27" i="156"/>
  <c r="H27" i="156"/>
  <c r="M27" i="156"/>
  <c r="G27" i="156"/>
  <c r="K27" i="156"/>
  <c r="I27" i="156"/>
  <c r="O27" i="156"/>
  <c r="F36" i="156"/>
  <c r="R36" i="156"/>
  <c r="L36" i="156"/>
  <c r="K7" i="156"/>
  <c r="P7" i="156"/>
  <c r="J7" i="156"/>
  <c r="O7" i="156"/>
  <c r="I7" i="156"/>
  <c r="M7" i="156"/>
  <c r="G7" i="156"/>
  <c r="N7" i="156"/>
  <c r="L7" i="156"/>
  <c r="R7" i="156" s="1"/>
  <c r="H7" i="156"/>
  <c r="F7" i="156"/>
  <c r="Q7" i="156" s="1"/>
  <c r="Q90" i="156"/>
  <c r="L90" i="156" s="1"/>
  <c r="R90" i="156" s="1"/>
  <c r="K57" i="156"/>
  <c r="P57" i="156"/>
  <c r="J57" i="156"/>
  <c r="M57" i="156"/>
  <c r="I57" i="156"/>
  <c r="O57" i="156"/>
  <c r="Q57" i="156" s="1"/>
  <c r="R57" i="156" s="1"/>
  <c r="G57" i="156"/>
  <c r="N57" i="156"/>
  <c r="L57" i="156"/>
  <c r="F57" i="156"/>
  <c r="H57" i="156"/>
  <c r="N32" i="156"/>
  <c r="H32" i="156"/>
  <c r="L32" i="156"/>
  <c r="F32" i="156"/>
  <c r="R32" i="156" s="1"/>
  <c r="P32" i="156"/>
  <c r="J32" i="156"/>
  <c r="O32" i="156"/>
  <c r="I32" i="156"/>
  <c r="M32" i="156"/>
  <c r="K32" i="156"/>
  <c r="G32" i="156"/>
  <c r="Q32" i="156" s="1"/>
  <c r="F11" i="156"/>
  <c r="R11" i="156" s="1"/>
  <c r="N73" i="156"/>
  <c r="H73" i="156"/>
  <c r="M73" i="156"/>
  <c r="G73" i="156"/>
  <c r="F73" i="156"/>
  <c r="L73" i="156"/>
  <c r="J73" i="156"/>
  <c r="I73" i="156"/>
  <c r="O73" i="156" s="1"/>
  <c r="K73" i="156"/>
  <c r="N29" i="156"/>
  <c r="H29" i="156"/>
  <c r="L29" i="156"/>
  <c r="F29" i="156"/>
  <c r="R29" i="156" s="1"/>
  <c r="P29" i="156"/>
  <c r="J29" i="156"/>
  <c r="I29" i="156"/>
  <c r="O29" i="156"/>
  <c r="G29" i="156"/>
  <c r="Q29" i="156" s="1"/>
  <c r="M29" i="156"/>
  <c r="K29" i="156"/>
  <c r="L13" i="156"/>
  <c r="F13" i="156"/>
  <c r="Q13" i="156" s="1"/>
  <c r="I13" i="156"/>
  <c r="K13" i="156"/>
  <c r="O13" i="156"/>
  <c r="P13" i="156"/>
  <c r="J13" i="156"/>
  <c r="N13" i="156"/>
  <c r="H13" i="156"/>
  <c r="M13" i="156"/>
  <c r="G13" i="156"/>
  <c r="P31" i="156"/>
  <c r="J31" i="156"/>
  <c r="N31" i="156"/>
  <c r="H31" i="156"/>
  <c r="L31" i="156"/>
  <c r="F31" i="156"/>
  <c r="R31" i="156" s="1"/>
  <c r="Q31" i="156"/>
  <c r="O31" i="156"/>
  <c r="M31" i="156"/>
  <c r="K31" i="156"/>
  <c r="I31" i="156"/>
  <c r="G31" i="156"/>
  <c r="R44" i="156"/>
  <c r="L44" i="156"/>
  <c r="L45" i="156" s="1"/>
  <c r="M56" i="156"/>
  <c r="G56" i="156"/>
  <c r="L56" i="156"/>
  <c r="F56" i="156"/>
  <c r="Q56" i="156" s="1"/>
  <c r="I56" i="156"/>
  <c r="O56" i="156"/>
  <c r="K56" i="156"/>
  <c r="J56" i="156"/>
  <c r="H56" i="156"/>
  <c r="P56" i="156"/>
  <c r="N56" i="156"/>
  <c r="O55" i="156"/>
  <c r="I55" i="156"/>
  <c r="N55" i="156"/>
  <c r="H55" i="156"/>
  <c r="M55" i="156"/>
  <c r="K55" i="156"/>
  <c r="G55" i="156"/>
  <c r="F55" i="156"/>
  <c r="Q55" i="156" s="1"/>
  <c r="P55" i="156"/>
  <c r="L55" i="156"/>
  <c r="J55" i="156"/>
  <c r="F81" i="156"/>
  <c r="R81" i="156" s="1"/>
  <c r="K51" i="156"/>
  <c r="J51" i="156"/>
  <c r="I51" i="156"/>
  <c r="G51" i="156"/>
  <c r="M51" i="156"/>
  <c r="L51" i="156"/>
  <c r="N51" i="156"/>
  <c r="H51" i="156"/>
  <c r="F51" i="156"/>
  <c r="K64" i="156"/>
  <c r="J64" i="156"/>
  <c r="I64" i="156"/>
  <c r="G64" i="156"/>
  <c r="M64" i="156"/>
  <c r="N64" i="156"/>
  <c r="L64" i="156"/>
  <c r="H64" i="156"/>
  <c r="F64" i="156"/>
  <c r="O64" i="156" s="1"/>
  <c r="M3" i="156"/>
  <c r="G3" i="156"/>
  <c r="L3" i="156"/>
  <c r="F3" i="156"/>
  <c r="K3" i="156"/>
  <c r="K25" i="156" s="1"/>
  <c r="O3" i="156"/>
  <c r="I3" i="156"/>
  <c r="I25" i="156" s="1"/>
  <c r="D25" i="156"/>
  <c r="P3" i="156"/>
  <c r="N3" i="156"/>
  <c r="J3" i="156"/>
  <c r="H3" i="156"/>
  <c r="N14" i="156"/>
  <c r="H14" i="156"/>
  <c r="K14" i="156"/>
  <c r="G14" i="156"/>
  <c r="J14" i="156"/>
  <c r="P14" i="156"/>
  <c r="I14" i="156"/>
  <c r="O14" i="156"/>
  <c r="M14" i="156"/>
  <c r="F14" i="156"/>
  <c r="L14" i="156"/>
  <c r="M9" i="156"/>
  <c r="G9" i="156"/>
  <c r="L9" i="156"/>
  <c r="F9" i="156"/>
  <c r="K9" i="156"/>
  <c r="O9" i="156"/>
  <c r="I9" i="156"/>
  <c r="J9" i="156"/>
  <c r="H9" i="156"/>
  <c r="P9" i="156"/>
  <c r="Q9" i="156" s="1"/>
  <c r="N9" i="156"/>
  <c r="N74" i="156"/>
  <c r="H74" i="156"/>
  <c r="M74" i="156"/>
  <c r="G74" i="156"/>
  <c r="L74" i="156"/>
  <c r="J74" i="156"/>
  <c r="F74" i="156"/>
  <c r="K74" i="156"/>
  <c r="I74" i="156"/>
  <c r="O74" i="156" s="1"/>
  <c r="H77" i="156"/>
  <c r="K49" i="156"/>
  <c r="J49" i="156"/>
  <c r="G49" i="156"/>
  <c r="D70" i="156"/>
  <c r="M49" i="156"/>
  <c r="I49" i="156"/>
  <c r="H49" i="156"/>
  <c r="F49" i="156"/>
  <c r="N49" i="156"/>
  <c r="L49" i="156"/>
  <c r="F15" i="156"/>
  <c r="L15" i="156"/>
  <c r="R15" i="156" s="1"/>
  <c r="N26" i="156"/>
  <c r="F26" i="156"/>
  <c r="K26" i="156"/>
  <c r="P26" i="156"/>
  <c r="I26" i="156"/>
  <c r="I37" i="156" s="1"/>
  <c r="O26" i="156"/>
  <c r="M26" i="156"/>
  <c r="D37" i="156"/>
  <c r="J26" i="156"/>
  <c r="H26" i="156"/>
  <c r="Q26" i="156"/>
  <c r="N72" i="156"/>
  <c r="H72" i="156"/>
  <c r="H76" i="156" s="1"/>
  <c r="M72" i="156"/>
  <c r="G72" i="156"/>
  <c r="G76" i="156" s="1"/>
  <c r="J72" i="156"/>
  <c r="J76" i="156" s="1"/>
  <c r="F72" i="156"/>
  <c r="L72" i="156"/>
  <c r="K72" i="156"/>
  <c r="K76" i="156" s="1"/>
  <c r="I72" i="156"/>
  <c r="O72" i="156"/>
  <c r="L30" i="156"/>
  <c r="F30" i="156"/>
  <c r="P30" i="156"/>
  <c r="J30" i="156"/>
  <c r="N30" i="156"/>
  <c r="H30" i="156"/>
  <c r="G30" i="156"/>
  <c r="M30" i="156"/>
  <c r="O30" i="156"/>
  <c r="K30" i="156"/>
  <c r="I30" i="156"/>
  <c r="F43" i="156"/>
  <c r="F45" i="156" s="1"/>
  <c r="R43" i="156"/>
  <c r="M59" i="156"/>
  <c r="G59" i="156"/>
  <c r="L59" i="156"/>
  <c r="F59" i="156"/>
  <c r="K59" i="156"/>
  <c r="I59" i="156"/>
  <c r="O59" i="156"/>
  <c r="R59" i="156" s="1"/>
  <c r="N59" i="156"/>
  <c r="P59" i="156"/>
  <c r="J59" i="156"/>
  <c r="H59" i="156"/>
  <c r="Q59" i="156" s="1"/>
  <c r="O58" i="156"/>
  <c r="I58" i="156"/>
  <c r="N58" i="156"/>
  <c r="H58" i="156"/>
  <c r="G58" i="156"/>
  <c r="M58" i="156"/>
  <c r="K58" i="156"/>
  <c r="P58" i="156"/>
  <c r="L58" i="156"/>
  <c r="J58" i="156"/>
  <c r="F58" i="156"/>
  <c r="Q58" i="156" s="1"/>
  <c r="D109" i="156"/>
  <c r="F89" i="156"/>
  <c r="L89" i="156" s="1"/>
  <c r="R89" i="156" s="1"/>
  <c r="K52" i="156"/>
  <c r="J52" i="156"/>
  <c r="G52" i="156"/>
  <c r="M52" i="156"/>
  <c r="I52" i="156"/>
  <c r="H52" i="156"/>
  <c r="R52" i="156" s="1"/>
  <c r="F52" i="156"/>
  <c r="O52" i="156" s="1"/>
  <c r="N52" i="156"/>
  <c r="L52" i="156"/>
  <c r="K65" i="156"/>
  <c r="J65" i="156"/>
  <c r="G65" i="156"/>
  <c r="M65" i="156"/>
  <c r="I65" i="156"/>
  <c r="H65" i="156"/>
  <c r="F65" i="156"/>
  <c r="O65" i="156" s="1"/>
  <c r="N65" i="156"/>
  <c r="L65" i="156"/>
  <c r="R54" i="155"/>
  <c r="R51" i="155"/>
  <c r="R49" i="155"/>
  <c r="O65" i="155"/>
  <c r="R65" i="155" s="1"/>
  <c r="F15" i="155"/>
  <c r="L15" i="155" s="1"/>
  <c r="R81" i="155"/>
  <c r="F81" i="155"/>
  <c r="L24" i="155"/>
  <c r="F24" i="155"/>
  <c r="R24" i="155"/>
  <c r="F89" i="155"/>
  <c r="D25" i="155"/>
  <c r="K3" i="155"/>
  <c r="N3" i="155"/>
  <c r="H3" i="155"/>
  <c r="M3" i="155"/>
  <c r="G3" i="155"/>
  <c r="Q3" i="155" s="1"/>
  <c r="L3" i="155"/>
  <c r="F3" i="155"/>
  <c r="P3" i="155"/>
  <c r="O3" i="155"/>
  <c r="J3" i="155"/>
  <c r="I3" i="155"/>
  <c r="F69" i="155"/>
  <c r="L69" i="155" s="1"/>
  <c r="R69" i="155" s="1"/>
  <c r="O31" i="155"/>
  <c r="I31" i="155"/>
  <c r="M31" i="155"/>
  <c r="G31" i="155"/>
  <c r="Q31" i="155" s="1"/>
  <c r="K31" i="155"/>
  <c r="J31" i="155"/>
  <c r="N31" i="155"/>
  <c r="L31" i="155"/>
  <c r="P31" i="155"/>
  <c r="H31" i="155"/>
  <c r="R31" i="155" s="1"/>
  <c r="F31" i="155"/>
  <c r="M29" i="155"/>
  <c r="G29" i="155"/>
  <c r="K29" i="155"/>
  <c r="L29" i="155"/>
  <c r="Q29" i="155" s="1"/>
  <c r="J29" i="155"/>
  <c r="O29" i="155"/>
  <c r="F29" i="155"/>
  <c r="R29" i="155" s="1"/>
  <c r="N29" i="155"/>
  <c r="P29" i="155"/>
  <c r="I29" i="155"/>
  <c r="H29" i="155"/>
  <c r="I74" i="155"/>
  <c r="M74" i="155"/>
  <c r="G74" i="155"/>
  <c r="L74" i="155"/>
  <c r="F74" i="155"/>
  <c r="J74" i="155"/>
  <c r="H74" i="155"/>
  <c r="N74" i="155"/>
  <c r="K74" i="155"/>
  <c r="D37" i="155"/>
  <c r="M26" i="155"/>
  <c r="J26" i="155"/>
  <c r="H26" i="155"/>
  <c r="P26" i="155"/>
  <c r="F26" i="155"/>
  <c r="K26" i="155"/>
  <c r="I26" i="155"/>
  <c r="O26" i="155"/>
  <c r="N26" i="155"/>
  <c r="N33" i="155"/>
  <c r="L33" i="155"/>
  <c r="K33" i="155"/>
  <c r="P33" i="155"/>
  <c r="G33" i="155"/>
  <c r="M33" i="155"/>
  <c r="O33" i="155"/>
  <c r="J33" i="155"/>
  <c r="F33" i="155"/>
  <c r="I33" i="155"/>
  <c r="H33" i="155"/>
  <c r="F36" i="155"/>
  <c r="R36" i="155" s="1"/>
  <c r="L36" i="155"/>
  <c r="Q14" i="155"/>
  <c r="R14" i="155" s="1"/>
  <c r="Q5" i="155"/>
  <c r="R5" i="155" s="1"/>
  <c r="N8" i="155"/>
  <c r="H8" i="155"/>
  <c r="L8" i="155"/>
  <c r="F8" i="155"/>
  <c r="G8" i="155"/>
  <c r="O8" i="155"/>
  <c r="J8" i="155"/>
  <c r="Q8" i="155"/>
  <c r="R8" i="155" s="1"/>
  <c r="I8" i="155"/>
  <c r="P8" i="155"/>
  <c r="M8" i="155"/>
  <c r="K8" i="155"/>
  <c r="I72" i="155"/>
  <c r="M72" i="155"/>
  <c r="G72" i="155"/>
  <c r="L72" i="155"/>
  <c r="F72" i="155"/>
  <c r="J72" i="155"/>
  <c r="N72" i="155"/>
  <c r="N76" i="155" s="1"/>
  <c r="K72" i="155"/>
  <c r="H72" i="155"/>
  <c r="F63" i="155"/>
  <c r="R63" i="155" s="1"/>
  <c r="L50" i="155"/>
  <c r="F50" i="155"/>
  <c r="O50" i="155" s="1"/>
  <c r="J50" i="155"/>
  <c r="J70" i="155" s="1"/>
  <c r="I50" i="155"/>
  <c r="I70" i="155" s="1"/>
  <c r="M50" i="155"/>
  <c r="M70" i="155" s="1"/>
  <c r="H50" i="155"/>
  <c r="H70" i="155" s="1"/>
  <c r="N50" i="155"/>
  <c r="K50" i="155"/>
  <c r="K70" i="155" s="1"/>
  <c r="G50" i="155"/>
  <c r="D92" i="155"/>
  <c r="P55" i="155"/>
  <c r="J55" i="155"/>
  <c r="N55" i="155"/>
  <c r="H55" i="155"/>
  <c r="M55" i="155"/>
  <c r="G55" i="155"/>
  <c r="K55" i="155"/>
  <c r="F55" i="155"/>
  <c r="Q55" i="155" s="1"/>
  <c r="I55" i="155"/>
  <c r="O55" i="155"/>
  <c r="L55" i="155"/>
  <c r="L66" i="155"/>
  <c r="F66" i="155"/>
  <c r="J66" i="155"/>
  <c r="I66" i="155"/>
  <c r="M66" i="155"/>
  <c r="H66" i="155"/>
  <c r="N66" i="155"/>
  <c r="K66" i="155"/>
  <c r="G66" i="155"/>
  <c r="L9" i="155"/>
  <c r="F9" i="155"/>
  <c r="Q9" i="155" s="1"/>
  <c r="P9" i="155"/>
  <c r="J9" i="155"/>
  <c r="K9" i="155"/>
  <c r="I9" i="155"/>
  <c r="N9" i="155"/>
  <c r="M9" i="155"/>
  <c r="O9" i="155"/>
  <c r="H9" i="155"/>
  <c r="G9" i="155"/>
  <c r="M32" i="155"/>
  <c r="N32" i="155"/>
  <c r="G32" i="155"/>
  <c r="K32" i="155"/>
  <c r="P32" i="155"/>
  <c r="F32" i="155"/>
  <c r="O32" i="155"/>
  <c r="I32" i="155"/>
  <c r="H32" i="155"/>
  <c r="L32" i="155"/>
  <c r="J32" i="155"/>
  <c r="I75" i="155"/>
  <c r="M75" i="155"/>
  <c r="G75" i="155"/>
  <c r="L75" i="155"/>
  <c r="F75" i="155"/>
  <c r="J75" i="155"/>
  <c r="N75" i="155"/>
  <c r="K75" i="155"/>
  <c r="H75" i="155"/>
  <c r="K27" i="155"/>
  <c r="O27" i="155"/>
  <c r="I27" i="155"/>
  <c r="M27" i="155"/>
  <c r="L27" i="155"/>
  <c r="L37" i="155" s="1"/>
  <c r="P27" i="155"/>
  <c r="G27" i="155"/>
  <c r="G37" i="155" s="1"/>
  <c r="N27" i="155"/>
  <c r="F27" i="155"/>
  <c r="J27" i="155"/>
  <c r="H27" i="155"/>
  <c r="D45" i="155"/>
  <c r="I42" i="155"/>
  <c r="I45" i="155" s="1"/>
  <c r="R42" i="155"/>
  <c r="N62" i="155"/>
  <c r="R62" i="155"/>
  <c r="I62" i="155"/>
  <c r="R94" i="155"/>
  <c r="H94" i="155"/>
  <c r="O94" i="155"/>
  <c r="Q16" i="155"/>
  <c r="R16" i="155" s="1"/>
  <c r="K13" i="155"/>
  <c r="O13" i="155"/>
  <c r="I13" i="155"/>
  <c r="M13" i="155"/>
  <c r="L13" i="155"/>
  <c r="P13" i="155"/>
  <c r="G13" i="155"/>
  <c r="N13" i="155"/>
  <c r="F13" i="155"/>
  <c r="J13" i="155"/>
  <c r="H13" i="155"/>
  <c r="N59" i="155"/>
  <c r="H59" i="155"/>
  <c r="L59" i="155"/>
  <c r="L70" i="155" s="1"/>
  <c r="F59" i="155"/>
  <c r="K59" i="155"/>
  <c r="O59" i="155"/>
  <c r="J59" i="155"/>
  <c r="G59" i="155"/>
  <c r="R59" i="155" s="1"/>
  <c r="M59" i="155"/>
  <c r="I59" i="155"/>
  <c r="Q59" i="155" s="1"/>
  <c r="P59" i="155"/>
  <c r="F71" i="155"/>
  <c r="D76" i="155"/>
  <c r="D109" i="155" s="1"/>
  <c r="R71" i="155"/>
  <c r="I73" i="155"/>
  <c r="M73" i="155"/>
  <c r="G73" i="155"/>
  <c r="L73" i="155"/>
  <c r="F73" i="155"/>
  <c r="O73" i="155" s="1"/>
  <c r="R73" i="155" s="1"/>
  <c r="J73" i="155"/>
  <c r="N73" i="155"/>
  <c r="H73" i="155"/>
  <c r="K73" i="155"/>
  <c r="K46" i="155"/>
  <c r="K47" i="155" s="1"/>
  <c r="F46" i="155"/>
  <c r="F47" i="155" s="1"/>
  <c r="N46" i="155"/>
  <c r="N47" i="155" s="1"/>
  <c r="D47" i="155"/>
  <c r="L57" i="155"/>
  <c r="F57" i="155"/>
  <c r="Q57" i="155" s="1"/>
  <c r="P57" i="155"/>
  <c r="J57" i="155"/>
  <c r="O57" i="155"/>
  <c r="I57" i="155"/>
  <c r="G57" i="155"/>
  <c r="N57" i="155"/>
  <c r="M57" i="155"/>
  <c r="K57" i="155"/>
  <c r="H57" i="155"/>
  <c r="O61" i="155"/>
  <c r="I61" i="155"/>
  <c r="M61" i="155"/>
  <c r="G61" i="155"/>
  <c r="L61" i="155"/>
  <c r="F61" i="155"/>
  <c r="Q61" i="155" s="1"/>
  <c r="J61" i="155"/>
  <c r="H61" i="155"/>
  <c r="N61" i="155"/>
  <c r="K61" i="155"/>
  <c r="P61" i="155"/>
  <c r="Q90" i="155"/>
  <c r="K30" i="155"/>
  <c r="O30" i="155"/>
  <c r="I30" i="155"/>
  <c r="P30" i="155"/>
  <c r="G30" i="155"/>
  <c r="N30" i="155"/>
  <c r="F30" i="155"/>
  <c r="Q30" i="155" s="1"/>
  <c r="R30" i="155" s="1"/>
  <c r="J30" i="155"/>
  <c r="H30" i="155"/>
  <c r="M30" i="155"/>
  <c r="L30" i="155"/>
  <c r="L44" i="155"/>
  <c r="L45" i="155" s="1"/>
  <c r="N77" i="155"/>
  <c r="H77" i="155"/>
  <c r="R77" i="155" s="1"/>
  <c r="F43" i="155"/>
  <c r="F45" i="155" s="1"/>
  <c r="Q7" i="155"/>
  <c r="R7" i="155"/>
  <c r="O49" i="155"/>
  <c r="P93" i="155"/>
  <c r="J93" i="155"/>
  <c r="N93" i="155"/>
  <c r="H93" i="155"/>
  <c r="M93" i="155"/>
  <c r="G93" i="155"/>
  <c r="L93" i="155"/>
  <c r="O93" i="155"/>
  <c r="I93" i="155"/>
  <c r="F93" i="155"/>
  <c r="Q93" i="155" s="1"/>
  <c r="K93" i="155"/>
  <c r="R80" i="155"/>
  <c r="F80" i="155"/>
  <c r="R82" i="155"/>
  <c r="F82" i="155"/>
  <c r="K6" i="155"/>
  <c r="N6" i="155"/>
  <c r="H6" i="155"/>
  <c r="M6" i="155"/>
  <c r="G6" i="155"/>
  <c r="R6" i="155" s="1"/>
  <c r="L6" i="155"/>
  <c r="F6" i="155"/>
  <c r="J6" i="155"/>
  <c r="Q6" i="155" s="1"/>
  <c r="I6" i="155"/>
  <c r="P6" i="155"/>
  <c r="O6" i="155"/>
  <c r="M17" i="155"/>
  <c r="G17" i="155"/>
  <c r="K17" i="155"/>
  <c r="L17" i="155"/>
  <c r="J17" i="155"/>
  <c r="O17" i="155"/>
  <c r="F17" i="155"/>
  <c r="N17" i="155"/>
  <c r="Q17" i="155" s="1"/>
  <c r="H17" i="155"/>
  <c r="P17" i="155"/>
  <c r="I17" i="155"/>
  <c r="R17" i="155" s="1"/>
  <c r="Q54" i="155"/>
  <c r="P10" i="155"/>
  <c r="J10" i="155"/>
  <c r="N10" i="155"/>
  <c r="H10" i="155"/>
  <c r="O10" i="155"/>
  <c r="F10" i="155"/>
  <c r="R10" i="155" s="1"/>
  <c r="M10" i="155"/>
  <c r="I10" i="155"/>
  <c r="G10" i="155"/>
  <c r="Q10" i="155" s="1"/>
  <c r="L10" i="155"/>
  <c r="K10" i="155"/>
  <c r="L53" i="155"/>
  <c r="F53" i="155"/>
  <c r="J53" i="155"/>
  <c r="I53" i="155"/>
  <c r="M53" i="155"/>
  <c r="H53" i="155"/>
  <c r="N53" i="155"/>
  <c r="N70" i="155" s="1"/>
  <c r="K53" i="155"/>
  <c r="G53" i="155"/>
  <c r="R68" i="155"/>
  <c r="F68" i="155"/>
  <c r="K12" i="155"/>
  <c r="I12" i="155"/>
  <c r="G12" i="155"/>
  <c r="N12" i="155"/>
  <c r="F12" i="155"/>
  <c r="O12" i="155" s="1"/>
  <c r="J12" i="155"/>
  <c r="H12" i="155"/>
  <c r="L12" i="155"/>
  <c r="M12" i="155"/>
  <c r="P58" i="155"/>
  <c r="J58" i="155"/>
  <c r="N58" i="155"/>
  <c r="H58" i="155"/>
  <c r="M58" i="155"/>
  <c r="G58" i="155"/>
  <c r="L58" i="155"/>
  <c r="O58" i="155"/>
  <c r="I58" i="155"/>
  <c r="F58" i="155"/>
  <c r="Q58" i="155" s="1"/>
  <c r="K58" i="155"/>
  <c r="N56" i="155"/>
  <c r="H56" i="155"/>
  <c r="L56" i="155"/>
  <c r="F56" i="155"/>
  <c r="Q56" i="155" s="1"/>
  <c r="K56" i="155"/>
  <c r="I56" i="155"/>
  <c r="P56" i="155"/>
  <c r="P70" i="155" s="1"/>
  <c r="P78" i="155" s="1"/>
  <c r="M56" i="155"/>
  <c r="J56" i="155"/>
  <c r="O56" i="155"/>
  <c r="G56" i="155"/>
  <c r="G70" i="155" s="1"/>
  <c r="R79" i="155"/>
  <c r="D83" i="155"/>
  <c r="R83" i="155" s="1"/>
  <c r="F79" i="155"/>
  <c r="F83" i="155" s="1"/>
  <c r="D87" i="155"/>
  <c r="F88" i="155"/>
  <c r="L88" i="155" s="1"/>
  <c r="O4" i="155"/>
  <c r="I4" i="155"/>
  <c r="L4" i="155"/>
  <c r="F4" i="155"/>
  <c r="Q4" i="155" s="1"/>
  <c r="K4" i="155"/>
  <c r="P4" i="155"/>
  <c r="J4" i="155"/>
  <c r="R4" i="155" s="1"/>
  <c r="N4" i="155"/>
  <c r="G4" i="155"/>
  <c r="M4" i="155"/>
  <c r="H4" i="155"/>
  <c r="D70" i="155"/>
  <c r="K92" i="154"/>
  <c r="M92" i="154" s="1"/>
  <c r="J92" i="154"/>
  <c r="I92" i="154"/>
  <c r="H92" i="154"/>
  <c r="G92" i="154"/>
  <c r="R92" i="154" s="1"/>
  <c r="L92" i="154"/>
  <c r="F92" i="154"/>
  <c r="N92" i="154" s="1"/>
  <c r="N52" i="154"/>
  <c r="H52" i="154"/>
  <c r="O52" i="154" s="1"/>
  <c r="M52" i="154"/>
  <c r="G52" i="154"/>
  <c r="L52" i="154"/>
  <c r="F52" i="154"/>
  <c r="K52" i="154"/>
  <c r="R52" i="154" s="1"/>
  <c r="J52" i="154"/>
  <c r="I52" i="154"/>
  <c r="K28" i="154"/>
  <c r="H28" i="154"/>
  <c r="P28" i="154"/>
  <c r="J28" i="154"/>
  <c r="N28" i="154"/>
  <c r="O28" i="154"/>
  <c r="I28" i="154"/>
  <c r="M28" i="154"/>
  <c r="L28" i="154"/>
  <c r="G28" i="154"/>
  <c r="R28" i="154" s="1"/>
  <c r="F28" i="154"/>
  <c r="Q28" i="154" s="1"/>
  <c r="R81" i="154"/>
  <c r="F81" i="154"/>
  <c r="N50" i="154"/>
  <c r="H50" i="154"/>
  <c r="M50" i="154"/>
  <c r="G50" i="154"/>
  <c r="L50" i="154"/>
  <c r="F50" i="154"/>
  <c r="K50" i="154"/>
  <c r="J50" i="154"/>
  <c r="I50" i="154"/>
  <c r="R60" i="154"/>
  <c r="F60" i="154"/>
  <c r="D76" i="154"/>
  <c r="F71" i="154"/>
  <c r="K72" i="154"/>
  <c r="J72" i="154"/>
  <c r="I72" i="154"/>
  <c r="N72" i="154"/>
  <c r="H72" i="154"/>
  <c r="M72" i="154"/>
  <c r="G72" i="154"/>
  <c r="L72" i="154"/>
  <c r="F72" i="154"/>
  <c r="O72" i="154" s="1"/>
  <c r="M13" i="154"/>
  <c r="G13" i="154"/>
  <c r="R13" i="154" s="1"/>
  <c r="L13" i="154"/>
  <c r="F13" i="154"/>
  <c r="Q13" i="154" s="1"/>
  <c r="K13" i="154"/>
  <c r="N13" i="154"/>
  <c r="J13" i="154"/>
  <c r="I13" i="154"/>
  <c r="H13" i="154"/>
  <c r="P13" i="154"/>
  <c r="P25" i="154" s="1"/>
  <c r="O13" i="154"/>
  <c r="R56" i="154"/>
  <c r="K16" i="154"/>
  <c r="P16" i="154"/>
  <c r="J16" i="154"/>
  <c r="O16" i="154"/>
  <c r="I16" i="154"/>
  <c r="F16" i="154"/>
  <c r="N16" i="154"/>
  <c r="M16" i="154"/>
  <c r="L16" i="154"/>
  <c r="H16" i="154"/>
  <c r="G16" i="154"/>
  <c r="Q16" i="154" s="1"/>
  <c r="F89" i="154"/>
  <c r="N51" i="154"/>
  <c r="H51" i="154"/>
  <c r="M51" i="154"/>
  <c r="G51" i="154"/>
  <c r="L51" i="154"/>
  <c r="F51" i="154"/>
  <c r="O51" i="154" s="1"/>
  <c r="K51" i="154"/>
  <c r="R51" i="154" s="1"/>
  <c r="J51" i="154"/>
  <c r="I51" i="154"/>
  <c r="N64" i="154"/>
  <c r="H64" i="154"/>
  <c r="M64" i="154"/>
  <c r="G64" i="154"/>
  <c r="O64" i="154" s="1"/>
  <c r="R64" i="154" s="1"/>
  <c r="L64" i="154"/>
  <c r="F64" i="154"/>
  <c r="K64" i="154"/>
  <c r="J64" i="154"/>
  <c r="I64" i="154"/>
  <c r="K73" i="154"/>
  <c r="J73" i="154"/>
  <c r="I73" i="154"/>
  <c r="N73" i="154"/>
  <c r="H73" i="154"/>
  <c r="M73" i="154"/>
  <c r="G73" i="154"/>
  <c r="F73" i="154"/>
  <c r="O73" i="154" s="1"/>
  <c r="L73" i="154"/>
  <c r="Q10" i="154"/>
  <c r="R10" i="154" s="1"/>
  <c r="P33" i="154"/>
  <c r="N33" i="154"/>
  <c r="M33" i="154"/>
  <c r="L33" i="154"/>
  <c r="G33" i="154"/>
  <c r="J33" i="154"/>
  <c r="O33" i="154"/>
  <c r="F33" i="154"/>
  <c r="K33" i="154"/>
  <c r="I33" i="154"/>
  <c r="H33" i="154"/>
  <c r="M12" i="154"/>
  <c r="M25" i="154" s="1"/>
  <c r="G12" i="154"/>
  <c r="L12" i="154"/>
  <c r="F12" i="154"/>
  <c r="O12" i="154" s="1"/>
  <c r="O25" i="154" s="1"/>
  <c r="K12" i="154"/>
  <c r="N12" i="154"/>
  <c r="N25" i="154" s="1"/>
  <c r="N48" i="154" s="1"/>
  <c r="J12" i="154"/>
  <c r="J25" i="154" s="1"/>
  <c r="I12" i="154"/>
  <c r="H12" i="154"/>
  <c r="H25" i="154" s="1"/>
  <c r="R6" i="154"/>
  <c r="R42" i="154"/>
  <c r="R9" i="154"/>
  <c r="D25" i="154"/>
  <c r="K14" i="154"/>
  <c r="K25" i="154" s="1"/>
  <c r="P14" i="154"/>
  <c r="J14" i="154"/>
  <c r="O14" i="154"/>
  <c r="I14" i="154"/>
  <c r="L14" i="154"/>
  <c r="H14" i="154"/>
  <c r="G14" i="154"/>
  <c r="F14" i="154"/>
  <c r="F25" i="154" s="1"/>
  <c r="N14" i="154"/>
  <c r="M14" i="154"/>
  <c r="L55" i="154"/>
  <c r="F55" i="154"/>
  <c r="Q55" i="154" s="1"/>
  <c r="K55" i="154"/>
  <c r="P55" i="154"/>
  <c r="J55" i="154"/>
  <c r="O55" i="154"/>
  <c r="I55" i="154"/>
  <c r="N55" i="154"/>
  <c r="H55" i="154"/>
  <c r="M55" i="154"/>
  <c r="G55" i="154"/>
  <c r="R55" i="154" s="1"/>
  <c r="K74" i="154"/>
  <c r="J74" i="154"/>
  <c r="I74" i="154"/>
  <c r="N74" i="154"/>
  <c r="H74" i="154"/>
  <c r="R74" i="154" s="1"/>
  <c r="M74" i="154"/>
  <c r="G74" i="154"/>
  <c r="L74" i="154"/>
  <c r="F74" i="154"/>
  <c r="O74" i="154" s="1"/>
  <c r="R45" i="154"/>
  <c r="Q45" i="154"/>
  <c r="L15" i="154"/>
  <c r="R15" i="154" s="1"/>
  <c r="R4" i="154"/>
  <c r="I62" i="154"/>
  <c r="R94" i="154"/>
  <c r="O94" i="154"/>
  <c r="H94" i="154"/>
  <c r="N53" i="154"/>
  <c r="H53" i="154"/>
  <c r="M53" i="154"/>
  <c r="G53" i="154"/>
  <c r="L53" i="154"/>
  <c r="F53" i="154"/>
  <c r="K53" i="154"/>
  <c r="J53" i="154"/>
  <c r="O53" i="154" s="1"/>
  <c r="I53" i="154"/>
  <c r="N66" i="154"/>
  <c r="H66" i="154"/>
  <c r="M66" i="154"/>
  <c r="G66" i="154"/>
  <c r="O66" i="154" s="1"/>
  <c r="L66" i="154"/>
  <c r="F66" i="154"/>
  <c r="R66" i="154" s="1"/>
  <c r="K66" i="154"/>
  <c r="J66" i="154"/>
  <c r="I66" i="154"/>
  <c r="R43" i="154"/>
  <c r="F43" i="154"/>
  <c r="F45" i="154" s="1"/>
  <c r="L58" i="154"/>
  <c r="F58" i="154"/>
  <c r="Q58" i="154" s="1"/>
  <c r="K58" i="154"/>
  <c r="P58" i="154"/>
  <c r="J58" i="154"/>
  <c r="O58" i="154"/>
  <c r="I58" i="154"/>
  <c r="N58" i="154"/>
  <c r="H58" i="154"/>
  <c r="G58" i="154"/>
  <c r="M58" i="154"/>
  <c r="K61" i="154"/>
  <c r="P61" i="154"/>
  <c r="J61" i="154"/>
  <c r="O61" i="154"/>
  <c r="I61" i="154"/>
  <c r="N61" i="154"/>
  <c r="H61" i="154"/>
  <c r="M61" i="154"/>
  <c r="G61" i="154"/>
  <c r="Q61" i="154" s="1"/>
  <c r="L61" i="154"/>
  <c r="F61" i="154"/>
  <c r="K75" i="154"/>
  <c r="J75" i="154"/>
  <c r="I75" i="154"/>
  <c r="N75" i="154"/>
  <c r="H75" i="154"/>
  <c r="M75" i="154"/>
  <c r="G75" i="154"/>
  <c r="L75" i="154"/>
  <c r="F75" i="154"/>
  <c r="Q7" i="154"/>
  <c r="R7" i="154" s="1"/>
  <c r="M27" i="154"/>
  <c r="Q27" i="154" s="1"/>
  <c r="G27" i="154"/>
  <c r="G37" i="154" s="1"/>
  <c r="J27" i="154"/>
  <c r="L27" i="154"/>
  <c r="F27" i="154"/>
  <c r="P27" i="154"/>
  <c r="K27" i="154"/>
  <c r="I27" i="154"/>
  <c r="H27" i="154"/>
  <c r="O27" i="154"/>
  <c r="N27" i="154"/>
  <c r="I25" i="154"/>
  <c r="Q29" i="154"/>
  <c r="R29" i="154" s="1"/>
  <c r="R3" i="154"/>
  <c r="D47" i="154"/>
  <c r="R46" i="154"/>
  <c r="N46" i="154"/>
  <c r="N47" i="154" s="1"/>
  <c r="K46" i="154"/>
  <c r="K47" i="154" s="1"/>
  <c r="F46" i="154"/>
  <c r="F47" i="154" s="1"/>
  <c r="M30" i="154"/>
  <c r="G30" i="154"/>
  <c r="P30" i="154"/>
  <c r="L30" i="154"/>
  <c r="F30" i="154"/>
  <c r="Q30" i="154" s="1"/>
  <c r="J30" i="154"/>
  <c r="K30" i="154"/>
  <c r="R30" i="154" s="1"/>
  <c r="O30" i="154"/>
  <c r="N30" i="154"/>
  <c r="I30" i="154"/>
  <c r="H30" i="154"/>
  <c r="R77" i="154"/>
  <c r="N77" i="154"/>
  <c r="H77" i="154"/>
  <c r="F36" i="154"/>
  <c r="N54" i="154"/>
  <c r="H54" i="154"/>
  <c r="M54" i="154"/>
  <c r="G54" i="154"/>
  <c r="L54" i="154"/>
  <c r="F54" i="154"/>
  <c r="Q54" i="154" s="1"/>
  <c r="K54" i="154"/>
  <c r="P54" i="154"/>
  <c r="J54" i="154"/>
  <c r="I54" i="154"/>
  <c r="O54" i="154"/>
  <c r="R67" i="154"/>
  <c r="H67" i="154"/>
  <c r="F88" i="154"/>
  <c r="D87" i="154"/>
  <c r="F80" i="154"/>
  <c r="R80" i="154" s="1"/>
  <c r="F63" i="154"/>
  <c r="R63" i="154" s="1"/>
  <c r="Q90" i="154"/>
  <c r="L90" i="154" s="1"/>
  <c r="R90" i="154" s="1"/>
  <c r="O26" i="154"/>
  <c r="H26" i="154"/>
  <c r="K26" i="154"/>
  <c r="N26" i="154"/>
  <c r="N37" i="154" s="1"/>
  <c r="F26" i="154"/>
  <c r="M26" i="154"/>
  <c r="D37" i="154"/>
  <c r="P26" i="154"/>
  <c r="J26" i="154"/>
  <c r="I26" i="154"/>
  <c r="N65" i="154"/>
  <c r="H65" i="154"/>
  <c r="M65" i="154"/>
  <c r="G65" i="154"/>
  <c r="L65" i="154"/>
  <c r="F65" i="154"/>
  <c r="K65" i="154"/>
  <c r="J65" i="154"/>
  <c r="O65" i="154" s="1"/>
  <c r="I65" i="154"/>
  <c r="K31" i="154"/>
  <c r="N31" i="154"/>
  <c r="P31" i="154"/>
  <c r="J31" i="154"/>
  <c r="H31" i="154"/>
  <c r="O31" i="154"/>
  <c r="I31" i="154"/>
  <c r="G31" i="154"/>
  <c r="F31" i="154"/>
  <c r="M31" i="154"/>
  <c r="L31" i="154"/>
  <c r="F79" i="154"/>
  <c r="D83" i="154"/>
  <c r="N49" i="154"/>
  <c r="H49" i="154"/>
  <c r="M49" i="154"/>
  <c r="G49" i="154"/>
  <c r="L49" i="154"/>
  <c r="F49" i="154"/>
  <c r="F70" i="154" s="1"/>
  <c r="K49" i="154"/>
  <c r="J49" i="154"/>
  <c r="I49" i="154"/>
  <c r="D70" i="154"/>
  <c r="N57" i="154"/>
  <c r="H57" i="154"/>
  <c r="M57" i="154"/>
  <c r="G57" i="154"/>
  <c r="L57" i="154"/>
  <c r="F57" i="154"/>
  <c r="Q57" i="154" s="1"/>
  <c r="K57" i="154"/>
  <c r="P57" i="154"/>
  <c r="J57" i="154"/>
  <c r="O57" i="154"/>
  <c r="I57" i="154"/>
  <c r="R69" i="154"/>
  <c r="L69" i="154"/>
  <c r="F69" i="154"/>
  <c r="D109" i="154"/>
  <c r="F82" i="154"/>
  <c r="R82" i="154" s="1"/>
  <c r="R68" i="154"/>
  <c r="F68" i="154"/>
  <c r="L93" i="154"/>
  <c r="F93" i="154"/>
  <c r="Q93" i="154" s="1"/>
  <c r="K93" i="154"/>
  <c r="P93" i="154"/>
  <c r="J93" i="154"/>
  <c r="O93" i="154"/>
  <c r="I93" i="154"/>
  <c r="N93" i="154"/>
  <c r="H93" i="154"/>
  <c r="M93" i="154"/>
  <c r="G93" i="154"/>
  <c r="L24" i="154"/>
  <c r="L25" i="154" s="1"/>
  <c r="F24" i="154"/>
  <c r="R24" i="154" s="1"/>
  <c r="Q32" i="154"/>
  <c r="R32" i="154" s="1"/>
  <c r="R32" i="153"/>
  <c r="P29" i="153"/>
  <c r="J29" i="153"/>
  <c r="O29" i="153"/>
  <c r="I29" i="153"/>
  <c r="N29" i="153"/>
  <c r="H29" i="153"/>
  <c r="G29" i="153"/>
  <c r="Q29" i="153" s="1"/>
  <c r="M29" i="153"/>
  <c r="K29" i="153"/>
  <c r="L29" i="153"/>
  <c r="F29" i="153"/>
  <c r="M50" i="153"/>
  <c r="G50" i="153"/>
  <c r="J50" i="153"/>
  <c r="R50" i="153" s="1"/>
  <c r="I50" i="153"/>
  <c r="H50" i="153"/>
  <c r="F50" i="153"/>
  <c r="O50" i="153" s="1"/>
  <c r="N50" i="153"/>
  <c r="L50" i="153"/>
  <c r="K50" i="153"/>
  <c r="M64" i="153"/>
  <c r="G64" i="153"/>
  <c r="J64" i="153"/>
  <c r="I64" i="153"/>
  <c r="H64" i="153"/>
  <c r="F64" i="153"/>
  <c r="N64" i="153"/>
  <c r="L64" i="153"/>
  <c r="K64" i="153"/>
  <c r="O64" i="153" s="1"/>
  <c r="L14" i="153"/>
  <c r="F14" i="153"/>
  <c r="K14" i="153"/>
  <c r="P14" i="153"/>
  <c r="J14" i="153"/>
  <c r="M14" i="153"/>
  <c r="O14" i="153"/>
  <c r="I14" i="153"/>
  <c r="H14" i="153"/>
  <c r="G14" i="153"/>
  <c r="Q14" i="153" s="1"/>
  <c r="N14" i="153"/>
  <c r="F11" i="153"/>
  <c r="R11" i="153"/>
  <c r="J74" i="153"/>
  <c r="M74" i="153"/>
  <c r="G74" i="153"/>
  <c r="L74" i="153"/>
  <c r="F74" i="153"/>
  <c r="N74" i="153"/>
  <c r="K74" i="153"/>
  <c r="I74" i="153"/>
  <c r="H74" i="153"/>
  <c r="O56" i="153"/>
  <c r="I56" i="153"/>
  <c r="L56" i="153"/>
  <c r="F56" i="153"/>
  <c r="K56" i="153"/>
  <c r="P56" i="153"/>
  <c r="N56" i="153"/>
  <c r="M56" i="153"/>
  <c r="J56" i="153"/>
  <c r="H56" i="153"/>
  <c r="G56" i="153"/>
  <c r="Q56" i="153" s="1"/>
  <c r="D83" i="153"/>
  <c r="F79" i="153"/>
  <c r="F83" i="153" s="1"/>
  <c r="K58" i="153"/>
  <c r="N58" i="153"/>
  <c r="H58" i="153"/>
  <c r="M58" i="153"/>
  <c r="G58" i="153"/>
  <c r="R58" i="153" s="1"/>
  <c r="L58" i="153"/>
  <c r="J58" i="153"/>
  <c r="I58" i="153"/>
  <c r="F58" i="153"/>
  <c r="Q58" i="153" s="1"/>
  <c r="P58" i="153"/>
  <c r="O58" i="153"/>
  <c r="O9" i="153"/>
  <c r="I9" i="153"/>
  <c r="N9" i="153"/>
  <c r="H9" i="153"/>
  <c r="M9" i="153"/>
  <c r="Q9" i="153" s="1"/>
  <c r="G9" i="153"/>
  <c r="J9" i="153"/>
  <c r="F9" i="153"/>
  <c r="P9" i="153"/>
  <c r="L9" i="153"/>
  <c r="K9" i="153"/>
  <c r="R30" i="153"/>
  <c r="D109" i="153"/>
  <c r="P17" i="153"/>
  <c r="J17" i="153"/>
  <c r="O17" i="153"/>
  <c r="I17" i="153"/>
  <c r="N17" i="153"/>
  <c r="H17" i="153"/>
  <c r="R17" i="153" s="1"/>
  <c r="K17" i="153"/>
  <c r="G17" i="153"/>
  <c r="M17" i="153"/>
  <c r="L17" i="153"/>
  <c r="F17" i="153"/>
  <c r="Q17" i="153" s="1"/>
  <c r="N27" i="153"/>
  <c r="H27" i="153"/>
  <c r="M27" i="153"/>
  <c r="G27" i="153"/>
  <c r="G37" i="153" s="1"/>
  <c r="L27" i="153"/>
  <c r="F27" i="153"/>
  <c r="I27" i="153"/>
  <c r="O27" i="153"/>
  <c r="K27" i="153"/>
  <c r="Q27" i="153"/>
  <c r="R27" i="153" s="1"/>
  <c r="P27" i="153"/>
  <c r="J27" i="153"/>
  <c r="M51" i="153"/>
  <c r="G51" i="153"/>
  <c r="J51" i="153"/>
  <c r="I51" i="153"/>
  <c r="H51" i="153"/>
  <c r="F51" i="153"/>
  <c r="O51" i="153" s="1"/>
  <c r="N51" i="153"/>
  <c r="L51" i="153"/>
  <c r="K51" i="153"/>
  <c r="M65" i="153"/>
  <c r="G65" i="153"/>
  <c r="J65" i="153"/>
  <c r="I65" i="153"/>
  <c r="H65" i="153"/>
  <c r="F65" i="153"/>
  <c r="N65" i="153"/>
  <c r="L65" i="153"/>
  <c r="K65" i="153"/>
  <c r="O65" i="153" s="1"/>
  <c r="L16" i="153"/>
  <c r="F16" i="153"/>
  <c r="K16" i="153"/>
  <c r="Q16" i="153" s="1"/>
  <c r="P16" i="153"/>
  <c r="J16" i="153"/>
  <c r="G16" i="153"/>
  <c r="I16" i="153"/>
  <c r="O16" i="153"/>
  <c r="N16" i="153"/>
  <c r="M16" i="153"/>
  <c r="H16" i="153"/>
  <c r="F36" i="153"/>
  <c r="L36" i="153"/>
  <c r="R36" i="153" s="1"/>
  <c r="J75" i="153"/>
  <c r="O75" i="153" s="1"/>
  <c r="M75" i="153"/>
  <c r="G75" i="153"/>
  <c r="L75" i="153"/>
  <c r="F75" i="153"/>
  <c r="N75" i="153"/>
  <c r="K75" i="153"/>
  <c r="I75" i="153"/>
  <c r="H75" i="153"/>
  <c r="O59" i="153"/>
  <c r="I59" i="153"/>
  <c r="L59" i="153"/>
  <c r="F59" i="153"/>
  <c r="K59" i="153"/>
  <c r="J59" i="153"/>
  <c r="H59" i="153"/>
  <c r="Q59" i="153" s="1"/>
  <c r="R59" i="153" s="1"/>
  <c r="G59" i="153"/>
  <c r="P59" i="153"/>
  <c r="N59" i="153"/>
  <c r="M59" i="153"/>
  <c r="F81" i="153"/>
  <c r="R81" i="153"/>
  <c r="F80" i="153"/>
  <c r="R80" i="153" s="1"/>
  <c r="F69" i="153"/>
  <c r="L69" i="153" s="1"/>
  <c r="M4" i="153"/>
  <c r="G4" i="153"/>
  <c r="L4" i="153"/>
  <c r="F4" i="153"/>
  <c r="R4" i="153" s="1"/>
  <c r="P4" i="153"/>
  <c r="P25" i="153" s="1"/>
  <c r="K4" i="153"/>
  <c r="J4" i="153"/>
  <c r="J25" i="153" s="1"/>
  <c r="N4" i="153"/>
  <c r="I4" i="153"/>
  <c r="O4" i="153"/>
  <c r="H4" i="153"/>
  <c r="Q4" i="153" s="1"/>
  <c r="R43" i="153"/>
  <c r="K5" i="153"/>
  <c r="P5" i="153"/>
  <c r="J5" i="153"/>
  <c r="N5" i="153"/>
  <c r="N25" i="153" s="1"/>
  <c r="O5" i="153"/>
  <c r="I5" i="153"/>
  <c r="Q5" i="153" s="1"/>
  <c r="H5" i="153"/>
  <c r="G5" i="153"/>
  <c r="M5" i="153"/>
  <c r="F5" i="153"/>
  <c r="L5" i="153"/>
  <c r="L25" i="153" s="1"/>
  <c r="M52" i="153"/>
  <c r="G52" i="153"/>
  <c r="J52" i="153"/>
  <c r="I52" i="153"/>
  <c r="H52" i="153"/>
  <c r="F52" i="153"/>
  <c r="N52" i="153"/>
  <c r="L52" i="153"/>
  <c r="K52" i="153"/>
  <c r="L28" i="153"/>
  <c r="F28" i="153"/>
  <c r="K28" i="153"/>
  <c r="P28" i="153"/>
  <c r="J28" i="153"/>
  <c r="G28" i="153"/>
  <c r="I28" i="153"/>
  <c r="O28" i="153"/>
  <c r="M28" i="153"/>
  <c r="N28" i="153"/>
  <c r="H28" i="153"/>
  <c r="J92" i="153"/>
  <c r="G92" i="153"/>
  <c r="L92" i="153"/>
  <c r="F92" i="153"/>
  <c r="M92" i="153" s="1"/>
  <c r="I92" i="153"/>
  <c r="H92" i="153"/>
  <c r="K92" i="153"/>
  <c r="F89" i="153"/>
  <c r="L89" i="153" s="1"/>
  <c r="R89" i="153" s="1"/>
  <c r="M7" i="153"/>
  <c r="G7" i="153"/>
  <c r="Q7" i="153" s="1"/>
  <c r="L7" i="153"/>
  <c r="F7" i="153"/>
  <c r="K7" i="153"/>
  <c r="K25" i="153" s="1"/>
  <c r="N7" i="153"/>
  <c r="J7" i="153"/>
  <c r="I7" i="153"/>
  <c r="H7" i="153"/>
  <c r="O7" i="153"/>
  <c r="P7" i="153"/>
  <c r="R67" i="153"/>
  <c r="H67" i="153"/>
  <c r="F68" i="153"/>
  <c r="R68" i="153" s="1"/>
  <c r="Q6" i="153"/>
  <c r="R6" i="153" s="1"/>
  <c r="M10" i="153"/>
  <c r="G10" i="153"/>
  <c r="L10" i="153"/>
  <c r="F10" i="153"/>
  <c r="K10" i="153"/>
  <c r="H10" i="153"/>
  <c r="P10" i="153"/>
  <c r="N10" i="153"/>
  <c r="O10" i="153"/>
  <c r="I10" i="153"/>
  <c r="Q10" i="153" s="1"/>
  <c r="J10" i="153"/>
  <c r="M54" i="153"/>
  <c r="G54" i="153"/>
  <c r="P54" i="153"/>
  <c r="J54" i="153"/>
  <c r="O54" i="153"/>
  <c r="I54" i="153"/>
  <c r="H54" i="153"/>
  <c r="F54" i="153"/>
  <c r="N54" i="153"/>
  <c r="Q54" i="153" s="1"/>
  <c r="L54" i="153"/>
  <c r="K54" i="153"/>
  <c r="D76" i="153"/>
  <c r="F71" i="153"/>
  <c r="R71" i="153" s="1"/>
  <c r="J72" i="153"/>
  <c r="M72" i="153"/>
  <c r="G72" i="153"/>
  <c r="G76" i="153" s="1"/>
  <c r="L72" i="153"/>
  <c r="L76" i="153" s="1"/>
  <c r="F72" i="153"/>
  <c r="O72" i="153"/>
  <c r="R72" i="153" s="1"/>
  <c r="N72" i="153"/>
  <c r="K72" i="153"/>
  <c r="I72" i="153"/>
  <c r="I76" i="153" s="1"/>
  <c r="H72" i="153"/>
  <c r="H76" i="153" s="1"/>
  <c r="I42" i="153"/>
  <c r="I45" i="153" s="1"/>
  <c r="D45" i="153"/>
  <c r="I62" i="153"/>
  <c r="H94" i="153"/>
  <c r="O94" i="153" s="1"/>
  <c r="R94" i="153" s="1"/>
  <c r="R12" i="153"/>
  <c r="F25" i="153"/>
  <c r="O25" i="153"/>
  <c r="R63" i="153"/>
  <c r="F63" i="153"/>
  <c r="D37" i="153"/>
  <c r="P26" i="153"/>
  <c r="I26" i="153"/>
  <c r="I37" i="153" s="1"/>
  <c r="O26" i="153"/>
  <c r="H26" i="153"/>
  <c r="N26" i="153"/>
  <c r="F26" i="153"/>
  <c r="J26" i="153"/>
  <c r="M26" i="153"/>
  <c r="M37" i="153" s="1"/>
  <c r="K26" i="153"/>
  <c r="M66" i="153"/>
  <c r="G66" i="153"/>
  <c r="J66" i="153"/>
  <c r="I66" i="153"/>
  <c r="H66" i="153"/>
  <c r="F66" i="153"/>
  <c r="O66" i="153" s="1"/>
  <c r="N66" i="153"/>
  <c r="L66" i="153"/>
  <c r="K66" i="153"/>
  <c r="P61" i="153"/>
  <c r="J61" i="153"/>
  <c r="M61" i="153"/>
  <c r="G61" i="153"/>
  <c r="Q61" i="153" s="1"/>
  <c r="L61" i="153"/>
  <c r="F61" i="153"/>
  <c r="O61" i="153"/>
  <c r="N61" i="153"/>
  <c r="K61" i="153"/>
  <c r="R61" i="153" s="1"/>
  <c r="I61" i="153"/>
  <c r="H61" i="153"/>
  <c r="F82" i="153"/>
  <c r="R82" i="153" s="1"/>
  <c r="D47" i="153"/>
  <c r="K46" i="153"/>
  <c r="K47" i="153" s="1"/>
  <c r="F46" i="153"/>
  <c r="F47" i="153" s="1"/>
  <c r="N46" i="153"/>
  <c r="N47" i="153" s="1"/>
  <c r="M53" i="153"/>
  <c r="G53" i="153"/>
  <c r="J53" i="153"/>
  <c r="I53" i="153"/>
  <c r="H53" i="153"/>
  <c r="F53" i="153"/>
  <c r="N53" i="153"/>
  <c r="L53" i="153"/>
  <c r="K53" i="153"/>
  <c r="L31" i="153"/>
  <c r="F31" i="153"/>
  <c r="Q31" i="153" s="1"/>
  <c r="K31" i="153"/>
  <c r="P31" i="153"/>
  <c r="J31" i="153"/>
  <c r="M31" i="153"/>
  <c r="O31" i="153"/>
  <c r="I31" i="153"/>
  <c r="G31" i="153"/>
  <c r="H31" i="153"/>
  <c r="N31" i="153"/>
  <c r="L33" i="153"/>
  <c r="K33" i="153"/>
  <c r="I33" i="153"/>
  <c r="P33" i="153"/>
  <c r="H33" i="153"/>
  <c r="O33" i="153"/>
  <c r="G33" i="153"/>
  <c r="J33" i="153"/>
  <c r="F33" i="153"/>
  <c r="Q33" i="153" s="1"/>
  <c r="N33" i="153"/>
  <c r="M33" i="153"/>
  <c r="M25" i="153"/>
  <c r="M48" i="153" s="1"/>
  <c r="M49" i="153"/>
  <c r="G49" i="153"/>
  <c r="J49" i="153"/>
  <c r="D70" i="153"/>
  <c r="I49" i="153"/>
  <c r="H49" i="153"/>
  <c r="F49" i="153"/>
  <c r="N49" i="153"/>
  <c r="L49" i="153"/>
  <c r="K49" i="153"/>
  <c r="K70" i="153" s="1"/>
  <c r="R60" i="153"/>
  <c r="F60" i="153"/>
  <c r="D93" i="153"/>
  <c r="K8" i="153"/>
  <c r="P8" i="153"/>
  <c r="J8" i="153"/>
  <c r="O8" i="153"/>
  <c r="I8" i="153"/>
  <c r="L8" i="153"/>
  <c r="H8" i="153"/>
  <c r="Q8" i="153" s="1"/>
  <c r="R8" i="153" s="1"/>
  <c r="G8" i="153"/>
  <c r="F8" i="153"/>
  <c r="N8" i="153"/>
  <c r="M8" i="153"/>
  <c r="J73" i="153"/>
  <c r="O73" i="153" s="1"/>
  <c r="M73" i="153"/>
  <c r="G73" i="153"/>
  <c r="L73" i="153"/>
  <c r="F73" i="153"/>
  <c r="N73" i="153"/>
  <c r="K73" i="153"/>
  <c r="I73" i="153"/>
  <c r="H73" i="153"/>
  <c r="L44" i="153"/>
  <c r="L45" i="153" s="1"/>
  <c r="R44" i="153"/>
  <c r="H77" i="153"/>
  <c r="N77" i="153" s="1"/>
  <c r="R77" i="153" s="1"/>
  <c r="K55" i="153"/>
  <c r="N55" i="153"/>
  <c r="H55" i="153"/>
  <c r="M55" i="153"/>
  <c r="G55" i="153"/>
  <c r="F55" i="153"/>
  <c r="Q55" i="153" s="1"/>
  <c r="P55" i="153"/>
  <c r="O55" i="153"/>
  <c r="L55" i="153"/>
  <c r="J55" i="153"/>
  <c r="I55" i="153"/>
  <c r="L88" i="153"/>
  <c r="Q3" i="153"/>
  <c r="R3" i="153"/>
  <c r="K6" i="152"/>
  <c r="I6" i="152"/>
  <c r="H6" i="152"/>
  <c r="P6" i="152"/>
  <c r="J6" i="152"/>
  <c r="M6" i="152"/>
  <c r="G6" i="152"/>
  <c r="N6" i="152"/>
  <c r="L6" i="152"/>
  <c r="F6" i="152"/>
  <c r="Q6" i="152" s="1"/>
  <c r="O6" i="152"/>
  <c r="H77" i="152"/>
  <c r="O7" i="152"/>
  <c r="I7" i="152"/>
  <c r="G7" i="152"/>
  <c r="F7" i="152"/>
  <c r="Q7" i="152" s="1"/>
  <c r="N7" i="152"/>
  <c r="H7" i="152"/>
  <c r="K7" i="152"/>
  <c r="L7" i="152"/>
  <c r="P7" i="152"/>
  <c r="J7" i="152"/>
  <c r="M7" i="152"/>
  <c r="P29" i="152"/>
  <c r="J29" i="152"/>
  <c r="O29" i="152"/>
  <c r="I29" i="152"/>
  <c r="L29" i="152"/>
  <c r="F29" i="152"/>
  <c r="Q29" i="152" s="1"/>
  <c r="K29" i="152"/>
  <c r="H29" i="152"/>
  <c r="G29" i="152"/>
  <c r="N29" i="152"/>
  <c r="M29" i="152"/>
  <c r="F81" i="152"/>
  <c r="R81" i="152" s="1"/>
  <c r="F68" i="152"/>
  <c r="R68" i="152" s="1"/>
  <c r="L49" i="152"/>
  <c r="F49" i="152"/>
  <c r="K49" i="152"/>
  <c r="G49" i="152"/>
  <c r="N49" i="152"/>
  <c r="I49" i="152"/>
  <c r="H49" i="152"/>
  <c r="D70" i="152"/>
  <c r="M49" i="152"/>
  <c r="J49" i="152"/>
  <c r="L57" i="152"/>
  <c r="F57" i="152"/>
  <c r="K57" i="152"/>
  <c r="M57" i="152"/>
  <c r="J57" i="152"/>
  <c r="O57" i="152"/>
  <c r="G57" i="152"/>
  <c r="N57" i="152"/>
  <c r="I57" i="152"/>
  <c r="H57" i="152"/>
  <c r="P57" i="152"/>
  <c r="F69" i="152"/>
  <c r="L69" i="152" s="1"/>
  <c r="R69" i="152" s="1"/>
  <c r="D109" i="152"/>
  <c r="N27" i="152"/>
  <c r="H27" i="152"/>
  <c r="M27" i="152"/>
  <c r="G27" i="152"/>
  <c r="P27" i="152"/>
  <c r="J27" i="152"/>
  <c r="O27" i="152"/>
  <c r="I27" i="152"/>
  <c r="F27" i="152"/>
  <c r="K27" i="152"/>
  <c r="L27" i="152"/>
  <c r="N30" i="152"/>
  <c r="H30" i="152"/>
  <c r="M30" i="152"/>
  <c r="G30" i="152"/>
  <c r="Q30" i="152" s="1"/>
  <c r="P30" i="152"/>
  <c r="J30" i="152"/>
  <c r="O30" i="152"/>
  <c r="I30" i="152"/>
  <c r="L30" i="152"/>
  <c r="K30" i="152"/>
  <c r="F30" i="152"/>
  <c r="D25" i="152"/>
  <c r="K3" i="152"/>
  <c r="H3" i="152"/>
  <c r="P3" i="152"/>
  <c r="J3" i="152"/>
  <c r="M3" i="152"/>
  <c r="G3" i="152"/>
  <c r="I3" i="152"/>
  <c r="N3" i="152"/>
  <c r="L3" i="152"/>
  <c r="F3" i="152"/>
  <c r="O3" i="152"/>
  <c r="I72" i="152"/>
  <c r="N72" i="152"/>
  <c r="H72" i="152"/>
  <c r="J72" i="152"/>
  <c r="G72" i="152"/>
  <c r="L72" i="152"/>
  <c r="K72" i="152"/>
  <c r="F72" i="152"/>
  <c r="M72" i="152"/>
  <c r="O4" i="152"/>
  <c r="I4" i="152"/>
  <c r="F4" i="152"/>
  <c r="Q4" i="152" s="1"/>
  <c r="N4" i="152"/>
  <c r="H4" i="152"/>
  <c r="K4" i="152"/>
  <c r="G4" i="152"/>
  <c r="P4" i="152"/>
  <c r="J4" i="152"/>
  <c r="M4" i="152"/>
  <c r="L4" i="152"/>
  <c r="O32" i="152"/>
  <c r="J32" i="152"/>
  <c r="P32" i="152"/>
  <c r="I32" i="152"/>
  <c r="L32" i="152"/>
  <c r="F32" i="152"/>
  <c r="Q32" i="152" s="1"/>
  <c r="K32" i="152"/>
  <c r="H32" i="152"/>
  <c r="N32" i="152"/>
  <c r="G32" i="152"/>
  <c r="M32" i="152"/>
  <c r="D92" i="152"/>
  <c r="L14" i="152"/>
  <c r="F14" i="152"/>
  <c r="K14" i="152"/>
  <c r="N14" i="152"/>
  <c r="H14" i="152"/>
  <c r="R14" i="152" s="1"/>
  <c r="M14" i="152"/>
  <c r="G14" i="152"/>
  <c r="O14" i="152"/>
  <c r="J14" i="152"/>
  <c r="Q14" i="152" s="1"/>
  <c r="I14" i="152"/>
  <c r="P14" i="152"/>
  <c r="I73" i="152"/>
  <c r="N73" i="152"/>
  <c r="H73" i="152"/>
  <c r="F73" i="152"/>
  <c r="M73" i="152"/>
  <c r="J73" i="152"/>
  <c r="G73" i="152"/>
  <c r="O73" i="152" s="1"/>
  <c r="L73" i="152"/>
  <c r="K73" i="152"/>
  <c r="L50" i="152"/>
  <c r="F50" i="152"/>
  <c r="O50" i="152" s="1"/>
  <c r="R50" i="152" s="1"/>
  <c r="K50" i="152"/>
  <c r="M50" i="152"/>
  <c r="J50" i="152"/>
  <c r="G50" i="152"/>
  <c r="N50" i="152"/>
  <c r="I50" i="152"/>
  <c r="H50" i="152"/>
  <c r="F60" i="152"/>
  <c r="R60" i="152"/>
  <c r="F71" i="152"/>
  <c r="F76" i="152" s="1"/>
  <c r="D76" i="152"/>
  <c r="R71" i="152"/>
  <c r="N13" i="152"/>
  <c r="H13" i="152"/>
  <c r="M13" i="152"/>
  <c r="G13" i="152"/>
  <c r="P13" i="152"/>
  <c r="J13" i="152"/>
  <c r="Q13" i="152" s="1"/>
  <c r="O13" i="152"/>
  <c r="I13" i="152"/>
  <c r="F13" i="152"/>
  <c r="L13" i="152"/>
  <c r="K13" i="152"/>
  <c r="P26" i="152"/>
  <c r="I26" i="152"/>
  <c r="D37" i="152"/>
  <c r="O26" i="152"/>
  <c r="H26" i="152"/>
  <c r="K26" i="152"/>
  <c r="J26" i="152"/>
  <c r="N26" i="152"/>
  <c r="M26" i="152"/>
  <c r="F26" i="152"/>
  <c r="Q26" i="152" s="1"/>
  <c r="M33" i="152"/>
  <c r="G33" i="152"/>
  <c r="J33" i="152"/>
  <c r="P33" i="152"/>
  <c r="I33" i="152"/>
  <c r="L33" i="152"/>
  <c r="K33" i="152"/>
  <c r="H33" i="152"/>
  <c r="F33" i="152"/>
  <c r="Q33" i="152" s="1"/>
  <c r="O33" i="152"/>
  <c r="N33" i="152"/>
  <c r="O94" i="152"/>
  <c r="R94" i="152" s="1"/>
  <c r="H94" i="152"/>
  <c r="L24" i="152"/>
  <c r="R24" i="152" s="1"/>
  <c r="F24" i="152"/>
  <c r="N46" i="152"/>
  <c r="N47" i="152" s="1"/>
  <c r="D47" i="152"/>
  <c r="K46" i="152"/>
  <c r="K47" i="152" s="1"/>
  <c r="F46" i="152"/>
  <c r="F47" i="152" s="1"/>
  <c r="M8" i="152"/>
  <c r="G8" i="152"/>
  <c r="P8" i="152"/>
  <c r="L8" i="152"/>
  <c r="F8" i="152"/>
  <c r="O8" i="152"/>
  <c r="I8" i="152"/>
  <c r="J8" i="152"/>
  <c r="N8" i="152"/>
  <c r="H8" i="152"/>
  <c r="Q8" i="152" s="1"/>
  <c r="K8" i="152"/>
  <c r="F11" i="152"/>
  <c r="R11" i="152" s="1"/>
  <c r="N59" i="152"/>
  <c r="H59" i="152"/>
  <c r="M59" i="152"/>
  <c r="G59" i="152"/>
  <c r="K59" i="152"/>
  <c r="J59" i="152"/>
  <c r="O59" i="152"/>
  <c r="L59" i="152"/>
  <c r="P59" i="152"/>
  <c r="I59" i="152"/>
  <c r="F59" i="152"/>
  <c r="P55" i="152"/>
  <c r="J55" i="152"/>
  <c r="O55" i="152"/>
  <c r="I55" i="152"/>
  <c r="M55" i="152"/>
  <c r="L55" i="152"/>
  <c r="G55" i="152"/>
  <c r="N55" i="152"/>
  <c r="F55" i="152"/>
  <c r="K55" i="152"/>
  <c r="H55" i="152"/>
  <c r="L65" i="152"/>
  <c r="F65" i="152"/>
  <c r="K65" i="152"/>
  <c r="G65" i="152"/>
  <c r="N65" i="152"/>
  <c r="I65" i="152"/>
  <c r="O65" i="152" s="1"/>
  <c r="H65" i="152"/>
  <c r="R65" i="152" s="1"/>
  <c r="M65" i="152"/>
  <c r="J65" i="152"/>
  <c r="D93" i="152"/>
  <c r="D45" i="152"/>
  <c r="I42" i="152"/>
  <c r="I45" i="152" s="1"/>
  <c r="M5" i="152"/>
  <c r="G5" i="152"/>
  <c r="J5" i="152"/>
  <c r="L5" i="152"/>
  <c r="F5" i="152"/>
  <c r="O5" i="152"/>
  <c r="I5" i="152"/>
  <c r="P5" i="152"/>
  <c r="N5" i="152"/>
  <c r="H5" i="152"/>
  <c r="K5" i="152"/>
  <c r="F15" i="152"/>
  <c r="L15" i="152"/>
  <c r="R15" i="152" s="1"/>
  <c r="F63" i="152"/>
  <c r="R63" i="152"/>
  <c r="R82" i="152"/>
  <c r="F82" i="152"/>
  <c r="L31" i="152"/>
  <c r="F31" i="152"/>
  <c r="K31" i="152"/>
  <c r="N31" i="152"/>
  <c r="H31" i="152"/>
  <c r="M31" i="152"/>
  <c r="G31" i="152"/>
  <c r="P31" i="152"/>
  <c r="O31" i="152"/>
  <c r="J31" i="152"/>
  <c r="I31" i="152"/>
  <c r="L53" i="152"/>
  <c r="F53" i="152"/>
  <c r="K53" i="152"/>
  <c r="M53" i="152"/>
  <c r="J53" i="152"/>
  <c r="O53" i="152"/>
  <c r="R53" i="152" s="1"/>
  <c r="G53" i="152"/>
  <c r="N53" i="152"/>
  <c r="I53" i="152"/>
  <c r="H53" i="152"/>
  <c r="L66" i="152"/>
  <c r="F66" i="152"/>
  <c r="K66" i="152"/>
  <c r="M66" i="152"/>
  <c r="J66" i="152"/>
  <c r="G66" i="152"/>
  <c r="N66" i="152"/>
  <c r="I66" i="152"/>
  <c r="H66" i="152"/>
  <c r="F43" i="152"/>
  <c r="F45" i="152" s="1"/>
  <c r="N56" i="152"/>
  <c r="H56" i="152"/>
  <c r="M56" i="152"/>
  <c r="G56" i="152"/>
  <c r="I56" i="152"/>
  <c r="Q56" i="152" s="1"/>
  <c r="P56" i="152"/>
  <c r="F56" i="152"/>
  <c r="R56" i="152" s="1"/>
  <c r="K56" i="152"/>
  <c r="J56" i="152"/>
  <c r="O56" i="152"/>
  <c r="L56" i="152"/>
  <c r="P58" i="152"/>
  <c r="J58" i="152"/>
  <c r="O58" i="152"/>
  <c r="I58" i="152"/>
  <c r="G58" i="152"/>
  <c r="Q58" i="152" s="1"/>
  <c r="R58" i="152" s="1"/>
  <c r="N58" i="152"/>
  <c r="F58" i="152"/>
  <c r="K58" i="152"/>
  <c r="H58" i="152"/>
  <c r="M58" i="152"/>
  <c r="L58" i="152"/>
  <c r="L44" i="152"/>
  <c r="L45" i="152" s="1"/>
  <c r="L16" i="152"/>
  <c r="F16" i="152"/>
  <c r="K16" i="152"/>
  <c r="N16" i="152"/>
  <c r="H16" i="152"/>
  <c r="Q16" i="152" s="1"/>
  <c r="M16" i="152"/>
  <c r="G16" i="152"/>
  <c r="P16" i="152"/>
  <c r="J16" i="152"/>
  <c r="O16" i="152"/>
  <c r="I16" i="152"/>
  <c r="L51" i="152"/>
  <c r="F51" i="152"/>
  <c r="K51" i="152"/>
  <c r="I51" i="152"/>
  <c r="H51" i="152"/>
  <c r="M51" i="152"/>
  <c r="J51" i="152"/>
  <c r="N51" i="152"/>
  <c r="G51" i="152"/>
  <c r="O51" i="152" s="1"/>
  <c r="L64" i="152"/>
  <c r="F64" i="152"/>
  <c r="K64" i="152"/>
  <c r="I64" i="152"/>
  <c r="H64" i="152"/>
  <c r="M64" i="152"/>
  <c r="J64" i="152"/>
  <c r="G64" i="152"/>
  <c r="O64" i="152" s="1"/>
  <c r="N64" i="152"/>
  <c r="N12" i="152"/>
  <c r="M12" i="152"/>
  <c r="J12" i="152"/>
  <c r="I12" i="152"/>
  <c r="L12" i="152"/>
  <c r="K12" i="152"/>
  <c r="F12" i="152"/>
  <c r="G12" i="152"/>
  <c r="H12" i="152"/>
  <c r="O12" i="152" s="1"/>
  <c r="F80" i="152"/>
  <c r="R80" i="152" s="1"/>
  <c r="O61" i="152"/>
  <c r="R61" i="152" s="1"/>
  <c r="I61" i="152"/>
  <c r="N61" i="152"/>
  <c r="H61" i="152"/>
  <c r="L61" i="152"/>
  <c r="K61" i="152"/>
  <c r="P61" i="152"/>
  <c r="F61" i="152"/>
  <c r="M61" i="152"/>
  <c r="J61" i="152"/>
  <c r="G61" i="152"/>
  <c r="Q61" i="152"/>
  <c r="L28" i="152"/>
  <c r="F28" i="152"/>
  <c r="Q28" i="152" s="1"/>
  <c r="K28" i="152"/>
  <c r="N28" i="152"/>
  <c r="H28" i="152"/>
  <c r="M28" i="152"/>
  <c r="G28" i="152"/>
  <c r="P28" i="152"/>
  <c r="J28" i="152"/>
  <c r="I28" i="152"/>
  <c r="O28" i="152"/>
  <c r="L52" i="152"/>
  <c r="F52" i="152"/>
  <c r="K52" i="152"/>
  <c r="G52" i="152"/>
  <c r="N52" i="152"/>
  <c r="I52" i="152"/>
  <c r="H52" i="152"/>
  <c r="M52" i="152"/>
  <c r="J52" i="152"/>
  <c r="Q90" i="152"/>
  <c r="L90" i="152" s="1"/>
  <c r="R90" i="152" s="1"/>
  <c r="K9" i="152"/>
  <c r="O9" i="152"/>
  <c r="N9" i="152"/>
  <c r="P9" i="152"/>
  <c r="J9" i="152"/>
  <c r="M9" i="152"/>
  <c r="G9" i="152"/>
  <c r="H9" i="152"/>
  <c r="L9" i="152"/>
  <c r="F9" i="152"/>
  <c r="Q9" i="152" s="1"/>
  <c r="I9" i="152"/>
  <c r="O10" i="152"/>
  <c r="I10" i="152"/>
  <c r="M10" i="152"/>
  <c r="L10" i="152"/>
  <c r="N10" i="152"/>
  <c r="H10" i="152"/>
  <c r="K10" i="152"/>
  <c r="F10" i="152"/>
  <c r="R10" i="152" s="1"/>
  <c r="P10" i="152"/>
  <c r="J10" i="152"/>
  <c r="G10" i="152"/>
  <c r="Q10" i="152" s="1"/>
  <c r="P17" i="152"/>
  <c r="J17" i="152"/>
  <c r="O17" i="152"/>
  <c r="I17" i="152"/>
  <c r="L17" i="152"/>
  <c r="F17" i="152"/>
  <c r="K17" i="152"/>
  <c r="H17" i="152"/>
  <c r="G17" i="152"/>
  <c r="N17" i="152"/>
  <c r="M17" i="152"/>
  <c r="I74" i="152"/>
  <c r="N74" i="152"/>
  <c r="H74" i="152"/>
  <c r="L74" i="152"/>
  <c r="K74" i="152"/>
  <c r="F74" i="152"/>
  <c r="O74" i="152" s="1"/>
  <c r="M74" i="152"/>
  <c r="J74" i="152"/>
  <c r="G74" i="152"/>
  <c r="F89" i="152"/>
  <c r="L89" i="152" s="1"/>
  <c r="R89" i="152" s="1"/>
  <c r="N62" i="152"/>
  <c r="I62" i="152"/>
  <c r="R62" i="152"/>
  <c r="F36" i="152"/>
  <c r="L54" i="152"/>
  <c r="F54" i="152"/>
  <c r="K54" i="152"/>
  <c r="I54" i="152"/>
  <c r="P54" i="152"/>
  <c r="H54" i="152"/>
  <c r="M54" i="152"/>
  <c r="J54" i="152"/>
  <c r="Q54" i="152" s="1"/>
  <c r="O54" i="152"/>
  <c r="N54" i="152"/>
  <c r="G54" i="152"/>
  <c r="H67" i="152"/>
  <c r="R67" i="152"/>
  <c r="F88" i="152"/>
  <c r="L88" i="152" s="1"/>
  <c r="D87" i="152"/>
  <c r="I75" i="152"/>
  <c r="N75" i="152"/>
  <c r="H75" i="152"/>
  <c r="J75" i="152"/>
  <c r="G75" i="152"/>
  <c r="L75" i="152"/>
  <c r="K75" i="152"/>
  <c r="F75" i="152"/>
  <c r="O75" i="152" s="1"/>
  <c r="M75" i="152"/>
  <c r="R79" i="152"/>
  <c r="L44" i="151"/>
  <c r="L45" i="151" s="1"/>
  <c r="K9" i="151"/>
  <c r="Q9" i="151" s="1"/>
  <c r="P9" i="151"/>
  <c r="J9" i="151"/>
  <c r="O9" i="151"/>
  <c r="I9" i="151"/>
  <c r="M9" i="151"/>
  <c r="L9" i="151"/>
  <c r="G9" i="151"/>
  <c r="H9" i="151"/>
  <c r="F9" i="151"/>
  <c r="R9" i="151" s="1"/>
  <c r="N9" i="151"/>
  <c r="K49" i="151"/>
  <c r="M49" i="151"/>
  <c r="F49" i="151"/>
  <c r="L49" i="151"/>
  <c r="I49" i="151"/>
  <c r="D70" i="151"/>
  <c r="N49" i="151"/>
  <c r="J49" i="151"/>
  <c r="G49" i="151"/>
  <c r="H49" i="151"/>
  <c r="O7" i="151"/>
  <c r="Q7" i="151" s="1"/>
  <c r="R7" i="151" s="1"/>
  <c r="I7" i="151"/>
  <c r="N7" i="151"/>
  <c r="H7" i="151"/>
  <c r="M7" i="151"/>
  <c r="G7" i="151"/>
  <c r="P7" i="151"/>
  <c r="K7" i="151"/>
  <c r="L7" i="151"/>
  <c r="F7" i="151"/>
  <c r="J7" i="151"/>
  <c r="L28" i="151"/>
  <c r="F28" i="151"/>
  <c r="O28" i="151"/>
  <c r="I28" i="151"/>
  <c r="J28" i="151"/>
  <c r="H28" i="151"/>
  <c r="P28" i="151"/>
  <c r="G28" i="151"/>
  <c r="N28" i="151"/>
  <c r="M28" i="151"/>
  <c r="K28" i="151"/>
  <c r="F11" i="151"/>
  <c r="R11" i="151" s="1"/>
  <c r="L17" i="151"/>
  <c r="F17" i="151"/>
  <c r="K17" i="151"/>
  <c r="P17" i="151"/>
  <c r="J17" i="151"/>
  <c r="O17" i="151"/>
  <c r="I17" i="151"/>
  <c r="M17" i="151"/>
  <c r="H17" i="151"/>
  <c r="G17" i="151"/>
  <c r="Q17" i="151" s="1"/>
  <c r="N17" i="151"/>
  <c r="P29" i="151"/>
  <c r="J29" i="151"/>
  <c r="M29" i="151"/>
  <c r="G29" i="151"/>
  <c r="N29" i="151"/>
  <c r="L29" i="151"/>
  <c r="K29" i="151"/>
  <c r="I29" i="151"/>
  <c r="F29" i="151"/>
  <c r="O29" i="151"/>
  <c r="H29" i="151"/>
  <c r="Q29" i="151" s="1"/>
  <c r="I42" i="151"/>
  <c r="I45" i="151" s="1"/>
  <c r="D45" i="151"/>
  <c r="N46" i="151"/>
  <c r="N47" i="151" s="1"/>
  <c r="K46" i="151"/>
  <c r="K47" i="151" s="1"/>
  <c r="F46" i="151"/>
  <c r="F47" i="151" s="1"/>
  <c r="D47" i="151"/>
  <c r="F89" i="151"/>
  <c r="K50" i="151"/>
  <c r="H50" i="151"/>
  <c r="N50" i="151"/>
  <c r="G50" i="151"/>
  <c r="L50" i="151"/>
  <c r="F50" i="151"/>
  <c r="O50" i="151" s="1"/>
  <c r="M50" i="151"/>
  <c r="J50" i="151"/>
  <c r="I50" i="151"/>
  <c r="F60" i="151"/>
  <c r="R60" i="151"/>
  <c r="F71" i="151"/>
  <c r="D76" i="151"/>
  <c r="N14" i="151"/>
  <c r="H14" i="151"/>
  <c r="M14" i="151"/>
  <c r="G14" i="151"/>
  <c r="L14" i="151"/>
  <c r="F14" i="151"/>
  <c r="K14" i="151"/>
  <c r="Q14" i="151" s="1"/>
  <c r="I14" i="151"/>
  <c r="P14" i="151"/>
  <c r="J14" i="151"/>
  <c r="O14" i="151"/>
  <c r="N27" i="151"/>
  <c r="H27" i="151"/>
  <c r="K27" i="151"/>
  <c r="O27" i="151"/>
  <c r="F27" i="151"/>
  <c r="Q27" i="151" s="1"/>
  <c r="M27" i="151"/>
  <c r="L27" i="151"/>
  <c r="J27" i="151"/>
  <c r="G27" i="151"/>
  <c r="I27" i="151"/>
  <c r="P27" i="151"/>
  <c r="F24" i="151"/>
  <c r="L24" i="151" s="1"/>
  <c r="R24" i="151" s="1"/>
  <c r="M8" i="151"/>
  <c r="G8" i="151"/>
  <c r="Q8" i="151" s="1"/>
  <c r="L8" i="151"/>
  <c r="F8" i="151"/>
  <c r="K8" i="151"/>
  <c r="O8" i="151"/>
  <c r="N8" i="151"/>
  <c r="J8" i="151"/>
  <c r="I8" i="151"/>
  <c r="H8" i="151"/>
  <c r="P8" i="151"/>
  <c r="F69" i="151"/>
  <c r="L69" i="151" s="1"/>
  <c r="I62" i="151"/>
  <c r="N62" i="151"/>
  <c r="R62" i="151"/>
  <c r="F68" i="151"/>
  <c r="R68" i="151" s="1"/>
  <c r="O32" i="151"/>
  <c r="J32" i="151"/>
  <c r="M32" i="151"/>
  <c r="G32" i="151"/>
  <c r="H32" i="151"/>
  <c r="R32" i="151" s="1"/>
  <c r="P32" i="151"/>
  <c r="F32" i="151"/>
  <c r="Q32" i="151" s="1"/>
  <c r="N32" i="151"/>
  <c r="L32" i="151"/>
  <c r="K32" i="151"/>
  <c r="I32" i="151"/>
  <c r="N74" i="151"/>
  <c r="H74" i="151"/>
  <c r="J74" i="151"/>
  <c r="I74" i="151"/>
  <c r="O74" i="151" s="1"/>
  <c r="M74" i="151"/>
  <c r="F74" i="151"/>
  <c r="G74" i="151"/>
  <c r="L74" i="151"/>
  <c r="K74" i="151"/>
  <c r="F43" i="151"/>
  <c r="F45" i="151" s="1"/>
  <c r="F80" i="151"/>
  <c r="R80" i="151" s="1"/>
  <c r="O58" i="151"/>
  <c r="I58" i="151"/>
  <c r="L58" i="151"/>
  <c r="Q58" i="151" s="1"/>
  <c r="K58" i="151"/>
  <c r="P58" i="151"/>
  <c r="H58" i="151"/>
  <c r="N58" i="151"/>
  <c r="M58" i="151"/>
  <c r="J58" i="151"/>
  <c r="G58" i="151"/>
  <c r="F58" i="151"/>
  <c r="R58" i="151" s="1"/>
  <c r="D109" i="151"/>
  <c r="K51" i="151"/>
  <c r="J51" i="151"/>
  <c r="I51" i="151"/>
  <c r="N51" i="151"/>
  <c r="G51" i="151"/>
  <c r="H51" i="151"/>
  <c r="F51" i="151"/>
  <c r="M51" i="151"/>
  <c r="L51" i="151"/>
  <c r="K64" i="151"/>
  <c r="J64" i="151"/>
  <c r="I64" i="151"/>
  <c r="N64" i="151"/>
  <c r="G64" i="151"/>
  <c r="H64" i="151"/>
  <c r="F64" i="151"/>
  <c r="M64" i="151"/>
  <c r="L64" i="151"/>
  <c r="Q4" i="151"/>
  <c r="R4" i="151" s="1"/>
  <c r="M5" i="151"/>
  <c r="G5" i="151"/>
  <c r="L5" i="151"/>
  <c r="F5" i="151"/>
  <c r="K5" i="151"/>
  <c r="I5" i="151"/>
  <c r="H5" i="151"/>
  <c r="O5" i="151"/>
  <c r="P5" i="151"/>
  <c r="J5" i="151"/>
  <c r="Q5" i="151" s="1"/>
  <c r="N5" i="151"/>
  <c r="K6" i="151"/>
  <c r="P6" i="151"/>
  <c r="J6" i="151"/>
  <c r="O6" i="151"/>
  <c r="I6" i="151"/>
  <c r="G6" i="151"/>
  <c r="F6" i="151"/>
  <c r="Q6" i="151" s="1"/>
  <c r="N6" i="151"/>
  <c r="M6" i="151"/>
  <c r="L6" i="151"/>
  <c r="H6" i="151"/>
  <c r="F63" i="151"/>
  <c r="R63" i="151"/>
  <c r="N75" i="151"/>
  <c r="H75" i="151"/>
  <c r="L75" i="151"/>
  <c r="K75" i="151"/>
  <c r="I75" i="151"/>
  <c r="J75" i="151"/>
  <c r="G75" i="151"/>
  <c r="F75" i="151"/>
  <c r="M75" i="151"/>
  <c r="H67" i="151"/>
  <c r="R67" i="151" s="1"/>
  <c r="F15" i="151"/>
  <c r="L15" i="151" s="1"/>
  <c r="R15" i="151" s="1"/>
  <c r="F81" i="151"/>
  <c r="R81" i="151"/>
  <c r="J12" i="151"/>
  <c r="I12" i="151"/>
  <c r="N12" i="151"/>
  <c r="H12" i="151"/>
  <c r="M12" i="151"/>
  <c r="G12" i="151"/>
  <c r="L12" i="151"/>
  <c r="O12" i="151" s="1"/>
  <c r="K12" i="151"/>
  <c r="F12" i="151"/>
  <c r="M33" i="151"/>
  <c r="G33" i="151"/>
  <c r="J33" i="151"/>
  <c r="N33" i="151"/>
  <c r="F33" i="151"/>
  <c r="R33" i="151" s="1"/>
  <c r="O33" i="151"/>
  <c r="L33" i="151"/>
  <c r="K33" i="151"/>
  <c r="I33" i="151"/>
  <c r="Q33" i="151" s="1"/>
  <c r="H33" i="151"/>
  <c r="P33" i="151"/>
  <c r="O55" i="151"/>
  <c r="I55" i="151"/>
  <c r="K55" i="151"/>
  <c r="J55" i="151"/>
  <c r="N55" i="151"/>
  <c r="G55" i="151"/>
  <c r="P55" i="151"/>
  <c r="M55" i="151"/>
  <c r="L55" i="151"/>
  <c r="H55" i="151"/>
  <c r="F55" i="151"/>
  <c r="H77" i="151"/>
  <c r="F79" i="151"/>
  <c r="F83" i="151" s="1"/>
  <c r="D83" i="151"/>
  <c r="R83" i="151" s="1"/>
  <c r="R79" i="151"/>
  <c r="O93" i="151"/>
  <c r="I93" i="151"/>
  <c r="P93" i="151"/>
  <c r="H93" i="151"/>
  <c r="N93" i="151"/>
  <c r="G93" i="151"/>
  <c r="L93" i="151"/>
  <c r="M93" i="151"/>
  <c r="K93" i="151"/>
  <c r="J93" i="151"/>
  <c r="F93" i="151"/>
  <c r="Q93" i="151" s="1"/>
  <c r="N73" i="151"/>
  <c r="H73" i="151"/>
  <c r="G73" i="151"/>
  <c r="M73" i="151"/>
  <c r="F73" i="151"/>
  <c r="K73" i="151"/>
  <c r="L73" i="151"/>
  <c r="J73" i="151"/>
  <c r="I73" i="151"/>
  <c r="Q90" i="151"/>
  <c r="L90" i="151" s="1"/>
  <c r="R90" i="151" s="1"/>
  <c r="M59" i="151"/>
  <c r="G59" i="151"/>
  <c r="L59" i="151"/>
  <c r="Q59" i="151" s="1"/>
  <c r="K59" i="151"/>
  <c r="P59" i="151"/>
  <c r="I59" i="151"/>
  <c r="O59" i="151"/>
  <c r="N59" i="151"/>
  <c r="J59" i="151"/>
  <c r="H59" i="151"/>
  <c r="F59" i="151"/>
  <c r="D92" i="151"/>
  <c r="K52" i="151"/>
  <c r="M52" i="151"/>
  <c r="F52" i="151"/>
  <c r="L52" i="151"/>
  <c r="I52" i="151"/>
  <c r="J52" i="151"/>
  <c r="H52" i="151"/>
  <c r="G52" i="151"/>
  <c r="N52" i="151"/>
  <c r="K65" i="151"/>
  <c r="M65" i="151"/>
  <c r="F65" i="151"/>
  <c r="L65" i="151"/>
  <c r="I65" i="151"/>
  <c r="J65" i="151"/>
  <c r="H65" i="151"/>
  <c r="G65" i="151"/>
  <c r="N65" i="151"/>
  <c r="P13" i="151"/>
  <c r="J13" i="151"/>
  <c r="O13" i="151"/>
  <c r="I13" i="151"/>
  <c r="R13" i="151" s="1"/>
  <c r="N13" i="151"/>
  <c r="H13" i="151"/>
  <c r="M13" i="151"/>
  <c r="G13" i="151"/>
  <c r="L13" i="151"/>
  <c r="K13" i="151"/>
  <c r="F13" i="151"/>
  <c r="Q13" i="151" s="1"/>
  <c r="F36" i="151"/>
  <c r="K54" i="151"/>
  <c r="J54" i="151"/>
  <c r="P54" i="151"/>
  <c r="I54" i="151"/>
  <c r="N54" i="151"/>
  <c r="G54" i="151"/>
  <c r="O54" i="151"/>
  <c r="M54" i="151"/>
  <c r="L54" i="151"/>
  <c r="H54" i="151"/>
  <c r="R54" i="151" s="1"/>
  <c r="F54" i="151"/>
  <c r="Q54" i="151" s="1"/>
  <c r="N16" i="151"/>
  <c r="H16" i="151"/>
  <c r="M16" i="151"/>
  <c r="G16" i="151"/>
  <c r="Q16" i="151" s="1"/>
  <c r="R16" i="151" s="1"/>
  <c r="L16" i="151"/>
  <c r="F16" i="151"/>
  <c r="K16" i="151"/>
  <c r="I16" i="151"/>
  <c r="P16" i="151"/>
  <c r="O16" i="151"/>
  <c r="J16" i="151"/>
  <c r="N30" i="151"/>
  <c r="H30" i="151"/>
  <c r="K30" i="151"/>
  <c r="I30" i="151"/>
  <c r="P30" i="151"/>
  <c r="G30" i="151"/>
  <c r="O30" i="151"/>
  <c r="F30" i="151"/>
  <c r="M30" i="151"/>
  <c r="L30" i="151"/>
  <c r="J30" i="151"/>
  <c r="K57" i="151"/>
  <c r="L57" i="151"/>
  <c r="J57" i="151"/>
  <c r="O57" i="151"/>
  <c r="H57" i="151"/>
  <c r="P57" i="151"/>
  <c r="N57" i="151"/>
  <c r="M57" i="151"/>
  <c r="I57" i="151"/>
  <c r="F57" i="151"/>
  <c r="R57" i="151" s="1"/>
  <c r="G57" i="151"/>
  <c r="Q57" i="151" s="1"/>
  <c r="L31" i="151"/>
  <c r="F31" i="151"/>
  <c r="O31" i="151"/>
  <c r="I31" i="151"/>
  <c r="M31" i="151"/>
  <c r="K31" i="151"/>
  <c r="J31" i="151"/>
  <c r="H31" i="151"/>
  <c r="P31" i="151"/>
  <c r="G31" i="151"/>
  <c r="Q31" i="151" s="1"/>
  <c r="N31" i="151"/>
  <c r="Q10" i="151"/>
  <c r="R10" i="151" s="1"/>
  <c r="F88" i="151"/>
  <c r="L88" i="151" s="1"/>
  <c r="D87" i="151"/>
  <c r="K3" i="151"/>
  <c r="K25" i="151" s="1"/>
  <c r="D25" i="151"/>
  <c r="P3" i="151"/>
  <c r="J3" i="151"/>
  <c r="O3" i="151"/>
  <c r="I3" i="151"/>
  <c r="M3" i="151"/>
  <c r="M25" i="151" s="1"/>
  <c r="L3" i="151"/>
  <c r="H3" i="151"/>
  <c r="G3" i="151"/>
  <c r="N3" i="151"/>
  <c r="F3" i="151"/>
  <c r="F25" i="151" s="1"/>
  <c r="N72" i="151"/>
  <c r="N76" i="151" s="1"/>
  <c r="H72" i="151"/>
  <c r="L72" i="151"/>
  <c r="K72" i="151"/>
  <c r="I72" i="151"/>
  <c r="I76" i="151" s="1"/>
  <c r="M72" i="151"/>
  <c r="J72" i="151"/>
  <c r="J76" i="151" s="1"/>
  <c r="F72" i="151"/>
  <c r="O72" i="151" s="1"/>
  <c r="G72" i="151"/>
  <c r="G76" i="151" s="1"/>
  <c r="O94" i="151"/>
  <c r="H94" i="151"/>
  <c r="R94" i="151" s="1"/>
  <c r="K53" i="151"/>
  <c r="H53" i="151"/>
  <c r="N53" i="151"/>
  <c r="G53" i="151"/>
  <c r="L53" i="151"/>
  <c r="M53" i="151"/>
  <c r="J53" i="151"/>
  <c r="I53" i="151"/>
  <c r="F53" i="151"/>
  <c r="K66" i="151"/>
  <c r="H66" i="151"/>
  <c r="N66" i="151"/>
  <c r="G66" i="151"/>
  <c r="L66" i="151"/>
  <c r="M66" i="151"/>
  <c r="J66" i="151"/>
  <c r="I66" i="151"/>
  <c r="F66" i="151"/>
  <c r="O66" i="151" s="1"/>
  <c r="N61" i="151"/>
  <c r="H61" i="151"/>
  <c r="J61" i="151"/>
  <c r="P61" i="151"/>
  <c r="I61" i="151"/>
  <c r="M61" i="151"/>
  <c r="F61" i="151"/>
  <c r="R61" i="151" s="1"/>
  <c r="O61" i="151"/>
  <c r="L61" i="151"/>
  <c r="K61" i="151"/>
  <c r="G61" i="151"/>
  <c r="Q61" i="151" s="1"/>
  <c r="M26" i="151"/>
  <c r="K26" i="151"/>
  <c r="D37" i="151"/>
  <c r="J26" i="151"/>
  <c r="J37" i="151" s="1"/>
  <c r="I26" i="151"/>
  <c r="P26" i="151"/>
  <c r="H26" i="151"/>
  <c r="F26" i="151"/>
  <c r="O26" i="151"/>
  <c r="O37" i="151" s="1"/>
  <c r="N26" i="151"/>
  <c r="F88" i="150"/>
  <c r="D87" i="150"/>
  <c r="F43" i="150"/>
  <c r="F45" i="150" s="1"/>
  <c r="R43" i="150"/>
  <c r="K53" i="150"/>
  <c r="H53" i="150"/>
  <c r="N53" i="150"/>
  <c r="G53" i="150"/>
  <c r="M53" i="150"/>
  <c r="F53" i="150"/>
  <c r="O53" i="150" s="1"/>
  <c r="L53" i="150"/>
  <c r="J53" i="150"/>
  <c r="I53" i="150"/>
  <c r="O55" i="150"/>
  <c r="I55" i="150"/>
  <c r="K55" i="150"/>
  <c r="J55" i="150"/>
  <c r="P55" i="150"/>
  <c r="H55" i="150"/>
  <c r="N55" i="150"/>
  <c r="M55" i="150"/>
  <c r="L55" i="150"/>
  <c r="F55" i="150"/>
  <c r="G55" i="150"/>
  <c r="Q55" i="150" s="1"/>
  <c r="L27" i="150"/>
  <c r="M27" i="150"/>
  <c r="F27" i="150"/>
  <c r="K27" i="150"/>
  <c r="J27" i="150"/>
  <c r="O27" i="150"/>
  <c r="H27" i="150"/>
  <c r="P27" i="150"/>
  <c r="N27" i="150"/>
  <c r="I27" i="150"/>
  <c r="Q27" i="150" s="1"/>
  <c r="G27" i="150"/>
  <c r="F63" i="150"/>
  <c r="R63" i="150"/>
  <c r="H67" i="150"/>
  <c r="R67" i="150" s="1"/>
  <c r="P16" i="150"/>
  <c r="J16" i="150"/>
  <c r="O16" i="150"/>
  <c r="I16" i="150"/>
  <c r="N16" i="150"/>
  <c r="H16" i="150"/>
  <c r="L16" i="150"/>
  <c r="F16" i="150"/>
  <c r="G16" i="150"/>
  <c r="M16" i="150"/>
  <c r="K16" i="150"/>
  <c r="Q16" i="150" s="1"/>
  <c r="L44" i="150"/>
  <c r="L45" i="150" s="1"/>
  <c r="M6" i="150"/>
  <c r="G6" i="150"/>
  <c r="Q6" i="150" s="1"/>
  <c r="L6" i="150"/>
  <c r="F6" i="150"/>
  <c r="K6" i="150"/>
  <c r="O6" i="150"/>
  <c r="I6" i="150"/>
  <c r="P6" i="150"/>
  <c r="N6" i="150"/>
  <c r="J6" i="150"/>
  <c r="H6" i="150"/>
  <c r="O32" i="150"/>
  <c r="J32" i="150"/>
  <c r="P32" i="150"/>
  <c r="I32" i="150"/>
  <c r="N32" i="150"/>
  <c r="H32" i="150"/>
  <c r="F32" i="150"/>
  <c r="M32" i="150"/>
  <c r="K32" i="150"/>
  <c r="L32" i="150"/>
  <c r="G32" i="150"/>
  <c r="M33" i="150"/>
  <c r="G33" i="150"/>
  <c r="J33" i="150"/>
  <c r="P33" i="150"/>
  <c r="I33" i="150"/>
  <c r="O33" i="150"/>
  <c r="H33" i="150"/>
  <c r="N33" i="150"/>
  <c r="K33" i="150"/>
  <c r="L33" i="150"/>
  <c r="F33" i="150"/>
  <c r="Q33" i="150" s="1"/>
  <c r="H77" i="150"/>
  <c r="N77" i="150"/>
  <c r="R77" i="150" s="1"/>
  <c r="F81" i="150"/>
  <c r="R81" i="150" s="1"/>
  <c r="K49" i="150"/>
  <c r="M49" i="150"/>
  <c r="F49" i="150"/>
  <c r="L49" i="150"/>
  <c r="D70" i="150"/>
  <c r="J49" i="150"/>
  <c r="N49" i="150"/>
  <c r="H49" i="150"/>
  <c r="I49" i="150"/>
  <c r="G49" i="150"/>
  <c r="K57" i="150"/>
  <c r="L57" i="150"/>
  <c r="J57" i="150"/>
  <c r="P57" i="150"/>
  <c r="I57" i="150"/>
  <c r="O57" i="150"/>
  <c r="N57" i="150"/>
  <c r="M57" i="150"/>
  <c r="G57" i="150"/>
  <c r="H57" i="150"/>
  <c r="F57" i="150"/>
  <c r="F69" i="150"/>
  <c r="Q90" i="150"/>
  <c r="L90" i="150" s="1"/>
  <c r="R90" i="150" s="1"/>
  <c r="F68" i="150"/>
  <c r="R68" i="150" s="1"/>
  <c r="K66" i="150"/>
  <c r="H66" i="150"/>
  <c r="N66" i="150"/>
  <c r="G66" i="150"/>
  <c r="M66" i="150"/>
  <c r="F66" i="150"/>
  <c r="L66" i="150"/>
  <c r="J66" i="150"/>
  <c r="I66" i="150"/>
  <c r="O66" i="150" s="1"/>
  <c r="M3" i="150"/>
  <c r="G3" i="150"/>
  <c r="L3" i="150"/>
  <c r="F3" i="150"/>
  <c r="K3" i="150"/>
  <c r="O3" i="150"/>
  <c r="I3" i="150"/>
  <c r="D25" i="150"/>
  <c r="P3" i="150"/>
  <c r="H3" i="150"/>
  <c r="N3" i="150"/>
  <c r="J3" i="150"/>
  <c r="N73" i="150"/>
  <c r="H73" i="150"/>
  <c r="G73" i="150"/>
  <c r="M73" i="150"/>
  <c r="F73" i="150"/>
  <c r="L73" i="150"/>
  <c r="J73" i="150"/>
  <c r="K73" i="150"/>
  <c r="I73" i="150"/>
  <c r="N75" i="150"/>
  <c r="H75" i="150"/>
  <c r="L75" i="150"/>
  <c r="K75" i="150"/>
  <c r="J75" i="150"/>
  <c r="I75" i="150"/>
  <c r="G75" i="150"/>
  <c r="F75" i="150"/>
  <c r="O75" i="150" s="1"/>
  <c r="R75" i="150" s="1"/>
  <c r="M75" i="150"/>
  <c r="P14" i="150"/>
  <c r="J14" i="150"/>
  <c r="O14" i="150"/>
  <c r="I14" i="150"/>
  <c r="N14" i="150"/>
  <c r="H14" i="150"/>
  <c r="L14" i="150"/>
  <c r="F14" i="150"/>
  <c r="R14" i="150" s="1"/>
  <c r="G14" i="150"/>
  <c r="Q14" i="150"/>
  <c r="M14" i="150"/>
  <c r="K14" i="150"/>
  <c r="N61" i="150"/>
  <c r="H61" i="150"/>
  <c r="J61" i="150"/>
  <c r="P61" i="150"/>
  <c r="I61" i="150"/>
  <c r="O61" i="150"/>
  <c r="G61" i="150"/>
  <c r="M61" i="150"/>
  <c r="Q61" i="150" s="1"/>
  <c r="L61" i="150"/>
  <c r="K61" i="150"/>
  <c r="F61" i="150"/>
  <c r="R61" i="150" s="1"/>
  <c r="M9" i="150"/>
  <c r="G9" i="150"/>
  <c r="Q9" i="150" s="1"/>
  <c r="L9" i="150"/>
  <c r="F9" i="150"/>
  <c r="R9" i="150" s="1"/>
  <c r="K9" i="150"/>
  <c r="O9" i="150"/>
  <c r="I9" i="150"/>
  <c r="J9" i="150"/>
  <c r="H9" i="150"/>
  <c r="P9" i="150"/>
  <c r="N9" i="150"/>
  <c r="L12" i="150"/>
  <c r="F12" i="150"/>
  <c r="K12" i="150"/>
  <c r="J12" i="150"/>
  <c r="N12" i="150"/>
  <c r="H12" i="150"/>
  <c r="M12" i="150"/>
  <c r="I12" i="150"/>
  <c r="G12" i="150"/>
  <c r="O12" i="150" s="1"/>
  <c r="N74" i="150"/>
  <c r="H74" i="150"/>
  <c r="J74" i="150"/>
  <c r="I74" i="150"/>
  <c r="G74" i="150"/>
  <c r="F74" i="150"/>
  <c r="L74" i="150"/>
  <c r="M74" i="150"/>
  <c r="K74" i="150"/>
  <c r="D45" i="150"/>
  <c r="I42" i="150"/>
  <c r="I45" i="150" s="1"/>
  <c r="D93" i="150"/>
  <c r="N46" i="150"/>
  <c r="N47" i="150" s="1"/>
  <c r="D47" i="150"/>
  <c r="K46" i="150"/>
  <c r="K47" i="150" s="1"/>
  <c r="F46" i="150"/>
  <c r="F47" i="150" s="1"/>
  <c r="F89" i="150"/>
  <c r="L89" i="150" s="1"/>
  <c r="K50" i="150"/>
  <c r="H50" i="150"/>
  <c r="N50" i="150"/>
  <c r="G50" i="150"/>
  <c r="M50" i="150"/>
  <c r="F50" i="150"/>
  <c r="O50" i="150" s="1"/>
  <c r="J50" i="150"/>
  <c r="L50" i="150"/>
  <c r="I50" i="150"/>
  <c r="F60" i="150"/>
  <c r="R60" i="150"/>
  <c r="R71" i="150"/>
  <c r="D76" i="150"/>
  <c r="F71" i="150"/>
  <c r="F11" i="150"/>
  <c r="R11" i="150" s="1"/>
  <c r="K7" i="150"/>
  <c r="P7" i="150"/>
  <c r="J7" i="150"/>
  <c r="O7" i="150"/>
  <c r="I7" i="150"/>
  <c r="M7" i="150"/>
  <c r="G7" i="150"/>
  <c r="N7" i="150"/>
  <c r="L7" i="150"/>
  <c r="H7" i="150"/>
  <c r="F7" i="150"/>
  <c r="Q7" i="150" s="1"/>
  <c r="R7" i="150" s="1"/>
  <c r="O94" i="150"/>
  <c r="R94" i="150"/>
  <c r="H94" i="150"/>
  <c r="P29" i="150"/>
  <c r="J29" i="150"/>
  <c r="O29" i="150"/>
  <c r="I29" i="150"/>
  <c r="N29" i="150"/>
  <c r="H29" i="150"/>
  <c r="L29" i="150"/>
  <c r="K29" i="150"/>
  <c r="G29" i="150"/>
  <c r="Q29" i="150" s="1"/>
  <c r="R29" i="150" s="1"/>
  <c r="M29" i="150"/>
  <c r="F29" i="150"/>
  <c r="K10" i="150"/>
  <c r="P10" i="150"/>
  <c r="J10" i="150"/>
  <c r="O10" i="150"/>
  <c r="I10" i="150"/>
  <c r="M10" i="150"/>
  <c r="G10" i="150"/>
  <c r="Q10" i="150" s="1"/>
  <c r="N10" i="150"/>
  <c r="L10" i="150"/>
  <c r="H10" i="150"/>
  <c r="F10" i="150"/>
  <c r="K54" i="150"/>
  <c r="J54" i="150"/>
  <c r="P54" i="150"/>
  <c r="I54" i="150"/>
  <c r="O54" i="150"/>
  <c r="H54" i="150"/>
  <c r="N54" i="150"/>
  <c r="R54" i="150" s="1"/>
  <c r="M54" i="150"/>
  <c r="L54" i="150"/>
  <c r="F54" i="150"/>
  <c r="G54" i="150"/>
  <c r="Q54" i="150" s="1"/>
  <c r="N17" i="150"/>
  <c r="H17" i="150"/>
  <c r="Q17" i="150" s="1"/>
  <c r="M17" i="150"/>
  <c r="G17" i="150"/>
  <c r="L17" i="150"/>
  <c r="F17" i="150"/>
  <c r="P17" i="150"/>
  <c r="J17" i="150"/>
  <c r="O17" i="150"/>
  <c r="K17" i="150"/>
  <c r="I17" i="150"/>
  <c r="O5" i="150"/>
  <c r="I5" i="150"/>
  <c r="N5" i="150"/>
  <c r="H5" i="150"/>
  <c r="M5" i="150"/>
  <c r="G5" i="150"/>
  <c r="K5" i="150"/>
  <c r="L5" i="150"/>
  <c r="J5" i="150"/>
  <c r="F5" i="150"/>
  <c r="P5" i="150"/>
  <c r="Q5" i="150" s="1"/>
  <c r="I62" i="150"/>
  <c r="N62" i="150"/>
  <c r="R62" i="150" s="1"/>
  <c r="N30" i="150"/>
  <c r="H30" i="150"/>
  <c r="M30" i="150"/>
  <c r="G30" i="150"/>
  <c r="L30" i="150"/>
  <c r="F30" i="150"/>
  <c r="Q30" i="150" s="1"/>
  <c r="J30" i="150"/>
  <c r="I30" i="150"/>
  <c r="O30" i="150"/>
  <c r="P30" i="150"/>
  <c r="K30" i="150"/>
  <c r="L13" i="150"/>
  <c r="F13" i="150"/>
  <c r="K13" i="150"/>
  <c r="P13" i="150"/>
  <c r="J13" i="150"/>
  <c r="N13" i="150"/>
  <c r="H13" i="150"/>
  <c r="O13" i="150"/>
  <c r="M13" i="150"/>
  <c r="I13" i="150"/>
  <c r="G13" i="150"/>
  <c r="Q13" i="150" s="1"/>
  <c r="R80" i="150"/>
  <c r="F80" i="150"/>
  <c r="K28" i="150"/>
  <c r="P28" i="150"/>
  <c r="J28" i="150"/>
  <c r="O28" i="150"/>
  <c r="G28" i="150"/>
  <c r="N28" i="150"/>
  <c r="F28" i="150"/>
  <c r="Q28" i="150" s="1"/>
  <c r="M28" i="150"/>
  <c r="I28" i="150"/>
  <c r="L28" i="150"/>
  <c r="H28" i="150"/>
  <c r="O58" i="150"/>
  <c r="I58" i="150"/>
  <c r="L58" i="150"/>
  <c r="K58" i="150"/>
  <c r="J58" i="150"/>
  <c r="P58" i="150"/>
  <c r="N58" i="150"/>
  <c r="M58" i="150"/>
  <c r="R58" i="150" s="1"/>
  <c r="G58" i="150"/>
  <c r="H58" i="150"/>
  <c r="F58" i="150"/>
  <c r="Q58" i="150" s="1"/>
  <c r="K51" i="150"/>
  <c r="J51" i="150"/>
  <c r="I51" i="150"/>
  <c r="H51" i="150"/>
  <c r="G51" i="150"/>
  <c r="F51" i="150"/>
  <c r="M51" i="150"/>
  <c r="N51" i="150"/>
  <c r="L51" i="150"/>
  <c r="K64" i="150"/>
  <c r="J64" i="150"/>
  <c r="I64" i="150"/>
  <c r="H64" i="150"/>
  <c r="G64" i="150"/>
  <c r="F64" i="150"/>
  <c r="M64" i="150"/>
  <c r="N64" i="150"/>
  <c r="L64" i="150"/>
  <c r="D37" i="150"/>
  <c r="N26" i="150"/>
  <c r="F26" i="150"/>
  <c r="F37" i="150" s="1"/>
  <c r="M26" i="150"/>
  <c r="K26" i="150"/>
  <c r="P26" i="150"/>
  <c r="P37" i="150" s="1"/>
  <c r="I26" i="150"/>
  <c r="Q26" i="150"/>
  <c r="O26" i="150"/>
  <c r="J26" i="150"/>
  <c r="H26" i="150"/>
  <c r="N72" i="150"/>
  <c r="N76" i="150" s="1"/>
  <c r="H72" i="150"/>
  <c r="L72" i="150"/>
  <c r="L76" i="150" s="1"/>
  <c r="K72" i="150"/>
  <c r="J72" i="150"/>
  <c r="M72" i="150"/>
  <c r="M76" i="150" s="1"/>
  <c r="G72" i="150"/>
  <c r="G76" i="150" s="1"/>
  <c r="F72" i="150"/>
  <c r="I72" i="150"/>
  <c r="I76" i="150" s="1"/>
  <c r="M56" i="150"/>
  <c r="G56" i="150"/>
  <c r="R56" i="150" s="1"/>
  <c r="K56" i="150"/>
  <c r="J56" i="150"/>
  <c r="P56" i="150"/>
  <c r="I56" i="150"/>
  <c r="O56" i="150"/>
  <c r="N56" i="150"/>
  <c r="L56" i="150"/>
  <c r="F56" i="150"/>
  <c r="Q56" i="150" s="1"/>
  <c r="H56" i="150"/>
  <c r="F36" i="150"/>
  <c r="L36" i="150"/>
  <c r="R36" i="150" s="1"/>
  <c r="L15" i="150"/>
  <c r="F15" i="150"/>
  <c r="R15" i="150" s="1"/>
  <c r="O8" i="150"/>
  <c r="I8" i="150"/>
  <c r="N8" i="150"/>
  <c r="H8" i="150"/>
  <c r="M8" i="150"/>
  <c r="G8" i="150"/>
  <c r="K8" i="150"/>
  <c r="F8" i="150"/>
  <c r="J8" i="150"/>
  <c r="P8" i="150"/>
  <c r="L8" i="150"/>
  <c r="F82" i="150"/>
  <c r="R82" i="150" s="1"/>
  <c r="F79" i="150"/>
  <c r="D83" i="150"/>
  <c r="R79" i="150"/>
  <c r="F24" i="150"/>
  <c r="R24" i="150" s="1"/>
  <c r="L24" i="150"/>
  <c r="K4" i="150"/>
  <c r="P4" i="150"/>
  <c r="J4" i="150"/>
  <c r="O4" i="150"/>
  <c r="I4" i="150"/>
  <c r="M4" i="150"/>
  <c r="G4" i="150"/>
  <c r="H4" i="150"/>
  <c r="F4" i="150"/>
  <c r="Q4" i="150" s="1"/>
  <c r="N4" i="150"/>
  <c r="L4" i="150"/>
  <c r="L31" i="150"/>
  <c r="F31" i="150"/>
  <c r="K31" i="150"/>
  <c r="P31" i="150"/>
  <c r="J31" i="150"/>
  <c r="H31" i="150"/>
  <c r="G31" i="150"/>
  <c r="O31" i="150"/>
  <c r="M31" i="150"/>
  <c r="N31" i="150"/>
  <c r="I31" i="150"/>
  <c r="M59" i="150"/>
  <c r="G59" i="150"/>
  <c r="Q59" i="150" s="1"/>
  <c r="L59" i="150"/>
  <c r="K59" i="150"/>
  <c r="J59" i="150"/>
  <c r="P59" i="150"/>
  <c r="O59" i="150"/>
  <c r="N59" i="150"/>
  <c r="H59" i="150"/>
  <c r="I59" i="150"/>
  <c r="F59" i="150"/>
  <c r="D92" i="150"/>
  <c r="K52" i="150"/>
  <c r="M52" i="150"/>
  <c r="F52" i="150"/>
  <c r="L52" i="150"/>
  <c r="J52" i="150"/>
  <c r="I52" i="150"/>
  <c r="H52" i="150"/>
  <c r="G52" i="150"/>
  <c r="O52" i="150" s="1"/>
  <c r="N52" i="150"/>
  <c r="K65" i="150"/>
  <c r="M65" i="150"/>
  <c r="F65" i="150"/>
  <c r="R65" i="150" s="1"/>
  <c r="L65" i="150"/>
  <c r="J65" i="150"/>
  <c r="I65" i="150"/>
  <c r="H65" i="150"/>
  <c r="G65" i="150"/>
  <c r="O65" i="150"/>
  <c r="N65" i="150"/>
  <c r="L30" i="149"/>
  <c r="F30" i="149"/>
  <c r="P30" i="149"/>
  <c r="J30" i="149"/>
  <c r="I30" i="149"/>
  <c r="H30" i="149"/>
  <c r="N30" i="149"/>
  <c r="O30" i="149"/>
  <c r="M30" i="149"/>
  <c r="K30" i="149"/>
  <c r="G30" i="149"/>
  <c r="P31" i="149"/>
  <c r="J31" i="149"/>
  <c r="N31" i="149"/>
  <c r="H31" i="149"/>
  <c r="M31" i="149"/>
  <c r="L31" i="149"/>
  <c r="I31" i="149"/>
  <c r="K31" i="149"/>
  <c r="G31" i="149"/>
  <c r="F31" i="149"/>
  <c r="Q31" i="149" s="1"/>
  <c r="O31" i="149"/>
  <c r="K49" i="149"/>
  <c r="J49" i="149"/>
  <c r="L49" i="149"/>
  <c r="H49" i="149"/>
  <c r="G49" i="149"/>
  <c r="F49" i="149"/>
  <c r="D70" i="149"/>
  <c r="N49" i="149"/>
  <c r="I49" i="149"/>
  <c r="M49" i="149"/>
  <c r="O5" i="149"/>
  <c r="I5" i="149"/>
  <c r="N5" i="149"/>
  <c r="H5" i="149"/>
  <c r="L5" i="149"/>
  <c r="F5" i="149"/>
  <c r="M5" i="149"/>
  <c r="K5" i="149"/>
  <c r="J5" i="149"/>
  <c r="G5" i="149"/>
  <c r="P5" i="149"/>
  <c r="O58" i="149"/>
  <c r="I58" i="149"/>
  <c r="N58" i="149"/>
  <c r="H58" i="149"/>
  <c r="L58" i="149"/>
  <c r="J58" i="149"/>
  <c r="M58" i="149"/>
  <c r="K58" i="149"/>
  <c r="G58" i="149"/>
  <c r="F58" i="149"/>
  <c r="P58" i="149"/>
  <c r="L27" i="149"/>
  <c r="F27" i="149"/>
  <c r="P27" i="149"/>
  <c r="J27" i="149"/>
  <c r="O27" i="149"/>
  <c r="G27" i="149"/>
  <c r="G37" i="149" s="1"/>
  <c r="N27" i="149"/>
  <c r="K27" i="149"/>
  <c r="M27" i="149"/>
  <c r="I27" i="149"/>
  <c r="H27" i="149"/>
  <c r="N75" i="149"/>
  <c r="H75" i="149"/>
  <c r="M75" i="149"/>
  <c r="G75" i="149"/>
  <c r="K75" i="149"/>
  <c r="J75" i="149"/>
  <c r="I75" i="149"/>
  <c r="L75" i="149"/>
  <c r="F75" i="149"/>
  <c r="O75" i="149" s="1"/>
  <c r="K50" i="149"/>
  <c r="J50" i="149"/>
  <c r="H50" i="149"/>
  <c r="N50" i="149"/>
  <c r="F50" i="149"/>
  <c r="O50" i="149" s="1"/>
  <c r="I50" i="149"/>
  <c r="G50" i="149"/>
  <c r="M50" i="149"/>
  <c r="L50" i="149"/>
  <c r="F60" i="149"/>
  <c r="R60" i="149" s="1"/>
  <c r="F71" i="149"/>
  <c r="F76" i="149" s="1"/>
  <c r="D76" i="149"/>
  <c r="M33" i="149"/>
  <c r="G33" i="149"/>
  <c r="L33" i="149"/>
  <c r="O33" i="149"/>
  <c r="F33" i="149"/>
  <c r="Q33" i="149" s="1"/>
  <c r="K33" i="149"/>
  <c r="P33" i="149"/>
  <c r="N33" i="149"/>
  <c r="I33" i="149"/>
  <c r="J33" i="149"/>
  <c r="H33" i="149"/>
  <c r="M9" i="149"/>
  <c r="G9" i="149"/>
  <c r="L9" i="149"/>
  <c r="F9" i="149"/>
  <c r="P9" i="149"/>
  <c r="J9" i="149"/>
  <c r="O9" i="149"/>
  <c r="N9" i="149"/>
  <c r="K9" i="149"/>
  <c r="I9" i="149"/>
  <c r="H9" i="149"/>
  <c r="O55" i="149"/>
  <c r="I55" i="149"/>
  <c r="N55" i="149"/>
  <c r="H55" i="149"/>
  <c r="J55" i="149"/>
  <c r="P55" i="149"/>
  <c r="F55" i="149"/>
  <c r="M55" i="149"/>
  <c r="L55" i="149"/>
  <c r="K55" i="149"/>
  <c r="G55" i="149"/>
  <c r="M59" i="149"/>
  <c r="G59" i="149"/>
  <c r="L59" i="149"/>
  <c r="F59" i="149"/>
  <c r="P59" i="149"/>
  <c r="H59" i="149"/>
  <c r="N59" i="149"/>
  <c r="K59" i="149"/>
  <c r="J59" i="149"/>
  <c r="O59" i="149"/>
  <c r="I59" i="149"/>
  <c r="L44" i="149"/>
  <c r="L45" i="149" s="1"/>
  <c r="K10" i="149"/>
  <c r="P10" i="149"/>
  <c r="J10" i="149"/>
  <c r="N10" i="149"/>
  <c r="H10" i="149"/>
  <c r="O10" i="149"/>
  <c r="M10" i="149"/>
  <c r="L10" i="149"/>
  <c r="I10" i="149"/>
  <c r="G10" i="149"/>
  <c r="F10" i="149"/>
  <c r="N61" i="149"/>
  <c r="H61" i="149"/>
  <c r="M61" i="149"/>
  <c r="G61" i="149"/>
  <c r="I61" i="149"/>
  <c r="O61" i="149"/>
  <c r="J61" i="149"/>
  <c r="F61" i="149"/>
  <c r="P61" i="149"/>
  <c r="L61" i="149"/>
  <c r="K61" i="149"/>
  <c r="D92" i="149"/>
  <c r="F89" i="149"/>
  <c r="K51" i="149"/>
  <c r="J51" i="149"/>
  <c r="N51" i="149"/>
  <c r="F51" i="149"/>
  <c r="L51" i="149"/>
  <c r="I51" i="149"/>
  <c r="H51" i="149"/>
  <c r="M51" i="149"/>
  <c r="G51" i="149"/>
  <c r="O51" i="149" s="1"/>
  <c r="K64" i="149"/>
  <c r="J64" i="149"/>
  <c r="N64" i="149"/>
  <c r="F64" i="149"/>
  <c r="O64" i="149" s="1"/>
  <c r="L64" i="149"/>
  <c r="M64" i="149"/>
  <c r="I64" i="149"/>
  <c r="H64" i="149"/>
  <c r="G64" i="149"/>
  <c r="P28" i="149"/>
  <c r="J28" i="149"/>
  <c r="N28" i="149"/>
  <c r="H28" i="149"/>
  <c r="K28" i="149"/>
  <c r="I28" i="149"/>
  <c r="O28" i="149"/>
  <c r="F28" i="149"/>
  <c r="Q28" i="149" s="1"/>
  <c r="M28" i="149"/>
  <c r="L28" i="149"/>
  <c r="G28" i="149"/>
  <c r="M56" i="149"/>
  <c r="G56" i="149"/>
  <c r="L56" i="149"/>
  <c r="F56" i="149"/>
  <c r="N56" i="149"/>
  <c r="J56" i="149"/>
  <c r="O56" i="149"/>
  <c r="K56" i="149"/>
  <c r="I56" i="149"/>
  <c r="Q56" i="149" s="1"/>
  <c r="H56" i="149"/>
  <c r="P56" i="149"/>
  <c r="F79" i="149"/>
  <c r="D83" i="149"/>
  <c r="R79" i="149"/>
  <c r="M6" i="149"/>
  <c r="G6" i="149"/>
  <c r="L6" i="149"/>
  <c r="F6" i="149"/>
  <c r="P6" i="149"/>
  <c r="J6" i="149"/>
  <c r="K6" i="149"/>
  <c r="I6" i="149"/>
  <c r="H6" i="149"/>
  <c r="O6" i="149"/>
  <c r="Q6" i="149" s="1"/>
  <c r="N6" i="149"/>
  <c r="I42" i="149"/>
  <c r="I45" i="149" s="1"/>
  <c r="D45" i="149"/>
  <c r="F43" i="149"/>
  <c r="F45" i="149" s="1"/>
  <c r="K7" i="149"/>
  <c r="P7" i="149"/>
  <c r="J7" i="149"/>
  <c r="N7" i="149"/>
  <c r="H7" i="149"/>
  <c r="I7" i="149"/>
  <c r="G7" i="149"/>
  <c r="F7" i="149"/>
  <c r="Q7" i="149" s="1"/>
  <c r="O7" i="149"/>
  <c r="M7" i="149"/>
  <c r="L7" i="149"/>
  <c r="D25" i="149"/>
  <c r="M3" i="149"/>
  <c r="G3" i="149"/>
  <c r="L3" i="149"/>
  <c r="F3" i="149"/>
  <c r="P3" i="149"/>
  <c r="J3" i="149"/>
  <c r="O3" i="149"/>
  <c r="N3" i="149"/>
  <c r="K3" i="149"/>
  <c r="I3" i="149"/>
  <c r="H3" i="149"/>
  <c r="Q3" i="149" s="1"/>
  <c r="N46" i="149"/>
  <c r="N47" i="149" s="1"/>
  <c r="K46" i="149"/>
  <c r="K47" i="149" s="1"/>
  <c r="D47" i="149"/>
  <c r="F46" i="149"/>
  <c r="F47" i="149" s="1"/>
  <c r="N73" i="149"/>
  <c r="H73" i="149"/>
  <c r="M73" i="149"/>
  <c r="G73" i="149"/>
  <c r="O73" i="149" s="1"/>
  <c r="K73" i="149"/>
  <c r="I73" i="149"/>
  <c r="F73" i="149"/>
  <c r="R73" i="149" s="1"/>
  <c r="J73" i="149"/>
  <c r="L73" i="149"/>
  <c r="F15" i="149"/>
  <c r="F63" i="149"/>
  <c r="R63" i="149" s="1"/>
  <c r="K52" i="149"/>
  <c r="J52" i="149"/>
  <c r="L52" i="149"/>
  <c r="H52" i="149"/>
  <c r="M52" i="149"/>
  <c r="I52" i="149"/>
  <c r="F52" i="149"/>
  <c r="N52" i="149"/>
  <c r="G52" i="149"/>
  <c r="K65" i="149"/>
  <c r="J65" i="149"/>
  <c r="L65" i="149"/>
  <c r="H65" i="149"/>
  <c r="O65" i="149"/>
  <c r="N65" i="149"/>
  <c r="M65" i="149"/>
  <c r="I65" i="149"/>
  <c r="G65" i="149"/>
  <c r="F65" i="149"/>
  <c r="R65" i="149" s="1"/>
  <c r="P16" i="149"/>
  <c r="J16" i="149"/>
  <c r="N16" i="149"/>
  <c r="H16" i="149"/>
  <c r="K16" i="149"/>
  <c r="I16" i="149"/>
  <c r="O16" i="149"/>
  <c r="F16" i="149"/>
  <c r="M16" i="149"/>
  <c r="L16" i="149"/>
  <c r="G16" i="149"/>
  <c r="Q16" i="149" s="1"/>
  <c r="L12" i="149"/>
  <c r="F12" i="149"/>
  <c r="K12" i="149"/>
  <c r="I12" i="149"/>
  <c r="J12" i="149"/>
  <c r="H12" i="149"/>
  <c r="R12" i="149" s="1"/>
  <c r="G12" i="149"/>
  <c r="N12" i="149"/>
  <c r="M12" i="149"/>
  <c r="O12" i="149" s="1"/>
  <c r="N72" i="149"/>
  <c r="H72" i="149"/>
  <c r="H76" i="149" s="1"/>
  <c r="M72" i="149"/>
  <c r="G72" i="149"/>
  <c r="K72" i="149"/>
  <c r="K76" i="149" s="1"/>
  <c r="F72" i="149"/>
  <c r="L72" i="149"/>
  <c r="J72" i="149"/>
  <c r="I72" i="149"/>
  <c r="I76" i="149" s="1"/>
  <c r="R69" i="149"/>
  <c r="F69" i="149"/>
  <c r="L69" i="149"/>
  <c r="F81" i="149"/>
  <c r="R81" i="149" s="1"/>
  <c r="F80" i="149"/>
  <c r="R80" i="149" s="1"/>
  <c r="D109" i="149"/>
  <c r="F24" i="149"/>
  <c r="R24" i="149" s="1"/>
  <c r="L24" i="149"/>
  <c r="F82" i="149"/>
  <c r="R82" i="149" s="1"/>
  <c r="Q90" i="149"/>
  <c r="L90" i="149" s="1"/>
  <c r="R90" i="149" s="1"/>
  <c r="N17" i="149"/>
  <c r="H17" i="149"/>
  <c r="L17" i="149"/>
  <c r="F17" i="149"/>
  <c r="O17" i="149"/>
  <c r="M17" i="149"/>
  <c r="J17" i="149"/>
  <c r="P17" i="149"/>
  <c r="K17" i="149"/>
  <c r="I17" i="149"/>
  <c r="G17" i="149"/>
  <c r="N74" i="149"/>
  <c r="H74" i="149"/>
  <c r="M74" i="149"/>
  <c r="G74" i="149"/>
  <c r="I74" i="149"/>
  <c r="J74" i="149"/>
  <c r="O74" i="149" s="1"/>
  <c r="F74" i="149"/>
  <c r="L74" i="149"/>
  <c r="K74" i="149"/>
  <c r="I62" i="149"/>
  <c r="N62" i="149" s="1"/>
  <c r="R62" i="149" s="1"/>
  <c r="H94" i="149"/>
  <c r="O94" i="149" s="1"/>
  <c r="K53" i="149"/>
  <c r="J53" i="149"/>
  <c r="H53" i="149"/>
  <c r="N53" i="149"/>
  <c r="F53" i="149"/>
  <c r="M53" i="149"/>
  <c r="L53" i="149"/>
  <c r="R53" i="149" s="1"/>
  <c r="G53" i="149"/>
  <c r="I53" i="149"/>
  <c r="O53" i="149" s="1"/>
  <c r="K66" i="149"/>
  <c r="J66" i="149"/>
  <c r="H66" i="149"/>
  <c r="N66" i="149"/>
  <c r="F66" i="149"/>
  <c r="O66" i="149" s="1"/>
  <c r="M66" i="149"/>
  <c r="L66" i="149"/>
  <c r="I66" i="149"/>
  <c r="G66" i="149"/>
  <c r="N32" i="149"/>
  <c r="H32" i="149"/>
  <c r="L32" i="149"/>
  <c r="F32" i="149"/>
  <c r="I32" i="149"/>
  <c r="P32" i="149"/>
  <c r="G32" i="149"/>
  <c r="Q32" i="149" s="1"/>
  <c r="M32" i="149"/>
  <c r="O32" i="149"/>
  <c r="K32" i="149"/>
  <c r="J32" i="149"/>
  <c r="P14" i="149"/>
  <c r="J14" i="149"/>
  <c r="N14" i="149"/>
  <c r="H14" i="149"/>
  <c r="K14" i="149"/>
  <c r="I14" i="149"/>
  <c r="O14" i="149"/>
  <c r="F14" i="149"/>
  <c r="Q14" i="149" s="1"/>
  <c r="M14" i="149"/>
  <c r="L14" i="149"/>
  <c r="G14" i="149"/>
  <c r="R88" i="149"/>
  <c r="K4" i="149"/>
  <c r="P4" i="149"/>
  <c r="J4" i="149"/>
  <c r="N4" i="149"/>
  <c r="H4" i="149"/>
  <c r="O4" i="149"/>
  <c r="M4" i="149"/>
  <c r="L4" i="149"/>
  <c r="I4" i="149"/>
  <c r="G4" i="149"/>
  <c r="F4" i="149"/>
  <c r="Q4" i="149" s="1"/>
  <c r="K57" i="149"/>
  <c r="P57" i="149"/>
  <c r="J57" i="149"/>
  <c r="H57" i="149"/>
  <c r="N57" i="149"/>
  <c r="F57" i="149"/>
  <c r="Q57" i="149" s="1"/>
  <c r="M57" i="149"/>
  <c r="L57" i="149"/>
  <c r="I57" i="149"/>
  <c r="G57" i="149"/>
  <c r="O57" i="149"/>
  <c r="R68" i="149"/>
  <c r="F68" i="149"/>
  <c r="O8" i="149"/>
  <c r="I8" i="149"/>
  <c r="N8" i="149"/>
  <c r="H8" i="149"/>
  <c r="L8" i="149"/>
  <c r="F8" i="149"/>
  <c r="Q8" i="149" s="1"/>
  <c r="G8" i="149"/>
  <c r="P8" i="149"/>
  <c r="M8" i="149"/>
  <c r="K8" i="149"/>
  <c r="J8" i="149"/>
  <c r="D37" i="149"/>
  <c r="N26" i="149"/>
  <c r="F26" i="149"/>
  <c r="K26" i="149"/>
  <c r="J26" i="149"/>
  <c r="J37" i="149" s="1"/>
  <c r="I26" i="149"/>
  <c r="P26" i="149"/>
  <c r="H26" i="149"/>
  <c r="O26" i="149"/>
  <c r="M26" i="149"/>
  <c r="D93" i="149"/>
  <c r="N29" i="149"/>
  <c r="H29" i="149"/>
  <c r="L29" i="149"/>
  <c r="F29" i="149"/>
  <c r="O29" i="149"/>
  <c r="M29" i="149"/>
  <c r="J29" i="149"/>
  <c r="P29" i="149"/>
  <c r="K29" i="149"/>
  <c r="I29" i="149"/>
  <c r="G29" i="149"/>
  <c r="H77" i="149"/>
  <c r="R77" i="149" s="1"/>
  <c r="N77" i="149"/>
  <c r="L36" i="149"/>
  <c r="R36" i="149"/>
  <c r="F36" i="149"/>
  <c r="K54" i="149"/>
  <c r="P54" i="149"/>
  <c r="J54" i="149"/>
  <c r="N54" i="149"/>
  <c r="F54" i="149"/>
  <c r="L54" i="149"/>
  <c r="O54" i="149"/>
  <c r="M54" i="149"/>
  <c r="H54" i="149"/>
  <c r="I54" i="149"/>
  <c r="G54" i="149"/>
  <c r="Q54" i="149" s="1"/>
  <c r="H67" i="149"/>
  <c r="R67" i="149" s="1"/>
  <c r="L13" i="149"/>
  <c r="P13" i="149"/>
  <c r="J13" i="149"/>
  <c r="O13" i="149"/>
  <c r="G13" i="149"/>
  <c r="N13" i="149"/>
  <c r="F13" i="149"/>
  <c r="K13" i="149"/>
  <c r="M13" i="149"/>
  <c r="I13" i="149"/>
  <c r="H13" i="149"/>
  <c r="F11" i="149"/>
  <c r="R11" i="149" s="1"/>
  <c r="D87" i="149"/>
  <c r="R5" i="148"/>
  <c r="R53" i="148"/>
  <c r="F24" i="148"/>
  <c r="L24" i="148"/>
  <c r="R24" i="148" s="1"/>
  <c r="F60" i="148"/>
  <c r="R60" i="148" s="1"/>
  <c r="I62" i="148"/>
  <c r="K55" i="148"/>
  <c r="P55" i="148"/>
  <c r="J55" i="148"/>
  <c r="N55" i="148"/>
  <c r="H55" i="148"/>
  <c r="M55" i="148"/>
  <c r="G55" i="148"/>
  <c r="F55" i="148"/>
  <c r="L55" i="148"/>
  <c r="O55" i="148"/>
  <c r="I55" i="148"/>
  <c r="Q55" i="148" s="1"/>
  <c r="M51" i="148"/>
  <c r="G51" i="148"/>
  <c r="L51" i="148"/>
  <c r="F51" i="148"/>
  <c r="O51" i="148" s="1"/>
  <c r="J51" i="148"/>
  <c r="I51" i="148"/>
  <c r="N51" i="148"/>
  <c r="K51" i="148"/>
  <c r="H51" i="148"/>
  <c r="M3" i="148"/>
  <c r="G3" i="148"/>
  <c r="L3" i="148"/>
  <c r="F3" i="148"/>
  <c r="K3" i="148"/>
  <c r="D25" i="148"/>
  <c r="P3" i="148"/>
  <c r="O3" i="148"/>
  <c r="J3" i="148"/>
  <c r="N3" i="148"/>
  <c r="Q3" i="148" s="1"/>
  <c r="I3" i="148"/>
  <c r="H3" i="148"/>
  <c r="L12" i="148"/>
  <c r="F12" i="148"/>
  <c r="O12" i="148" s="1"/>
  <c r="K12" i="148"/>
  <c r="J12" i="148"/>
  <c r="I12" i="148"/>
  <c r="H12" i="148"/>
  <c r="N12" i="148"/>
  <c r="M12" i="148"/>
  <c r="G12" i="148"/>
  <c r="R12" i="148" s="1"/>
  <c r="M49" i="148"/>
  <c r="G49" i="148"/>
  <c r="L49" i="148"/>
  <c r="F49" i="148"/>
  <c r="J49" i="148"/>
  <c r="D70" i="148"/>
  <c r="I49" i="148"/>
  <c r="H49" i="148"/>
  <c r="N49" i="148"/>
  <c r="K49" i="148"/>
  <c r="K7" i="148"/>
  <c r="P7" i="148"/>
  <c r="J7" i="148"/>
  <c r="O7" i="148"/>
  <c r="I7" i="148"/>
  <c r="H7" i="148"/>
  <c r="G7" i="148"/>
  <c r="Q7" i="148" s="1"/>
  <c r="R7" i="148" s="1"/>
  <c r="M7" i="148"/>
  <c r="L7" i="148"/>
  <c r="F7" i="148"/>
  <c r="N7" i="148"/>
  <c r="D92" i="148"/>
  <c r="F89" i="148"/>
  <c r="R71" i="148"/>
  <c r="R17" i="148"/>
  <c r="O8" i="148"/>
  <c r="I8" i="148"/>
  <c r="N8" i="148"/>
  <c r="H8" i="148"/>
  <c r="Q8" i="148" s="1"/>
  <c r="M8" i="148"/>
  <c r="G8" i="148"/>
  <c r="F8" i="148"/>
  <c r="R8" i="148" s="1"/>
  <c r="K8" i="148"/>
  <c r="J8" i="148"/>
  <c r="P8" i="148"/>
  <c r="L8" i="148"/>
  <c r="P31" i="148"/>
  <c r="J31" i="148"/>
  <c r="O31" i="148"/>
  <c r="I31" i="148"/>
  <c r="N31" i="148"/>
  <c r="H31" i="148"/>
  <c r="G31" i="148"/>
  <c r="Q31" i="148" s="1"/>
  <c r="M31" i="148"/>
  <c r="L31" i="148"/>
  <c r="F31" i="148"/>
  <c r="K31" i="148"/>
  <c r="M6" i="148"/>
  <c r="G6" i="148"/>
  <c r="Q6" i="148" s="1"/>
  <c r="L6" i="148"/>
  <c r="F6" i="148"/>
  <c r="K6" i="148"/>
  <c r="J6" i="148"/>
  <c r="I6" i="148"/>
  <c r="P6" i="148"/>
  <c r="O6" i="148"/>
  <c r="N6" i="148"/>
  <c r="H6" i="148"/>
  <c r="L13" i="148"/>
  <c r="F13" i="148"/>
  <c r="K13" i="148"/>
  <c r="P13" i="148"/>
  <c r="J13" i="148"/>
  <c r="I13" i="148"/>
  <c r="H13" i="148"/>
  <c r="N13" i="148"/>
  <c r="M13" i="148"/>
  <c r="G13" i="148"/>
  <c r="Q13" i="148" s="1"/>
  <c r="O13" i="148"/>
  <c r="M52" i="148"/>
  <c r="G52" i="148"/>
  <c r="L52" i="148"/>
  <c r="F52" i="148"/>
  <c r="O52" i="148" s="1"/>
  <c r="J52" i="148"/>
  <c r="I52" i="148"/>
  <c r="H52" i="148"/>
  <c r="N52" i="148"/>
  <c r="K52" i="148"/>
  <c r="K10" i="148"/>
  <c r="P10" i="148"/>
  <c r="J10" i="148"/>
  <c r="O10" i="148"/>
  <c r="I10" i="148"/>
  <c r="N10" i="148"/>
  <c r="M10" i="148"/>
  <c r="H10" i="148"/>
  <c r="G10" i="148"/>
  <c r="F10" i="148"/>
  <c r="L10" i="148"/>
  <c r="Q10" i="148" s="1"/>
  <c r="K33" i="148"/>
  <c r="N33" i="148"/>
  <c r="G33" i="148"/>
  <c r="M33" i="148"/>
  <c r="F33" i="148"/>
  <c r="Q33" i="148" s="1"/>
  <c r="L33" i="148"/>
  <c r="J33" i="148"/>
  <c r="I33" i="148"/>
  <c r="H33" i="148"/>
  <c r="P33" i="148"/>
  <c r="O33" i="148"/>
  <c r="R50" i="148"/>
  <c r="F69" i="148"/>
  <c r="L69" i="148" s="1"/>
  <c r="R69" i="148" s="1"/>
  <c r="D45" i="148"/>
  <c r="I42" i="148"/>
  <c r="I45" i="148" s="1"/>
  <c r="F15" i="148"/>
  <c r="F68" i="148"/>
  <c r="R68" i="148" s="1"/>
  <c r="M64" i="148"/>
  <c r="G64" i="148"/>
  <c r="L64" i="148"/>
  <c r="F64" i="148"/>
  <c r="J64" i="148"/>
  <c r="I64" i="148"/>
  <c r="N64" i="148"/>
  <c r="K64" i="148"/>
  <c r="H64" i="148"/>
  <c r="J72" i="148"/>
  <c r="I72" i="148"/>
  <c r="M72" i="148"/>
  <c r="M76" i="148" s="1"/>
  <c r="G72" i="148"/>
  <c r="L72" i="148"/>
  <c r="F72" i="148"/>
  <c r="F76" i="148" s="1"/>
  <c r="K72" i="148"/>
  <c r="H72" i="148"/>
  <c r="O72" i="148" s="1"/>
  <c r="N72" i="148"/>
  <c r="L27" i="148"/>
  <c r="F27" i="148"/>
  <c r="K27" i="148"/>
  <c r="P27" i="148"/>
  <c r="J27" i="148"/>
  <c r="O27" i="148"/>
  <c r="I27" i="148"/>
  <c r="G27" i="148"/>
  <c r="N27" i="148"/>
  <c r="H27" i="148"/>
  <c r="M27" i="148"/>
  <c r="Q90" i="148"/>
  <c r="L90" i="148" s="1"/>
  <c r="R90" i="148" s="1"/>
  <c r="F63" i="148"/>
  <c r="R63" i="148" s="1"/>
  <c r="O56" i="148"/>
  <c r="I56" i="148"/>
  <c r="N56" i="148"/>
  <c r="H56" i="148"/>
  <c r="L56" i="148"/>
  <c r="F56" i="148"/>
  <c r="K56" i="148"/>
  <c r="J56" i="148"/>
  <c r="G56" i="148"/>
  <c r="Q56" i="148" s="1"/>
  <c r="P56" i="148"/>
  <c r="M56" i="148"/>
  <c r="D83" i="148"/>
  <c r="F79" i="148"/>
  <c r="F88" i="148"/>
  <c r="D87" i="148"/>
  <c r="F80" i="148"/>
  <c r="R80" i="148" s="1"/>
  <c r="K93" i="148"/>
  <c r="P93" i="148"/>
  <c r="J93" i="148"/>
  <c r="N93" i="148"/>
  <c r="H93" i="148"/>
  <c r="M93" i="148"/>
  <c r="G93" i="148"/>
  <c r="Q93" i="148" s="1"/>
  <c r="L93" i="148"/>
  <c r="O93" i="148"/>
  <c r="F93" i="148"/>
  <c r="R93" i="148" s="1"/>
  <c r="I93" i="148"/>
  <c r="M9" i="148"/>
  <c r="G9" i="148"/>
  <c r="L9" i="148"/>
  <c r="F9" i="148"/>
  <c r="K9" i="148"/>
  <c r="P9" i="148"/>
  <c r="O9" i="148"/>
  <c r="I9" i="148"/>
  <c r="H9" i="148"/>
  <c r="N9" i="148"/>
  <c r="J9" i="148"/>
  <c r="Q9" i="148" s="1"/>
  <c r="D47" i="148"/>
  <c r="F46" i="148"/>
  <c r="F47" i="148" s="1"/>
  <c r="N46" i="148"/>
  <c r="N47" i="148" s="1"/>
  <c r="K46" i="148"/>
  <c r="K47" i="148" s="1"/>
  <c r="R94" i="148"/>
  <c r="H94" i="148"/>
  <c r="O94" i="148"/>
  <c r="M57" i="148"/>
  <c r="G57" i="148"/>
  <c r="Q57" i="148" s="1"/>
  <c r="L57" i="148"/>
  <c r="F57" i="148"/>
  <c r="P57" i="148"/>
  <c r="J57" i="148"/>
  <c r="O57" i="148"/>
  <c r="I57" i="148"/>
  <c r="R57" i="148" s="1"/>
  <c r="N57" i="148"/>
  <c r="K57" i="148"/>
  <c r="H57" i="148"/>
  <c r="J73" i="148"/>
  <c r="I73" i="148"/>
  <c r="M73" i="148"/>
  <c r="G73" i="148"/>
  <c r="L73" i="148"/>
  <c r="F73" i="148"/>
  <c r="R73" i="148" s="1"/>
  <c r="N73" i="148"/>
  <c r="O73" i="148" s="1"/>
  <c r="K73" i="148"/>
  <c r="H73" i="148"/>
  <c r="H67" i="148"/>
  <c r="R67" i="148" s="1"/>
  <c r="L36" i="148"/>
  <c r="R36" i="148" s="1"/>
  <c r="F36" i="148"/>
  <c r="D37" i="148"/>
  <c r="N26" i="148"/>
  <c r="F26" i="148"/>
  <c r="M26" i="148"/>
  <c r="M37" i="148" s="1"/>
  <c r="K26" i="148"/>
  <c r="J26" i="148"/>
  <c r="H26" i="148"/>
  <c r="P26" i="148"/>
  <c r="P37" i="148" s="1"/>
  <c r="O26" i="148"/>
  <c r="I26" i="148"/>
  <c r="M65" i="148"/>
  <c r="G65" i="148"/>
  <c r="L65" i="148"/>
  <c r="F65" i="148"/>
  <c r="J65" i="148"/>
  <c r="I65" i="148"/>
  <c r="H65" i="148"/>
  <c r="N65" i="148"/>
  <c r="K65" i="148"/>
  <c r="P61" i="148"/>
  <c r="J61" i="148"/>
  <c r="O61" i="148"/>
  <c r="I61" i="148"/>
  <c r="M61" i="148"/>
  <c r="G61" i="148"/>
  <c r="L61" i="148"/>
  <c r="F61" i="148"/>
  <c r="R61" i="148" s="1"/>
  <c r="K61" i="148"/>
  <c r="Q61" i="148" s="1"/>
  <c r="N61" i="148"/>
  <c r="H61" i="148"/>
  <c r="L44" i="148"/>
  <c r="L45" i="148" s="1"/>
  <c r="N77" i="148"/>
  <c r="R77" i="148" s="1"/>
  <c r="H77" i="148"/>
  <c r="F43" i="148"/>
  <c r="F45" i="148" s="1"/>
  <c r="R43" i="148"/>
  <c r="K58" i="148"/>
  <c r="P58" i="148"/>
  <c r="J58" i="148"/>
  <c r="N58" i="148"/>
  <c r="H58" i="148"/>
  <c r="M58" i="148"/>
  <c r="G58" i="148"/>
  <c r="Q58" i="148" s="1"/>
  <c r="R58" i="148" s="1"/>
  <c r="O58" i="148"/>
  <c r="L58" i="148"/>
  <c r="F58" i="148"/>
  <c r="I58" i="148"/>
  <c r="Q28" i="148"/>
  <c r="R28" i="148" s="1"/>
  <c r="N32" i="148"/>
  <c r="H32" i="148"/>
  <c r="M32" i="148"/>
  <c r="G32" i="148"/>
  <c r="L32" i="148"/>
  <c r="F32" i="148"/>
  <c r="Q32" i="148" s="1"/>
  <c r="P32" i="148"/>
  <c r="K32" i="148"/>
  <c r="J32" i="148"/>
  <c r="I32" i="148"/>
  <c r="O32" i="148"/>
  <c r="M54" i="148"/>
  <c r="G54" i="148"/>
  <c r="L54" i="148"/>
  <c r="F54" i="148"/>
  <c r="P54" i="148"/>
  <c r="J54" i="148"/>
  <c r="O54" i="148"/>
  <c r="I54" i="148"/>
  <c r="N54" i="148"/>
  <c r="K54" i="148"/>
  <c r="H54" i="148"/>
  <c r="P14" i="148"/>
  <c r="J14" i="148"/>
  <c r="O14" i="148"/>
  <c r="I14" i="148"/>
  <c r="N14" i="148"/>
  <c r="H14" i="148"/>
  <c r="G14" i="148"/>
  <c r="F14" i="148"/>
  <c r="Q14" i="148" s="1"/>
  <c r="L14" i="148"/>
  <c r="K14" i="148"/>
  <c r="M14" i="148"/>
  <c r="J75" i="148"/>
  <c r="I75" i="148"/>
  <c r="M75" i="148"/>
  <c r="G75" i="148"/>
  <c r="L75" i="148"/>
  <c r="F75" i="148"/>
  <c r="R75" i="148" s="1"/>
  <c r="K75" i="148"/>
  <c r="H75" i="148"/>
  <c r="O75" i="148" s="1"/>
  <c r="N75" i="148"/>
  <c r="L30" i="148"/>
  <c r="F30" i="148"/>
  <c r="R30" i="148" s="1"/>
  <c r="K30" i="148"/>
  <c r="P30" i="148"/>
  <c r="J30" i="148"/>
  <c r="I30" i="148"/>
  <c r="H30" i="148"/>
  <c r="O30" i="148"/>
  <c r="G30" i="148"/>
  <c r="Q30" i="148" s="1"/>
  <c r="N30" i="148"/>
  <c r="M30" i="148"/>
  <c r="K4" i="148"/>
  <c r="P4" i="148"/>
  <c r="J4" i="148"/>
  <c r="O4" i="148"/>
  <c r="I4" i="148"/>
  <c r="N4" i="148"/>
  <c r="M4" i="148"/>
  <c r="F4" i="148"/>
  <c r="L4" i="148"/>
  <c r="H4" i="148"/>
  <c r="G4" i="148"/>
  <c r="J74" i="148"/>
  <c r="I74" i="148"/>
  <c r="M74" i="148"/>
  <c r="G74" i="148"/>
  <c r="L74" i="148"/>
  <c r="F74" i="148"/>
  <c r="R74" i="148" s="1"/>
  <c r="N74" i="148"/>
  <c r="O74" i="148" s="1"/>
  <c r="K74" i="148"/>
  <c r="H74" i="148"/>
  <c r="O59" i="148"/>
  <c r="I59" i="148"/>
  <c r="N59" i="148"/>
  <c r="H59" i="148"/>
  <c r="Q59" i="148" s="1"/>
  <c r="L59" i="148"/>
  <c r="F59" i="148"/>
  <c r="R59" i="148" s="1"/>
  <c r="K59" i="148"/>
  <c r="P59" i="148"/>
  <c r="M59" i="148"/>
  <c r="J59" i="148"/>
  <c r="G59" i="148"/>
  <c r="F81" i="148"/>
  <c r="R81" i="148" s="1"/>
  <c r="F82" i="148"/>
  <c r="R82" i="148" s="1"/>
  <c r="D76" i="148"/>
  <c r="P58" i="147"/>
  <c r="J58" i="147"/>
  <c r="O58" i="147"/>
  <c r="I58" i="147"/>
  <c r="N58" i="147"/>
  <c r="H58" i="147"/>
  <c r="G58" i="147"/>
  <c r="F58" i="147"/>
  <c r="M58" i="147"/>
  <c r="L58" i="147"/>
  <c r="K58" i="147"/>
  <c r="F80" i="147"/>
  <c r="R80" i="147" s="1"/>
  <c r="N14" i="147"/>
  <c r="H14" i="147"/>
  <c r="M14" i="147"/>
  <c r="G14" i="147"/>
  <c r="K14" i="147"/>
  <c r="L14" i="147"/>
  <c r="J14" i="147"/>
  <c r="F14" i="147"/>
  <c r="Q14" i="147" s="1"/>
  <c r="I14" i="147"/>
  <c r="P14" i="147"/>
  <c r="O14" i="147"/>
  <c r="N56" i="147"/>
  <c r="H56" i="147"/>
  <c r="R56" i="147" s="1"/>
  <c r="M56" i="147"/>
  <c r="G56" i="147"/>
  <c r="L56" i="147"/>
  <c r="F56" i="147"/>
  <c r="Q56" i="147" s="1"/>
  <c r="K56" i="147"/>
  <c r="J56" i="147"/>
  <c r="I56" i="147"/>
  <c r="P56" i="147"/>
  <c r="O56" i="147"/>
  <c r="R63" i="147"/>
  <c r="F63" i="147"/>
  <c r="I62" i="147"/>
  <c r="N62" i="147" s="1"/>
  <c r="R62" i="147" s="1"/>
  <c r="O94" i="147"/>
  <c r="R94" i="147" s="1"/>
  <c r="H94" i="147"/>
  <c r="L53" i="147"/>
  <c r="F53" i="147"/>
  <c r="O53" i="147" s="1"/>
  <c r="K53" i="147"/>
  <c r="J53" i="147"/>
  <c r="N53" i="147"/>
  <c r="I53" i="147"/>
  <c r="M53" i="147"/>
  <c r="H53" i="147"/>
  <c r="G53" i="147"/>
  <c r="L66" i="147"/>
  <c r="F66" i="147"/>
  <c r="K66" i="147"/>
  <c r="J66" i="147"/>
  <c r="O66" i="147"/>
  <c r="N66" i="147"/>
  <c r="I66" i="147"/>
  <c r="M66" i="147"/>
  <c r="H66" i="147"/>
  <c r="R66" i="147" s="1"/>
  <c r="G66" i="147"/>
  <c r="F43" i="147"/>
  <c r="F45" i="147" s="1"/>
  <c r="F11" i="147"/>
  <c r="R11" i="147" s="1"/>
  <c r="O10" i="147"/>
  <c r="I10" i="147"/>
  <c r="N10" i="147"/>
  <c r="H10" i="147"/>
  <c r="L10" i="147"/>
  <c r="F10" i="147"/>
  <c r="R10" i="147" s="1"/>
  <c r="G10" i="147"/>
  <c r="Q10" i="147"/>
  <c r="P10" i="147"/>
  <c r="M10" i="147"/>
  <c r="K10" i="147"/>
  <c r="J10" i="147"/>
  <c r="D25" i="147"/>
  <c r="M3" i="147"/>
  <c r="G3" i="147"/>
  <c r="L3" i="147"/>
  <c r="F3" i="147"/>
  <c r="J3" i="147"/>
  <c r="K3" i="147"/>
  <c r="P3" i="147"/>
  <c r="O3" i="147"/>
  <c r="I3" i="147"/>
  <c r="N3" i="147"/>
  <c r="H3" i="147"/>
  <c r="I73" i="147"/>
  <c r="N73" i="147"/>
  <c r="H73" i="147"/>
  <c r="M73" i="147"/>
  <c r="G73" i="147"/>
  <c r="R73" i="147" s="1"/>
  <c r="L73" i="147"/>
  <c r="K73" i="147"/>
  <c r="F73" i="147"/>
  <c r="O73" i="147" s="1"/>
  <c r="J73" i="147"/>
  <c r="P55" i="147"/>
  <c r="J55" i="147"/>
  <c r="O55" i="147"/>
  <c r="I55" i="147"/>
  <c r="N55" i="147"/>
  <c r="H55" i="147"/>
  <c r="M55" i="147"/>
  <c r="L55" i="147"/>
  <c r="G55" i="147"/>
  <c r="K55" i="147"/>
  <c r="F55" i="147"/>
  <c r="N16" i="147"/>
  <c r="H16" i="147"/>
  <c r="M16" i="147"/>
  <c r="G16" i="147"/>
  <c r="K16" i="147"/>
  <c r="F16" i="147"/>
  <c r="P16" i="147"/>
  <c r="L16" i="147"/>
  <c r="O16" i="147"/>
  <c r="J16" i="147"/>
  <c r="I16" i="147"/>
  <c r="H77" i="147"/>
  <c r="N77" i="147" s="1"/>
  <c r="R77" i="147" s="1"/>
  <c r="F36" i="147"/>
  <c r="L36" i="147" s="1"/>
  <c r="R36" i="147" s="1"/>
  <c r="L54" i="147"/>
  <c r="F54" i="147"/>
  <c r="K54" i="147"/>
  <c r="P54" i="147"/>
  <c r="J54" i="147"/>
  <c r="O54" i="147"/>
  <c r="N54" i="147"/>
  <c r="I54" i="147"/>
  <c r="M54" i="147"/>
  <c r="H54" i="147"/>
  <c r="G54" i="147"/>
  <c r="H67" i="147"/>
  <c r="R67" i="147"/>
  <c r="D87" i="147"/>
  <c r="F88" i="147"/>
  <c r="L88" i="147" s="1"/>
  <c r="M6" i="147"/>
  <c r="G6" i="147"/>
  <c r="Q6" i="147" s="1"/>
  <c r="L6" i="147"/>
  <c r="F6" i="147"/>
  <c r="J6" i="147"/>
  <c r="K6" i="147"/>
  <c r="P6" i="147"/>
  <c r="O6" i="147"/>
  <c r="I6" i="147"/>
  <c r="N6" i="147"/>
  <c r="H6" i="147"/>
  <c r="M8" i="147"/>
  <c r="G8" i="147"/>
  <c r="Q8" i="147" s="1"/>
  <c r="L8" i="147"/>
  <c r="F8" i="147"/>
  <c r="P8" i="147"/>
  <c r="J8" i="147"/>
  <c r="K8" i="147"/>
  <c r="I8" i="147"/>
  <c r="R8" i="147" s="1"/>
  <c r="H8" i="147"/>
  <c r="O8" i="147"/>
  <c r="N8" i="147"/>
  <c r="P30" i="147"/>
  <c r="J30" i="147"/>
  <c r="O30" i="147"/>
  <c r="I30" i="147"/>
  <c r="M30" i="147"/>
  <c r="G30" i="147"/>
  <c r="N30" i="147"/>
  <c r="L30" i="147"/>
  <c r="H30" i="147"/>
  <c r="K30" i="147"/>
  <c r="F30" i="147"/>
  <c r="N28" i="147"/>
  <c r="H28" i="147"/>
  <c r="M28" i="147"/>
  <c r="G28" i="147"/>
  <c r="K28" i="147"/>
  <c r="F28" i="147"/>
  <c r="P28" i="147"/>
  <c r="L28" i="147"/>
  <c r="O28" i="147"/>
  <c r="J28" i="147"/>
  <c r="I28" i="147"/>
  <c r="Q28" i="147" s="1"/>
  <c r="K9" i="147"/>
  <c r="P9" i="147"/>
  <c r="J9" i="147"/>
  <c r="N9" i="147"/>
  <c r="H9" i="147"/>
  <c r="R9" i="147" s="1"/>
  <c r="I9" i="147"/>
  <c r="G9" i="147"/>
  <c r="O9" i="147"/>
  <c r="F9" i="147"/>
  <c r="Q9" i="147" s="1"/>
  <c r="M9" i="147"/>
  <c r="L9" i="147"/>
  <c r="K4" i="147"/>
  <c r="P4" i="147"/>
  <c r="J4" i="147"/>
  <c r="H4" i="147"/>
  <c r="O4" i="147"/>
  <c r="I4" i="147"/>
  <c r="N4" i="147"/>
  <c r="M4" i="147"/>
  <c r="G4" i="147"/>
  <c r="L4" i="147"/>
  <c r="F4" i="147"/>
  <c r="Q4" i="147" s="1"/>
  <c r="N33" i="147"/>
  <c r="M33" i="147"/>
  <c r="L33" i="147"/>
  <c r="J33" i="147"/>
  <c r="I33" i="147"/>
  <c r="P33" i="147"/>
  <c r="G33" i="147"/>
  <c r="H33" i="147"/>
  <c r="F33" i="147"/>
  <c r="O33" i="147"/>
  <c r="K33" i="147"/>
  <c r="R82" i="147"/>
  <c r="F82" i="147"/>
  <c r="O5" i="147"/>
  <c r="I5" i="147"/>
  <c r="N5" i="147"/>
  <c r="H5" i="147"/>
  <c r="F5" i="147"/>
  <c r="M5" i="147"/>
  <c r="G5" i="147"/>
  <c r="L5" i="147"/>
  <c r="K5" i="147"/>
  <c r="P5" i="147"/>
  <c r="J5" i="147"/>
  <c r="F24" i="147"/>
  <c r="L24" i="147" s="1"/>
  <c r="R24" i="147" s="1"/>
  <c r="N31" i="147"/>
  <c r="H31" i="147"/>
  <c r="M31" i="147"/>
  <c r="G31" i="147"/>
  <c r="K31" i="147"/>
  <c r="L31" i="147"/>
  <c r="J31" i="147"/>
  <c r="I31" i="147"/>
  <c r="F31" i="147"/>
  <c r="P31" i="147"/>
  <c r="O31" i="147"/>
  <c r="L17" i="147"/>
  <c r="F17" i="147"/>
  <c r="K17" i="147"/>
  <c r="O17" i="147"/>
  <c r="I17" i="147"/>
  <c r="P17" i="147"/>
  <c r="N17" i="147"/>
  <c r="M17" i="147"/>
  <c r="J17" i="147"/>
  <c r="H17" i="147"/>
  <c r="Q17" i="147" s="1"/>
  <c r="G17" i="147"/>
  <c r="D45" i="147"/>
  <c r="I42" i="147"/>
  <c r="I45" i="147" s="1"/>
  <c r="F81" i="147"/>
  <c r="R81" i="147" s="1"/>
  <c r="L50" i="147"/>
  <c r="F50" i="147"/>
  <c r="K50" i="147"/>
  <c r="J50" i="147"/>
  <c r="O50" i="147"/>
  <c r="N50" i="147"/>
  <c r="I50" i="147"/>
  <c r="M50" i="147"/>
  <c r="H50" i="147"/>
  <c r="R50" i="147" s="1"/>
  <c r="G50" i="147"/>
  <c r="F60" i="147"/>
  <c r="R60" i="147" s="1"/>
  <c r="F71" i="147"/>
  <c r="D76" i="147"/>
  <c r="R71" i="147"/>
  <c r="I75" i="147"/>
  <c r="N75" i="147"/>
  <c r="H75" i="147"/>
  <c r="M75" i="147"/>
  <c r="G75" i="147"/>
  <c r="L75" i="147"/>
  <c r="K75" i="147"/>
  <c r="F75" i="147"/>
  <c r="J75" i="147"/>
  <c r="Q90" i="147"/>
  <c r="L90" i="147" s="1"/>
  <c r="R90" i="147" s="1"/>
  <c r="R79" i="147"/>
  <c r="F79" i="147"/>
  <c r="D83" i="147"/>
  <c r="F69" i="147"/>
  <c r="R69" i="147" s="1"/>
  <c r="L69" i="147"/>
  <c r="I74" i="147"/>
  <c r="N74" i="147"/>
  <c r="H74" i="147"/>
  <c r="M74" i="147"/>
  <c r="G74" i="147"/>
  <c r="L74" i="147"/>
  <c r="K74" i="147"/>
  <c r="F74" i="147"/>
  <c r="O74" i="147" s="1"/>
  <c r="J74" i="147"/>
  <c r="P27" i="147"/>
  <c r="J27" i="147"/>
  <c r="O27" i="147"/>
  <c r="I27" i="147"/>
  <c r="M27" i="147"/>
  <c r="G27" i="147"/>
  <c r="H27" i="147"/>
  <c r="F27" i="147"/>
  <c r="N27" i="147"/>
  <c r="L27" i="147"/>
  <c r="K27" i="147"/>
  <c r="P93" i="147"/>
  <c r="J93" i="147"/>
  <c r="O93" i="147"/>
  <c r="I93" i="147"/>
  <c r="N93" i="147"/>
  <c r="H93" i="147"/>
  <c r="K93" i="147"/>
  <c r="G93" i="147"/>
  <c r="L93" i="147"/>
  <c r="F93" i="147"/>
  <c r="Q93" i="147" s="1"/>
  <c r="M93" i="147"/>
  <c r="P13" i="147"/>
  <c r="J13" i="147"/>
  <c r="O13" i="147"/>
  <c r="I13" i="147"/>
  <c r="M13" i="147"/>
  <c r="G13" i="147"/>
  <c r="N13" i="147"/>
  <c r="L13" i="147"/>
  <c r="K13" i="147"/>
  <c r="H13" i="147"/>
  <c r="F13" i="147"/>
  <c r="R44" i="147"/>
  <c r="L44" i="147"/>
  <c r="L45" i="147" s="1"/>
  <c r="L29" i="147"/>
  <c r="F29" i="147"/>
  <c r="K29" i="147"/>
  <c r="O29" i="147"/>
  <c r="I29" i="147"/>
  <c r="P29" i="147"/>
  <c r="N29" i="147"/>
  <c r="M29" i="147"/>
  <c r="J29" i="147"/>
  <c r="H29" i="147"/>
  <c r="G29" i="147"/>
  <c r="Q29" i="147" s="1"/>
  <c r="N59" i="147"/>
  <c r="H59" i="147"/>
  <c r="M59" i="147"/>
  <c r="G59" i="147"/>
  <c r="R59" i="147" s="1"/>
  <c r="L59" i="147"/>
  <c r="F59" i="147"/>
  <c r="Q59" i="147" s="1"/>
  <c r="P59" i="147"/>
  <c r="K59" i="147"/>
  <c r="O59" i="147"/>
  <c r="J59" i="147"/>
  <c r="I59" i="147"/>
  <c r="F89" i="147"/>
  <c r="L89" i="147" s="1"/>
  <c r="R89" i="147" s="1"/>
  <c r="L51" i="147"/>
  <c r="F51" i="147"/>
  <c r="K51" i="147"/>
  <c r="J51" i="147"/>
  <c r="N51" i="147"/>
  <c r="I51" i="147"/>
  <c r="M51" i="147"/>
  <c r="H51" i="147"/>
  <c r="G51" i="147"/>
  <c r="L64" i="147"/>
  <c r="F64" i="147"/>
  <c r="K64" i="147"/>
  <c r="J64" i="147"/>
  <c r="N64" i="147"/>
  <c r="I64" i="147"/>
  <c r="M64" i="147"/>
  <c r="H64" i="147"/>
  <c r="G64" i="147"/>
  <c r="F68" i="147"/>
  <c r="R68" i="147" s="1"/>
  <c r="O7" i="147"/>
  <c r="I7" i="147"/>
  <c r="N7" i="147"/>
  <c r="L7" i="147"/>
  <c r="M7" i="147"/>
  <c r="K7" i="147"/>
  <c r="J7" i="147"/>
  <c r="H7" i="147"/>
  <c r="G7" i="147"/>
  <c r="P7" i="147"/>
  <c r="F7" i="147"/>
  <c r="O61" i="147"/>
  <c r="I61" i="147"/>
  <c r="N61" i="147"/>
  <c r="H61" i="147"/>
  <c r="M61" i="147"/>
  <c r="G61" i="147"/>
  <c r="L61" i="147"/>
  <c r="Q61" i="147" s="1"/>
  <c r="K61" i="147"/>
  <c r="F61" i="147"/>
  <c r="R61" i="147" s="1"/>
  <c r="J61" i="147"/>
  <c r="P61" i="147"/>
  <c r="F15" i="147"/>
  <c r="R15" i="147" s="1"/>
  <c r="L15" i="147"/>
  <c r="L49" i="147"/>
  <c r="F49" i="147"/>
  <c r="K49" i="147"/>
  <c r="K70" i="147" s="1"/>
  <c r="J49" i="147"/>
  <c r="D70" i="147"/>
  <c r="N49" i="147"/>
  <c r="I49" i="147"/>
  <c r="I70" i="147" s="1"/>
  <c r="M49" i="147"/>
  <c r="H49" i="147"/>
  <c r="G49" i="147"/>
  <c r="L57" i="147"/>
  <c r="F57" i="147"/>
  <c r="Q57" i="147" s="1"/>
  <c r="K57" i="147"/>
  <c r="P57" i="147"/>
  <c r="J57" i="147"/>
  <c r="I57" i="147"/>
  <c r="H57" i="147"/>
  <c r="O57" i="147"/>
  <c r="N57" i="147"/>
  <c r="G57" i="147"/>
  <c r="M57" i="147"/>
  <c r="I72" i="147"/>
  <c r="I76" i="147" s="1"/>
  <c r="I78" i="147" s="1"/>
  <c r="N72" i="147"/>
  <c r="N76" i="147" s="1"/>
  <c r="H72" i="147"/>
  <c r="M72" i="147"/>
  <c r="M76" i="147" s="1"/>
  <c r="G72" i="147"/>
  <c r="L72" i="147"/>
  <c r="L76" i="147" s="1"/>
  <c r="K72" i="147"/>
  <c r="K76" i="147" s="1"/>
  <c r="K78" i="147" s="1"/>
  <c r="F72" i="147"/>
  <c r="J72" i="147"/>
  <c r="K26" i="147"/>
  <c r="J26" i="147"/>
  <c r="O26" i="147"/>
  <c r="H26" i="147"/>
  <c r="I26" i="147"/>
  <c r="F26" i="147"/>
  <c r="P26" i="147"/>
  <c r="P37" i="147" s="1"/>
  <c r="D37" i="147"/>
  <c r="N26" i="147"/>
  <c r="M26" i="147"/>
  <c r="I92" i="147"/>
  <c r="H92" i="147"/>
  <c r="G92" i="147"/>
  <c r="J92" i="147"/>
  <c r="F92" i="147"/>
  <c r="K92" i="147"/>
  <c r="L92" i="147"/>
  <c r="J12" i="147"/>
  <c r="I12" i="147"/>
  <c r="M12" i="147"/>
  <c r="G12" i="147"/>
  <c r="N12" i="147"/>
  <c r="L12" i="147"/>
  <c r="H12" i="147"/>
  <c r="K12" i="147"/>
  <c r="F12" i="147"/>
  <c r="N46" i="147"/>
  <c r="N47" i="147" s="1"/>
  <c r="K46" i="147"/>
  <c r="K47" i="147" s="1"/>
  <c r="D47" i="147"/>
  <c r="F46" i="147"/>
  <c r="F47" i="147" s="1"/>
  <c r="L32" i="147"/>
  <c r="F32" i="147"/>
  <c r="K32" i="147"/>
  <c r="O32" i="147"/>
  <c r="I32" i="147"/>
  <c r="J32" i="147"/>
  <c r="H32" i="147"/>
  <c r="G32" i="147"/>
  <c r="Q32" i="147" s="1"/>
  <c r="P32" i="147"/>
  <c r="N32" i="147"/>
  <c r="M32" i="147"/>
  <c r="L52" i="147"/>
  <c r="F52" i="147"/>
  <c r="O52" i="147" s="1"/>
  <c r="K52" i="147"/>
  <c r="J52" i="147"/>
  <c r="N52" i="147"/>
  <c r="I52" i="147"/>
  <c r="M52" i="147"/>
  <c r="H52" i="147"/>
  <c r="G52" i="147"/>
  <c r="R52" i="147" s="1"/>
  <c r="L65" i="147"/>
  <c r="F65" i="147"/>
  <c r="K65" i="147"/>
  <c r="J65" i="147"/>
  <c r="O65" i="147"/>
  <c r="N65" i="147"/>
  <c r="I65" i="147"/>
  <c r="M65" i="147"/>
  <c r="H65" i="147"/>
  <c r="R65" i="147" s="1"/>
  <c r="G65" i="147"/>
  <c r="F80" i="146"/>
  <c r="R80" i="146"/>
  <c r="H77" i="146"/>
  <c r="N77" i="146"/>
  <c r="R77" i="146" s="1"/>
  <c r="J50" i="146"/>
  <c r="M50" i="146"/>
  <c r="F50" i="146"/>
  <c r="I50" i="146"/>
  <c r="N50" i="146"/>
  <c r="L50" i="146"/>
  <c r="O50" i="146" s="1"/>
  <c r="K50" i="146"/>
  <c r="H50" i="146"/>
  <c r="G50" i="146"/>
  <c r="D83" i="146"/>
  <c r="F79" i="146"/>
  <c r="F83" i="146" s="1"/>
  <c r="M72" i="146"/>
  <c r="G72" i="146"/>
  <c r="J72" i="146"/>
  <c r="F72" i="146"/>
  <c r="O72" i="146" s="1"/>
  <c r="L72" i="146"/>
  <c r="K72" i="146"/>
  <c r="K76" i="146" s="1"/>
  <c r="I72" i="146"/>
  <c r="N72" i="146"/>
  <c r="N76" i="146" s="1"/>
  <c r="H72" i="146"/>
  <c r="H76" i="146" s="1"/>
  <c r="M61" i="146"/>
  <c r="G61" i="146"/>
  <c r="O61" i="146"/>
  <c r="H61" i="146"/>
  <c r="L61" i="146"/>
  <c r="N61" i="146"/>
  <c r="Q61" i="146" s="1"/>
  <c r="K61" i="146"/>
  <c r="J61" i="146"/>
  <c r="F61" i="146"/>
  <c r="P61" i="146"/>
  <c r="I61" i="146"/>
  <c r="O31" i="146"/>
  <c r="I31" i="146"/>
  <c r="P31" i="146"/>
  <c r="H31" i="146"/>
  <c r="J31" i="146"/>
  <c r="G31" i="146"/>
  <c r="N31" i="146"/>
  <c r="F31" i="146"/>
  <c r="Q31" i="146" s="1"/>
  <c r="M31" i="146"/>
  <c r="L31" i="146"/>
  <c r="K31" i="146"/>
  <c r="I42" i="146"/>
  <c r="I45" i="146" s="1"/>
  <c r="R42" i="146"/>
  <c r="D45" i="146"/>
  <c r="L59" i="146"/>
  <c r="F59" i="146"/>
  <c r="Q59" i="146" s="1"/>
  <c r="J59" i="146"/>
  <c r="M59" i="146"/>
  <c r="I59" i="146"/>
  <c r="R59" i="146" s="1"/>
  <c r="H59" i="146"/>
  <c r="P59" i="146"/>
  <c r="G59" i="146"/>
  <c r="O59" i="146"/>
  <c r="N59" i="146"/>
  <c r="K59" i="146"/>
  <c r="D25" i="146"/>
  <c r="K3" i="146"/>
  <c r="J3" i="146"/>
  <c r="P3" i="146"/>
  <c r="I3" i="146"/>
  <c r="L3" i="146"/>
  <c r="O3" i="146"/>
  <c r="H3" i="146"/>
  <c r="N3" i="146"/>
  <c r="G3" i="146"/>
  <c r="M3" i="146"/>
  <c r="F3" i="146"/>
  <c r="F43" i="146"/>
  <c r="F45" i="146" s="1"/>
  <c r="P57" i="146"/>
  <c r="J57" i="146"/>
  <c r="I57" i="146"/>
  <c r="N57" i="146"/>
  <c r="F57" i="146"/>
  <c r="Q57" i="146" s="1"/>
  <c r="G57" i="146"/>
  <c r="O57" i="146"/>
  <c r="M57" i="146"/>
  <c r="K57" i="146"/>
  <c r="H57" i="146"/>
  <c r="L57" i="146"/>
  <c r="K10" i="146"/>
  <c r="P10" i="146"/>
  <c r="J10" i="146"/>
  <c r="O10" i="146"/>
  <c r="I10" i="146"/>
  <c r="H10" i="146"/>
  <c r="G10" i="146"/>
  <c r="F10" i="146"/>
  <c r="L10" i="146"/>
  <c r="N10" i="146"/>
  <c r="M10" i="146"/>
  <c r="K46" i="146"/>
  <c r="K47" i="146" s="1"/>
  <c r="D47" i="146"/>
  <c r="N46" i="146"/>
  <c r="N47" i="146" s="1"/>
  <c r="F46" i="146"/>
  <c r="F47" i="146" s="1"/>
  <c r="K27" i="146"/>
  <c r="N27" i="146"/>
  <c r="G27" i="146"/>
  <c r="M27" i="146"/>
  <c r="L27" i="146"/>
  <c r="J27" i="146"/>
  <c r="P27" i="146"/>
  <c r="O27" i="146"/>
  <c r="I27" i="146"/>
  <c r="H27" i="146"/>
  <c r="F27" i="146"/>
  <c r="M73" i="146"/>
  <c r="G73" i="146"/>
  <c r="L73" i="146"/>
  <c r="K73" i="146"/>
  <c r="J73" i="146"/>
  <c r="I73" i="146"/>
  <c r="O73" i="146" s="1"/>
  <c r="H73" i="146"/>
  <c r="N73" i="146"/>
  <c r="F73" i="146"/>
  <c r="R81" i="146"/>
  <c r="F81" i="146"/>
  <c r="F24" i="146"/>
  <c r="L24" i="146" s="1"/>
  <c r="R24" i="146" s="1"/>
  <c r="J64" i="146"/>
  <c r="H64" i="146"/>
  <c r="I64" i="146"/>
  <c r="M64" i="146"/>
  <c r="L64" i="146"/>
  <c r="K64" i="146"/>
  <c r="F64" i="146"/>
  <c r="O64" i="146" s="1"/>
  <c r="N64" i="146"/>
  <c r="G64" i="146"/>
  <c r="O4" i="146"/>
  <c r="I4" i="146"/>
  <c r="K4" i="146"/>
  <c r="J4" i="146"/>
  <c r="P4" i="146"/>
  <c r="H4" i="146"/>
  <c r="L4" i="146"/>
  <c r="N4" i="146"/>
  <c r="G4" i="146"/>
  <c r="Q4" i="146" s="1"/>
  <c r="R4" i="146" s="1"/>
  <c r="M4" i="146"/>
  <c r="F4" i="146"/>
  <c r="K7" i="146"/>
  <c r="P7" i="146"/>
  <c r="J7" i="146"/>
  <c r="O7" i="146"/>
  <c r="I7" i="146"/>
  <c r="N7" i="146"/>
  <c r="M7" i="146"/>
  <c r="L7" i="146"/>
  <c r="H7" i="146"/>
  <c r="G7" i="146"/>
  <c r="F7" i="146"/>
  <c r="Q7" i="146" s="1"/>
  <c r="R7" i="146" s="1"/>
  <c r="R68" i="146"/>
  <c r="F68" i="146"/>
  <c r="J51" i="146"/>
  <c r="H51" i="146"/>
  <c r="N51" i="146"/>
  <c r="F51" i="146"/>
  <c r="L51" i="146"/>
  <c r="K51" i="146"/>
  <c r="I51" i="146"/>
  <c r="M51" i="146"/>
  <c r="G51" i="146"/>
  <c r="M29" i="146"/>
  <c r="G29" i="146"/>
  <c r="O29" i="146"/>
  <c r="H29" i="146"/>
  <c r="K29" i="146"/>
  <c r="Q29" i="146" s="1"/>
  <c r="J29" i="146"/>
  <c r="I29" i="146"/>
  <c r="F29" i="146"/>
  <c r="P29" i="146"/>
  <c r="N29" i="146"/>
  <c r="R29" i="146" s="1"/>
  <c r="L29" i="146"/>
  <c r="D93" i="146"/>
  <c r="O8" i="146"/>
  <c r="I8" i="146"/>
  <c r="N8" i="146"/>
  <c r="H8" i="146"/>
  <c r="Q8" i="146" s="1"/>
  <c r="R8" i="146" s="1"/>
  <c r="M8" i="146"/>
  <c r="G8" i="146"/>
  <c r="L8" i="146"/>
  <c r="K8" i="146"/>
  <c r="J8" i="146"/>
  <c r="F8" i="146"/>
  <c r="P8" i="146"/>
  <c r="L56" i="146"/>
  <c r="F56" i="146"/>
  <c r="R56" i="146" s="1"/>
  <c r="P56" i="146"/>
  <c r="I56" i="146"/>
  <c r="K56" i="146"/>
  <c r="J56" i="146"/>
  <c r="H56" i="146"/>
  <c r="Q56" i="146"/>
  <c r="G56" i="146"/>
  <c r="O56" i="146"/>
  <c r="N56" i="146"/>
  <c r="M56" i="146"/>
  <c r="M6" i="146"/>
  <c r="G6" i="146"/>
  <c r="Q6" i="146" s="1"/>
  <c r="L6" i="146"/>
  <c r="F6" i="146"/>
  <c r="R6" i="146" s="1"/>
  <c r="K6" i="146"/>
  <c r="P6" i="146"/>
  <c r="O6" i="146"/>
  <c r="H6" i="146"/>
  <c r="N6" i="146"/>
  <c r="J6" i="146"/>
  <c r="I6" i="146"/>
  <c r="J53" i="146"/>
  <c r="M53" i="146"/>
  <c r="F53" i="146"/>
  <c r="O53" i="146" s="1"/>
  <c r="H53" i="146"/>
  <c r="I53" i="146"/>
  <c r="G53" i="146"/>
  <c r="R53" i="146" s="1"/>
  <c r="N53" i="146"/>
  <c r="L53" i="146"/>
  <c r="K53" i="146"/>
  <c r="F60" i="146"/>
  <c r="R60" i="146" s="1"/>
  <c r="D76" i="146"/>
  <c r="F71" i="146"/>
  <c r="R71" i="146" s="1"/>
  <c r="J49" i="146"/>
  <c r="D70" i="146"/>
  <c r="K49" i="146"/>
  <c r="M49" i="146"/>
  <c r="F49" i="146"/>
  <c r="N49" i="146"/>
  <c r="L49" i="146"/>
  <c r="H49" i="146"/>
  <c r="G49" i="146"/>
  <c r="I49" i="146"/>
  <c r="K30" i="146"/>
  <c r="O30" i="146"/>
  <c r="H30" i="146"/>
  <c r="N30" i="146"/>
  <c r="F30" i="146"/>
  <c r="M30" i="146"/>
  <c r="L30" i="146"/>
  <c r="J30" i="146"/>
  <c r="I30" i="146"/>
  <c r="G30" i="146"/>
  <c r="P30" i="146"/>
  <c r="Q90" i="146"/>
  <c r="F89" i="146"/>
  <c r="L89" i="146" s="1"/>
  <c r="R89" i="146" s="1"/>
  <c r="J65" i="146"/>
  <c r="K65" i="146"/>
  <c r="N65" i="146"/>
  <c r="F65" i="146"/>
  <c r="O65" i="146" s="1"/>
  <c r="L65" i="146"/>
  <c r="I65" i="146"/>
  <c r="H65" i="146"/>
  <c r="R65" i="146" s="1"/>
  <c r="M65" i="146"/>
  <c r="G65" i="146"/>
  <c r="O16" i="146"/>
  <c r="I16" i="146"/>
  <c r="K16" i="146"/>
  <c r="J16" i="146"/>
  <c r="P16" i="146"/>
  <c r="H16" i="146"/>
  <c r="Q16" i="146" s="1"/>
  <c r="N16" i="146"/>
  <c r="M16" i="146"/>
  <c r="L16" i="146"/>
  <c r="G16" i="146"/>
  <c r="F16" i="146"/>
  <c r="L44" i="146"/>
  <c r="L45" i="146" s="1"/>
  <c r="R44" i="146"/>
  <c r="J52" i="146"/>
  <c r="K52" i="146"/>
  <c r="L52" i="146"/>
  <c r="I52" i="146"/>
  <c r="H52" i="146"/>
  <c r="O52" i="146" s="1"/>
  <c r="G52" i="146"/>
  <c r="N52" i="146"/>
  <c r="M52" i="146"/>
  <c r="F52" i="146"/>
  <c r="R52" i="146" s="1"/>
  <c r="O28" i="146"/>
  <c r="I28" i="146"/>
  <c r="N28" i="146"/>
  <c r="G28" i="146"/>
  <c r="H28" i="146"/>
  <c r="P28" i="146"/>
  <c r="F28" i="146"/>
  <c r="M28" i="146"/>
  <c r="L28" i="146"/>
  <c r="K28" i="146"/>
  <c r="J28" i="146"/>
  <c r="M5" i="146"/>
  <c r="G5" i="146"/>
  <c r="K5" i="146"/>
  <c r="J5" i="146"/>
  <c r="P5" i="146"/>
  <c r="I5" i="146"/>
  <c r="O5" i="146"/>
  <c r="H5" i="146"/>
  <c r="R5" i="146" s="1"/>
  <c r="N5" i="146"/>
  <c r="Q5" i="146" s="1"/>
  <c r="F5" i="146"/>
  <c r="L5" i="146"/>
  <c r="F11" i="146"/>
  <c r="R11" i="146" s="1"/>
  <c r="D109" i="146"/>
  <c r="M32" i="146"/>
  <c r="G32" i="146"/>
  <c r="P32" i="146"/>
  <c r="I32" i="146"/>
  <c r="L32" i="146"/>
  <c r="K32" i="146"/>
  <c r="J32" i="146"/>
  <c r="O32" i="146"/>
  <c r="N32" i="146"/>
  <c r="H32" i="146"/>
  <c r="F32" i="146"/>
  <c r="M9" i="146"/>
  <c r="G9" i="146"/>
  <c r="L9" i="146"/>
  <c r="F9" i="146"/>
  <c r="K9" i="146"/>
  <c r="J9" i="146"/>
  <c r="I9" i="146"/>
  <c r="H9" i="146"/>
  <c r="Q9" i="146" s="1"/>
  <c r="P9" i="146"/>
  <c r="O9" i="146"/>
  <c r="N9" i="146"/>
  <c r="H67" i="146"/>
  <c r="R67" i="146" s="1"/>
  <c r="R63" i="146"/>
  <c r="F63" i="146"/>
  <c r="D92" i="146"/>
  <c r="P54" i="146"/>
  <c r="J54" i="146"/>
  <c r="O54" i="146"/>
  <c r="H54" i="146"/>
  <c r="M54" i="146"/>
  <c r="G54" i="146"/>
  <c r="F54" i="146"/>
  <c r="N54" i="146"/>
  <c r="K54" i="146"/>
  <c r="I54" i="146"/>
  <c r="L54" i="146"/>
  <c r="L33" i="146"/>
  <c r="K33" i="146"/>
  <c r="I33" i="146"/>
  <c r="P33" i="146"/>
  <c r="G33" i="146"/>
  <c r="O33" i="146"/>
  <c r="F33" i="146"/>
  <c r="Q33" i="146" s="1"/>
  <c r="N33" i="146"/>
  <c r="M33" i="146"/>
  <c r="J33" i="146"/>
  <c r="H33" i="146"/>
  <c r="F69" i="146"/>
  <c r="L69" i="146" s="1"/>
  <c r="N55" i="146"/>
  <c r="H55" i="146"/>
  <c r="P55" i="146"/>
  <c r="I55" i="146"/>
  <c r="Q55" i="146"/>
  <c r="G55" i="146"/>
  <c r="M55" i="146"/>
  <c r="L55" i="146"/>
  <c r="K55" i="146"/>
  <c r="O55" i="146"/>
  <c r="R55" i="146" s="1"/>
  <c r="J55" i="146"/>
  <c r="F55" i="146"/>
  <c r="F15" i="146"/>
  <c r="L15" i="146" s="1"/>
  <c r="J66" i="146"/>
  <c r="M66" i="146"/>
  <c r="F66" i="146"/>
  <c r="K66" i="146"/>
  <c r="I66" i="146"/>
  <c r="H66" i="146"/>
  <c r="O66" i="146" s="1"/>
  <c r="G66" i="146"/>
  <c r="N66" i="146"/>
  <c r="L66" i="146"/>
  <c r="L12" i="146"/>
  <c r="F12" i="146"/>
  <c r="K12" i="146"/>
  <c r="J12" i="146"/>
  <c r="N12" i="146"/>
  <c r="G12" i="146"/>
  <c r="M12" i="146"/>
  <c r="I12" i="146"/>
  <c r="H12" i="146"/>
  <c r="M26" i="146"/>
  <c r="N26" i="146"/>
  <c r="I26" i="146"/>
  <c r="H26" i="146"/>
  <c r="D37" i="146"/>
  <c r="P26" i="146"/>
  <c r="F26" i="146"/>
  <c r="F37" i="146" s="1"/>
  <c r="O26" i="146"/>
  <c r="K26" i="146"/>
  <c r="J26" i="146"/>
  <c r="D87" i="146"/>
  <c r="F88" i="146"/>
  <c r="L88" i="146" s="1"/>
  <c r="N58" i="146"/>
  <c r="H58" i="146"/>
  <c r="J58" i="146"/>
  <c r="I58" i="146"/>
  <c r="M58" i="146"/>
  <c r="L58" i="146"/>
  <c r="K58" i="146"/>
  <c r="P58" i="146"/>
  <c r="O58" i="146"/>
  <c r="G58" i="146"/>
  <c r="F58" i="146"/>
  <c r="Q58" i="146" s="1"/>
  <c r="R58" i="146" s="1"/>
  <c r="M17" i="146"/>
  <c r="G17" i="146"/>
  <c r="K17" i="146"/>
  <c r="R17" i="146" s="1"/>
  <c r="J17" i="146"/>
  <c r="P17" i="146"/>
  <c r="I17" i="146"/>
  <c r="O17" i="146"/>
  <c r="N17" i="146"/>
  <c r="L17" i="146"/>
  <c r="H17" i="146"/>
  <c r="F17" i="146"/>
  <c r="Q17" i="146" s="1"/>
  <c r="O14" i="146"/>
  <c r="I14" i="146"/>
  <c r="N14" i="146"/>
  <c r="G14" i="146"/>
  <c r="M14" i="146"/>
  <c r="F14" i="146"/>
  <c r="Q14" i="146" s="1"/>
  <c r="L14" i="146"/>
  <c r="H14" i="146"/>
  <c r="P14" i="146"/>
  <c r="K14" i="146"/>
  <c r="J14" i="146"/>
  <c r="M74" i="146"/>
  <c r="G74" i="146"/>
  <c r="H74" i="146"/>
  <c r="I74" i="146"/>
  <c r="J74" i="146"/>
  <c r="F74" i="146"/>
  <c r="O74" i="146" s="1"/>
  <c r="R74" i="146" s="1"/>
  <c r="N74" i="146"/>
  <c r="L74" i="146"/>
  <c r="K74" i="146"/>
  <c r="F82" i="146"/>
  <c r="R82" i="146" s="1"/>
  <c r="K13" i="146"/>
  <c r="N13" i="146"/>
  <c r="G13" i="146"/>
  <c r="M13" i="146"/>
  <c r="F13" i="146"/>
  <c r="L13" i="146"/>
  <c r="P13" i="146"/>
  <c r="O13" i="146"/>
  <c r="J13" i="146"/>
  <c r="I13" i="146"/>
  <c r="H13" i="146"/>
  <c r="Q13" i="146" s="1"/>
  <c r="M75" i="146"/>
  <c r="G75" i="146"/>
  <c r="J75" i="146"/>
  <c r="N75" i="146"/>
  <c r="H75" i="146"/>
  <c r="O75" i="146" s="1"/>
  <c r="R75" i="146" s="1"/>
  <c r="F75" i="146"/>
  <c r="K75" i="146"/>
  <c r="I75" i="146"/>
  <c r="L75" i="146"/>
  <c r="F36" i="146"/>
  <c r="L36" i="146" s="1"/>
  <c r="R36" i="146" s="1"/>
  <c r="I62" i="146"/>
  <c r="H94" i="146"/>
  <c r="P57" i="145"/>
  <c r="J57" i="145"/>
  <c r="K57" i="145"/>
  <c r="I57" i="145"/>
  <c r="N57" i="145"/>
  <c r="M57" i="145"/>
  <c r="O57" i="145"/>
  <c r="L57" i="145"/>
  <c r="H57" i="145"/>
  <c r="G57" i="145"/>
  <c r="F57" i="145"/>
  <c r="L30" i="145"/>
  <c r="F30" i="145"/>
  <c r="K30" i="145"/>
  <c r="J30" i="145"/>
  <c r="I30" i="145"/>
  <c r="O30" i="145"/>
  <c r="N30" i="145"/>
  <c r="M30" i="145"/>
  <c r="G30" i="145"/>
  <c r="P30" i="145"/>
  <c r="H30" i="145"/>
  <c r="Q90" i="145"/>
  <c r="L90" i="145" s="1"/>
  <c r="R90" i="145" s="1"/>
  <c r="F60" i="145"/>
  <c r="R60" i="145" s="1"/>
  <c r="N77" i="145"/>
  <c r="H77" i="145"/>
  <c r="R77" i="145"/>
  <c r="L93" i="145"/>
  <c r="F93" i="145"/>
  <c r="R93" i="145" s="1"/>
  <c r="N93" i="145"/>
  <c r="H93" i="145"/>
  <c r="K93" i="145"/>
  <c r="J93" i="145"/>
  <c r="O93" i="145"/>
  <c r="M93" i="145"/>
  <c r="P93" i="145"/>
  <c r="I93" i="145"/>
  <c r="Q93" i="145" s="1"/>
  <c r="G93" i="145"/>
  <c r="P54" i="145"/>
  <c r="P70" i="145" s="1"/>
  <c r="P78" i="145" s="1"/>
  <c r="J54" i="145"/>
  <c r="I54" i="145"/>
  <c r="O54" i="145"/>
  <c r="H54" i="145"/>
  <c r="M54" i="145"/>
  <c r="L54" i="145"/>
  <c r="G54" i="145"/>
  <c r="Q54" i="145" s="1"/>
  <c r="F54" i="145"/>
  <c r="R54" i="145" s="1"/>
  <c r="K54" i="145"/>
  <c r="N54" i="145"/>
  <c r="O3" i="145"/>
  <c r="I3" i="145"/>
  <c r="P3" i="145"/>
  <c r="N3" i="145"/>
  <c r="H3" i="145"/>
  <c r="M3" i="145"/>
  <c r="G3" i="145"/>
  <c r="D25" i="145"/>
  <c r="L3" i="145"/>
  <c r="F3" i="145"/>
  <c r="K3" i="145"/>
  <c r="J3" i="145"/>
  <c r="P31" i="145"/>
  <c r="J31" i="145"/>
  <c r="O31" i="145"/>
  <c r="I31" i="145"/>
  <c r="Q31" i="145" s="1"/>
  <c r="N31" i="145"/>
  <c r="F31" i="145"/>
  <c r="M31" i="145"/>
  <c r="L31" i="145"/>
  <c r="K31" i="145"/>
  <c r="H31" i="145"/>
  <c r="G31" i="145"/>
  <c r="R80" i="145"/>
  <c r="F80" i="145"/>
  <c r="F69" i="145"/>
  <c r="L33" i="145"/>
  <c r="M33" i="145"/>
  <c r="F33" i="145"/>
  <c r="K33" i="145"/>
  <c r="O33" i="145"/>
  <c r="N33" i="145"/>
  <c r="P33" i="145"/>
  <c r="J33" i="145"/>
  <c r="I33" i="145"/>
  <c r="G33" i="145"/>
  <c r="H33" i="145"/>
  <c r="D92" i="145"/>
  <c r="F63" i="145"/>
  <c r="R63" i="145" s="1"/>
  <c r="D83" i="145"/>
  <c r="F79" i="145"/>
  <c r="R79" i="145" s="1"/>
  <c r="R11" i="145"/>
  <c r="F11" i="145"/>
  <c r="M17" i="145"/>
  <c r="G17" i="145"/>
  <c r="L17" i="145"/>
  <c r="F17" i="145"/>
  <c r="Q17" i="145" s="1"/>
  <c r="J17" i="145"/>
  <c r="K17" i="145"/>
  <c r="I17" i="145"/>
  <c r="P17" i="145"/>
  <c r="H17" i="145"/>
  <c r="O17" i="145"/>
  <c r="N17" i="145"/>
  <c r="K46" i="145"/>
  <c r="K47" i="145" s="1"/>
  <c r="D47" i="145"/>
  <c r="N46" i="145"/>
  <c r="N47" i="145" s="1"/>
  <c r="F46" i="145"/>
  <c r="F47" i="145" s="1"/>
  <c r="N29" i="145"/>
  <c r="H29" i="145"/>
  <c r="M29" i="145"/>
  <c r="G29" i="145"/>
  <c r="P29" i="145"/>
  <c r="F29" i="145"/>
  <c r="O29" i="145"/>
  <c r="L29" i="145"/>
  <c r="K29" i="145"/>
  <c r="J29" i="145"/>
  <c r="Q29" i="145" s="1"/>
  <c r="R29" i="145" s="1"/>
  <c r="I29" i="145"/>
  <c r="O16" i="145"/>
  <c r="I16" i="145"/>
  <c r="N16" i="145"/>
  <c r="H16" i="145"/>
  <c r="P16" i="145"/>
  <c r="F16" i="145"/>
  <c r="M16" i="145"/>
  <c r="L16" i="145"/>
  <c r="K16" i="145"/>
  <c r="J16" i="145"/>
  <c r="G16" i="145"/>
  <c r="N32" i="145"/>
  <c r="H32" i="145"/>
  <c r="M32" i="145"/>
  <c r="G32" i="145"/>
  <c r="J32" i="145"/>
  <c r="I32" i="145"/>
  <c r="O32" i="145"/>
  <c r="P32" i="145"/>
  <c r="L32" i="145"/>
  <c r="R32" i="145" s="1"/>
  <c r="K32" i="145"/>
  <c r="F32" i="145"/>
  <c r="Q32" i="145" s="1"/>
  <c r="P28" i="145"/>
  <c r="J28" i="145"/>
  <c r="O28" i="145"/>
  <c r="I28" i="145"/>
  <c r="L28" i="145"/>
  <c r="K28" i="145"/>
  <c r="N28" i="145"/>
  <c r="M28" i="145"/>
  <c r="G28" i="145"/>
  <c r="R28" i="145" s="1"/>
  <c r="H28" i="145"/>
  <c r="F28" i="145"/>
  <c r="Q28" i="145" s="1"/>
  <c r="O14" i="145"/>
  <c r="I14" i="145"/>
  <c r="N14" i="145"/>
  <c r="H14" i="145"/>
  <c r="P14" i="145"/>
  <c r="F14" i="145"/>
  <c r="Q14" i="145"/>
  <c r="M14" i="145"/>
  <c r="L14" i="145"/>
  <c r="J14" i="145"/>
  <c r="G14" i="145"/>
  <c r="K14" i="145"/>
  <c r="R14" i="145"/>
  <c r="J50" i="145"/>
  <c r="N50" i="145"/>
  <c r="G50" i="145"/>
  <c r="M50" i="145"/>
  <c r="F50" i="145"/>
  <c r="H50" i="145"/>
  <c r="I50" i="145"/>
  <c r="L50" i="145"/>
  <c r="K50" i="145"/>
  <c r="K12" i="145"/>
  <c r="J12" i="145"/>
  <c r="N12" i="145"/>
  <c r="F12" i="145"/>
  <c r="G12" i="145"/>
  <c r="M12" i="145"/>
  <c r="L12" i="145"/>
  <c r="I12" i="145"/>
  <c r="H12" i="145"/>
  <c r="L44" i="145"/>
  <c r="L45" i="145" s="1"/>
  <c r="R44" i="145"/>
  <c r="I42" i="145"/>
  <c r="I45" i="145" s="1"/>
  <c r="R42" i="145"/>
  <c r="D45" i="145"/>
  <c r="F89" i="145"/>
  <c r="P4" i="145"/>
  <c r="O4" i="145"/>
  <c r="I4" i="145"/>
  <c r="H4" i="145"/>
  <c r="N4" i="145"/>
  <c r="G4" i="145"/>
  <c r="M4" i="145"/>
  <c r="F4" i="145"/>
  <c r="L4" i="145"/>
  <c r="K4" i="145"/>
  <c r="Q4" i="145" s="1"/>
  <c r="J4" i="145"/>
  <c r="P7" i="145"/>
  <c r="J7" i="145"/>
  <c r="O7" i="145"/>
  <c r="I7" i="145"/>
  <c r="K7" i="145"/>
  <c r="Q7" i="145" s="1"/>
  <c r="L7" i="145"/>
  <c r="H7" i="145"/>
  <c r="G7" i="145"/>
  <c r="M7" i="145"/>
  <c r="N7" i="145"/>
  <c r="F7" i="145"/>
  <c r="R7" i="145" s="1"/>
  <c r="R71" i="145"/>
  <c r="D76" i="145"/>
  <c r="F71" i="145"/>
  <c r="F43" i="145"/>
  <c r="F45" i="145" s="1"/>
  <c r="M72" i="145"/>
  <c r="G72" i="145"/>
  <c r="K72" i="145"/>
  <c r="K76" i="145" s="1"/>
  <c r="J72" i="145"/>
  <c r="N72" i="145"/>
  <c r="L72" i="145"/>
  <c r="I72" i="145"/>
  <c r="H72" i="145"/>
  <c r="F72" i="145"/>
  <c r="F81" i="145"/>
  <c r="R81" i="145"/>
  <c r="F15" i="145"/>
  <c r="L15" i="145" s="1"/>
  <c r="P10" i="145"/>
  <c r="J10" i="145"/>
  <c r="O10" i="145"/>
  <c r="I10" i="145"/>
  <c r="M10" i="145"/>
  <c r="L10" i="145"/>
  <c r="K10" i="145"/>
  <c r="G10" i="145"/>
  <c r="N10" i="145"/>
  <c r="H10" i="145"/>
  <c r="F10" i="145"/>
  <c r="F82" i="145"/>
  <c r="R82" i="145" s="1"/>
  <c r="L6" i="145"/>
  <c r="F6" i="145"/>
  <c r="K6" i="145"/>
  <c r="O6" i="145"/>
  <c r="G6" i="145"/>
  <c r="N6" i="145"/>
  <c r="M6" i="145"/>
  <c r="I6" i="145"/>
  <c r="Q6" i="145" s="1"/>
  <c r="P6" i="145"/>
  <c r="J6" i="145"/>
  <c r="H6" i="145"/>
  <c r="J51" i="145"/>
  <c r="I51" i="145"/>
  <c r="H51" i="145"/>
  <c r="F51" i="145"/>
  <c r="N51" i="145"/>
  <c r="L51" i="145"/>
  <c r="K51" i="145"/>
  <c r="G51" i="145"/>
  <c r="O51" i="145" s="1"/>
  <c r="M51" i="145"/>
  <c r="K13" i="145"/>
  <c r="P13" i="145"/>
  <c r="J13" i="145"/>
  <c r="L13" i="145"/>
  <c r="I13" i="145"/>
  <c r="H13" i="145"/>
  <c r="F13" i="145"/>
  <c r="O13" i="145"/>
  <c r="G13" i="145"/>
  <c r="Q13" i="145" s="1"/>
  <c r="N13" i="145"/>
  <c r="M13" i="145"/>
  <c r="M26" i="145"/>
  <c r="M37" i="145" s="1"/>
  <c r="P26" i="145"/>
  <c r="H26" i="145"/>
  <c r="D37" i="145"/>
  <c r="O26" i="145"/>
  <c r="F26" i="145"/>
  <c r="I26" i="145"/>
  <c r="I37" i="145" s="1"/>
  <c r="J26" i="145"/>
  <c r="K26" i="145"/>
  <c r="N26" i="145"/>
  <c r="R68" i="145"/>
  <c r="F68" i="145"/>
  <c r="J49" i="145"/>
  <c r="L49" i="145"/>
  <c r="D70" i="145"/>
  <c r="K49" i="145"/>
  <c r="H49" i="145"/>
  <c r="G49" i="145"/>
  <c r="N49" i="145"/>
  <c r="F49" i="145"/>
  <c r="M49" i="145"/>
  <c r="M70" i="145" s="1"/>
  <c r="I49" i="145"/>
  <c r="M75" i="145"/>
  <c r="G75" i="145"/>
  <c r="K75" i="145"/>
  <c r="J75" i="145"/>
  <c r="L75" i="145"/>
  <c r="I75" i="145"/>
  <c r="N75" i="145"/>
  <c r="H75" i="145"/>
  <c r="F75" i="145"/>
  <c r="O75" i="145" s="1"/>
  <c r="J53" i="145"/>
  <c r="N53" i="145"/>
  <c r="G53" i="145"/>
  <c r="M53" i="145"/>
  <c r="F53" i="145"/>
  <c r="L53" i="145"/>
  <c r="I53" i="145"/>
  <c r="H53" i="145"/>
  <c r="K53" i="145"/>
  <c r="F36" i="145"/>
  <c r="J65" i="145"/>
  <c r="L65" i="145"/>
  <c r="K65" i="145"/>
  <c r="M65" i="145"/>
  <c r="I65" i="145"/>
  <c r="N65" i="145"/>
  <c r="G65" i="145"/>
  <c r="F65" i="145"/>
  <c r="H65" i="145"/>
  <c r="D87" i="145"/>
  <c r="F88" i="145"/>
  <c r="J66" i="145"/>
  <c r="N66" i="145"/>
  <c r="G66" i="145"/>
  <c r="M66" i="145"/>
  <c r="F66" i="145"/>
  <c r="K66" i="145"/>
  <c r="R66" i="145" s="1"/>
  <c r="I66" i="145"/>
  <c r="H66" i="145"/>
  <c r="O66" i="145" s="1"/>
  <c r="L66" i="145"/>
  <c r="N8" i="145"/>
  <c r="H8" i="145"/>
  <c r="R8" i="145" s="1"/>
  <c r="M8" i="145"/>
  <c r="G8" i="145"/>
  <c r="O8" i="145"/>
  <c r="L8" i="145"/>
  <c r="K8" i="145"/>
  <c r="Q8" i="145"/>
  <c r="P8" i="145"/>
  <c r="J8" i="145"/>
  <c r="I8" i="145"/>
  <c r="F8" i="145"/>
  <c r="M74" i="145"/>
  <c r="G74" i="145"/>
  <c r="I74" i="145"/>
  <c r="H74" i="145"/>
  <c r="L74" i="145"/>
  <c r="O74" i="145" s="1"/>
  <c r="K74" i="145"/>
  <c r="F74" i="145"/>
  <c r="J74" i="145"/>
  <c r="N74" i="145"/>
  <c r="L9" i="145"/>
  <c r="F9" i="145"/>
  <c r="R9" i="145" s="1"/>
  <c r="K9" i="145"/>
  <c r="I9" i="145"/>
  <c r="Q9" i="145" s="1"/>
  <c r="J9" i="145"/>
  <c r="P9" i="145"/>
  <c r="H9" i="145"/>
  <c r="O9" i="145"/>
  <c r="G9" i="145"/>
  <c r="N9" i="145"/>
  <c r="M9" i="145"/>
  <c r="L56" i="145"/>
  <c r="F56" i="145"/>
  <c r="Q56" i="145" s="1"/>
  <c r="J56" i="145"/>
  <c r="P56" i="145"/>
  <c r="I56" i="145"/>
  <c r="R56" i="145" s="1"/>
  <c r="G56" i="145"/>
  <c r="O56" i="145"/>
  <c r="M56" i="145"/>
  <c r="K56" i="145"/>
  <c r="H56" i="145"/>
  <c r="N56" i="145"/>
  <c r="F24" i="145"/>
  <c r="L24" i="145" s="1"/>
  <c r="R24" i="145" s="1"/>
  <c r="K27" i="145"/>
  <c r="P27" i="145"/>
  <c r="I27" i="145"/>
  <c r="O27" i="145"/>
  <c r="H27" i="145"/>
  <c r="R27" i="145" s="1"/>
  <c r="F27" i="145"/>
  <c r="Q27" i="145" s="1"/>
  <c r="N27" i="145"/>
  <c r="M27" i="145"/>
  <c r="G27" i="145"/>
  <c r="L27" i="145"/>
  <c r="J27" i="145"/>
  <c r="M73" i="145"/>
  <c r="G73" i="145"/>
  <c r="O73" i="145" s="1"/>
  <c r="R73" i="145" s="1"/>
  <c r="N73" i="145"/>
  <c r="F73" i="145"/>
  <c r="L73" i="145"/>
  <c r="K73" i="145"/>
  <c r="I73" i="145"/>
  <c r="H73" i="145"/>
  <c r="J73" i="145"/>
  <c r="J52" i="145"/>
  <c r="L52" i="145"/>
  <c r="K52" i="145"/>
  <c r="F52" i="145"/>
  <c r="N52" i="145"/>
  <c r="M52" i="145"/>
  <c r="I52" i="145"/>
  <c r="R52" i="145" s="1"/>
  <c r="H52" i="145"/>
  <c r="G52" i="145"/>
  <c r="O52" i="145" s="1"/>
  <c r="N62" i="145"/>
  <c r="R62" i="145" s="1"/>
  <c r="I62" i="145"/>
  <c r="H94" i="145"/>
  <c r="O94" i="145" s="1"/>
  <c r="N55" i="145"/>
  <c r="H55" i="145"/>
  <c r="J55" i="145"/>
  <c r="P55" i="145"/>
  <c r="I55" i="145"/>
  <c r="K55" i="145"/>
  <c r="G55" i="145"/>
  <c r="L55" i="145"/>
  <c r="F55" i="145"/>
  <c r="O55" i="145"/>
  <c r="M55" i="145"/>
  <c r="N5" i="145"/>
  <c r="H5" i="145"/>
  <c r="M5" i="145"/>
  <c r="R5" i="145" s="1"/>
  <c r="G5" i="145"/>
  <c r="K5" i="145"/>
  <c r="L5" i="145"/>
  <c r="J5" i="145"/>
  <c r="Q5" i="145"/>
  <c r="I5" i="145"/>
  <c r="P5" i="145"/>
  <c r="F5" i="145"/>
  <c r="O5" i="145"/>
  <c r="J64" i="145"/>
  <c r="I64" i="145"/>
  <c r="H64" i="145"/>
  <c r="M64" i="145"/>
  <c r="L64" i="145"/>
  <c r="N64" i="145"/>
  <c r="K64" i="145"/>
  <c r="G64" i="145"/>
  <c r="O64" i="145" s="1"/>
  <c r="F64" i="145"/>
  <c r="R64" i="145" s="1"/>
  <c r="R6" i="144"/>
  <c r="R14" i="144"/>
  <c r="I42" i="144"/>
  <c r="I45" i="144" s="1"/>
  <c r="D45" i="144"/>
  <c r="N72" i="144"/>
  <c r="H72" i="144"/>
  <c r="M72" i="144"/>
  <c r="G72" i="144"/>
  <c r="K72" i="144"/>
  <c r="I72" i="144"/>
  <c r="L72" i="144"/>
  <c r="J72" i="144"/>
  <c r="F72" i="144"/>
  <c r="O72" i="144" s="1"/>
  <c r="D87" i="144"/>
  <c r="F88" i="144"/>
  <c r="L88" i="144" s="1"/>
  <c r="K12" i="144"/>
  <c r="I12" i="144"/>
  <c r="N12" i="144"/>
  <c r="H12" i="144"/>
  <c r="L12" i="144"/>
  <c r="F12" i="144"/>
  <c r="J12" i="144"/>
  <c r="O12" i="144" s="1"/>
  <c r="G12" i="144"/>
  <c r="M12" i="144"/>
  <c r="M29" i="144"/>
  <c r="G29" i="144"/>
  <c r="R29" i="144" s="1"/>
  <c r="K29" i="144"/>
  <c r="O29" i="144"/>
  <c r="F29" i="144"/>
  <c r="Q29" i="144" s="1"/>
  <c r="L29" i="144"/>
  <c r="J29" i="144"/>
  <c r="I29" i="144"/>
  <c r="H29" i="144"/>
  <c r="P29" i="144"/>
  <c r="N29" i="144"/>
  <c r="K13" i="144"/>
  <c r="O13" i="144"/>
  <c r="I13" i="144"/>
  <c r="P13" i="144"/>
  <c r="G13" i="144"/>
  <c r="M13" i="144"/>
  <c r="L13" i="144"/>
  <c r="J13" i="144"/>
  <c r="H13" i="144"/>
  <c r="N13" i="144"/>
  <c r="F13" i="144"/>
  <c r="Q13" i="144" s="1"/>
  <c r="R13" i="144" s="1"/>
  <c r="N61" i="144"/>
  <c r="H61" i="144"/>
  <c r="M61" i="144"/>
  <c r="G61" i="144"/>
  <c r="O61" i="144"/>
  <c r="K61" i="144"/>
  <c r="F61" i="144"/>
  <c r="Q61" i="144" s="1"/>
  <c r="P61" i="144"/>
  <c r="L61" i="144"/>
  <c r="J61" i="144"/>
  <c r="I61" i="144"/>
  <c r="F79" i="144"/>
  <c r="D83" i="144"/>
  <c r="K49" i="144"/>
  <c r="J49" i="144"/>
  <c r="H49" i="144"/>
  <c r="N49" i="144"/>
  <c r="F49" i="144"/>
  <c r="D70" i="144"/>
  <c r="M49" i="144"/>
  <c r="L49" i="144"/>
  <c r="G49" i="144"/>
  <c r="I49" i="144"/>
  <c r="K57" i="144"/>
  <c r="P57" i="144"/>
  <c r="J57" i="144"/>
  <c r="N57" i="144"/>
  <c r="F57" i="144"/>
  <c r="Q57" i="144" s="1"/>
  <c r="R57" i="144" s="1"/>
  <c r="L57" i="144"/>
  <c r="I57" i="144"/>
  <c r="G57" i="144"/>
  <c r="M57" i="144"/>
  <c r="H57" i="144"/>
  <c r="O57" i="144"/>
  <c r="F69" i="144"/>
  <c r="L69" i="144" s="1"/>
  <c r="R69" i="144" s="1"/>
  <c r="N5" i="144"/>
  <c r="H5" i="144"/>
  <c r="L5" i="144"/>
  <c r="F5" i="144"/>
  <c r="Q5" i="144" s="1"/>
  <c r="K5" i="144"/>
  <c r="O5" i="144"/>
  <c r="G5" i="144"/>
  <c r="P5" i="144"/>
  <c r="M5" i="144"/>
  <c r="J5" i="144"/>
  <c r="I5" i="144"/>
  <c r="L44" i="144"/>
  <c r="L45" i="144" s="1"/>
  <c r="O31" i="144"/>
  <c r="I31" i="144"/>
  <c r="Q31" i="144" s="1"/>
  <c r="M31" i="144"/>
  <c r="G31" i="144"/>
  <c r="R31" i="144" s="1"/>
  <c r="N31" i="144"/>
  <c r="K31" i="144"/>
  <c r="J31" i="144"/>
  <c r="P31" i="144"/>
  <c r="F31" i="144"/>
  <c r="L31" i="144"/>
  <c r="H31" i="144"/>
  <c r="M32" i="144"/>
  <c r="G32" i="144"/>
  <c r="K32" i="144"/>
  <c r="I32" i="144"/>
  <c r="O32" i="144"/>
  <c r="F32" i="144"/>
  <c r="Q32" i="144" s="1"/>
  <c r="N32" i="144"/>
  <c r="J32" i="144"/>
  <c r="H32" i="144"/>
  <c r="P32" i="144"/>
  <c r="L32" i="144"/>
  <c r="L24" i="144"/>
  <c r="F24" i="144"/>
  <c r="R24" i="144" s="1"/>
  <c r="R63" i="144"/>
  <c r="F63" i="144"/>
  <c r="F81" i="144"/>
  <c r="R81" i="144" s="1"/>
  <c r="K50" i="144"/>
  <c r="J50" i="144"/>
  <c r="N50" i="144"/>
  <c r="F50" i="144"/>
  <c r="L50" i="144"/>
  <c r="G50" i="144"/>
  <c r="M50" i="144"/>
  <c r="I50" i="144"/>
  <c r="H50" i="144"/>
  <c r="F60" i="144"/>
  <c r="R60" i="144" s="1"/>
  <c r="F71" i="144"/>
  <c r="D76" i="144"/>
  <c r="D109" i="144" s="1"/>
  <c r="R71" i="144"/>
  <c r="N75" i="144"/>
  <c r="H75" i="144"/>
  <c r="M75" i="144"/>
  <c r="G75" i="144"/>
  <c r="K75" i="144"/>
  <c r="I75" i="144"/>
  <c r="F75" i="144"/>
  <c r="J75" i="144"/>
  <c r="L75" i="144"/>
  <c r="N8" i="144"/>
  <c r="H8" i="144"/>
  <c r="L8" i="144"/>
  <c r="F8" i="144"/>
  <c r="K8" i="144"/>
  <c r="I8" i="144"/>
  <c r="P8" i="144"/>
  <c r="O8" i="144"/>
  <c r="G8" i="144"/>
  <c r="M8" i="144"/>
  <c r="J8" i="144"/>
  <c r="N46" i="144"/>
  <c r="N47" i="144" s="1"/>
  <c r="K46" i="144"/>
  <c r="K47" i="144" s="1"/>
  <c r="D47" i="144"/>
  <c r="F46" i="144"/>
  <c r="F47" i="144" s="1"/>
  <c r="F43" i="144"/>
  <c r="F45" i="144" s="1"/>
  <c r="M26" i="144"/>
  <c r="J26" i="144"/>
  <c r="K26" i="144"/>
  <c r="D37" i="144"/>
  <c r="H26" i="144"/>
  <c r="Q26" i="144" s="1"/>
  <c r="P26" i="144"/>
  <c r="F26" i="144"/>
  <c r="N26" i="144"/>
  <c r="I26" i="144"/>
  <c r="O26" i="144"/>
  <c r="O37" i="144" s="1"/>
  <c r="N74" i="144"/>
  <c r="H74" i="144"/>
  <c r="M74" i="144"/>
  <c r="G74" i="144"/>
  <c r="K74" i="144"/>
  <c r="F74" i="144"/>
  <c r="L74" i="144"/>
  <c r="J74" i="144"/>
  <c r="I74" i="144"/>
  <c r="F89" i="144"/>
  <c r="K51" i="144"/>
  <c r="J51" i="144"/>
  <c r="L51" i="144"/>
  <c r="H51" i="144"/>
  <c r="G51" i="144"/>
  <c r="N51" i="144"/>
  <c r="I51" i="144"/>
  <c r="F51" i="144"/>
  <c r="M51" i="144"/>
  <c r="K64" i="144"/>
  <c r="J64" i="144"/>
  <c r="L64" i="144"/>
  <c r="H64" i="144"/>
  <c r="M64" i="144"/>
  <c r="G64" i="144"/>
  <c r="O64" i="144" s="1"/>
  <c r="F64" i="144"/>
  <c r="I64" i="144"/>
  <c r="N64" i="144"/>
  <c r="P10" i="144"/>
  <c r="J10" i="144"/>
  <c r="N10" i="144"/>
  <c r="H10" i="144"/>
  <c r="M10" i="144"/>
  <c r="G10" i="144"/>
  <c r="L10" i="144"/>
  <c r="K10" i="144"/>
  <c r="O10" i="144"/>
  <c r="I10" i="144"/>
  <c r="F10" i="144"/>
  <c r="Q10" i="144" s="1"/>
  <c r="R10" i="144" s="1"/>
  <c r="L9" i="144"/>
  <c r="F9" i="144"/>
  <c r="R9" i="144" s="1"/>
  <c r="P9" i="144"/>
  <c r="J9" i="144"/>
  <c r="O9" i="144"/>
  <c r="I9" i="144"/>
  <c r="G9" i="144"/>
  <c r="M9" i="144"/>
  <c r="K9" i="144"/>
  <c r="Q9" i="144"/>
  <c r="N9" i="144"/>
  <c r="H9" i="144"/>
  <c r="F11" i="144"/>
  <c r="R11" i="144"/>
  <c r="O58" i="144"/>
  <c r="I58" i="144"/>
  <c r="N58" i="144"/>
  <c r="H58" i="144"/>
  <c r="J58" i="144"/>
  <c r="P58" i="144"/>
  <c r="F58" i="144"/>
  <c r="Q58" i="144" s="1"/>
  <c r="K58" i="144"/>
  <c r="G58" i="144"/>
  <c r="M58" i="144"/>
  <c r="L58" i="144"/>
  <c r="O93" i="144"/>
  <c r="I93" i="144"/>
  <c r="N93" i="144"/>
  <c r="H93" i="144"/>
  <c r="G93" i="144"/>
  <c r="M93" i="144"/>
  <c r="P93" i="144"/>
  <c r="K93" i="144"/>
  <c r="J93" i="144"/>
  <c r="F93" i="144"/>
  <c r="Q93" i="144" s="1"/>
  <c r="L93" i="144"/>
  <c r="R68" i="144"/>
  <c r="F68" i="144"/>
  <c r="K27" i="144"/>
  <c r="O27" i="144"/>
  <c r="I27" i="144"/>
  <c r="P27" i="144"/>
  <c r="G27" i="144"/>
  <c r="M27" i="144"/>
  <c r="L27" i="144"/>
  <c r="H27" i="144"/>
  <c r="N27" i="144"/>
  <c r="J27" i="144"/>
  <c r="F27" i="144"/>
  <c r="Q27" i="144" s="1"/>
  <c r="K52" i="144"/>
  <c r="J52" i="144"/>
  <c r="H52" i="144"/>
  <c r="N52" i="144"/>
  <c r="F52" i="144"/>
  <c r="I52" i="144"/>
  <c r="G52" i="144"/>
  <c r="M52" i="144"/>
  <c r="L52" i="144"/>
  <c r="K65" i="144"/>
  <c r="J65" i="144"/>
  <c r="H65" i="144"/>
  <c r="R65" i="144" s="1"/>
  <c r="N65" i="144"/>
  <c r="F65" i="144"/>
  <c r="M65" i="144"/>
  <c r="I65" i="144"/>
  <c r="G65" i="144"/>
  <c r="O65" i="144"/>
  <c r="L65" i="144"/>
  <c r="Q6" i="144"/>
  <c r="P4" i="144"/>
  <c r="J4" i="144"/>
  <c r="N4" i="144"/>
  <c r="H4" i="144"/>
  <c r="R4" i="144" s="1"/>
  <c r="M4" i="144"/>
  <c r="G4" i="144"/>
  <c r="L4" i="144"/>
  <c r="I4" i="144"/>
  <c r="O4" i="144"/>
  <c r="K4" i="144"/>
  <c r="F4" i="144"/>
  <c r="Q4" i="144" s="1"/>
  <c r="M56" i="144"/>
  <c r="G56" i="144"/>
  <c r="L56" i="144"/>
  <c r="F56" i="144"/>
  <c r="J56" i="144"/>
  <c r="P56" i="144"/>
  <c r="H56" i="144"/>
  <c r="K56" i="144"/>
  <c r="Q56" i="144" s="1"/>
  <c r="I56" i="144"/>
  <c r="O56" i="144"/>
  <c r="N56" i="144"/>
  <c r="O55" i="144"/>
  <c r="I55" i="144"/>
  <c r="N55" i="144"/>
  <c r="H55" i="144"/>
  <c r="P55" i="144"/>
  <c r="F55" i="144"/>
  <c r="Q55" i="144" s="1"/>
  <c r="L55" i="144"/>
  <c r="K55" i="144"/>
  <c r="G55" i="144"/>
  <c r="M55" i="144"/>
  <c r="J55" i="144"/>
  <c r="M59" i="144"/>
  <c r="G59" i="144"/>
  <c r="L59" i="144"/>
  <c r="F59" i="144"/>
  <c r="N59" i="144"/>
  <c r="J59" i="144"/>
  <c r="I59" i="144"/>
  <c r="P59" i="144"/>
  <c r="K59" i="144"/>
  <c r="H59" i="144"/>
  <c r="O59" i="144"/>
  <c r="F15" i="144"/>
  <c r="L15" i="144" s="1"/>
  <c r="N73" i="144"/>
  <c r="H73" i="144"/>
  <c r="M73" i="144"/>
  <c r="G73" i="144"/>
  <c r="I73" i="144"/>
  <c r="L73" i="144"/>
  <c r="K73" i="144"/>
  <c r="F73" i="144"/>
  <c r="J73" i="144"/>
  <c r="K30" i="144"/>
  <c r="O30" i="144"/>
  <c r="I30" i="144"/>
  <c r="J30" i="144"/>
  <c r="P30" i="144"/>
  <c r="G30" i="144"/>
  <c r="N30" i="144"/>
  <c r="F30" i="144"/>
  <c r="Q30" i="144" s="1"/>
  <c r="L30" i="144"/>
  <c r="M30" i="144"/>
  <c r="H30" i="144"/>
  <c r="I62" i="144"/>
  <c r="N62" i="144" s="1"/>
  <c r="H94" i="144"/>
  <c r="O94" i="144" s="1"/>
  <c r="K53" i="144"/>
  <c r="J53" i="144"/>
  <c r="N53" i="144"/>
  <c r="F53" i="144"/>
  <c r="L53" i="144"/>
  <c r="I53" i="144"/>
  <c r="O53" i="144" s="1"/>
  <c r="G53" i="144"/>
  <c r="M53" i="144"/>
  <c r="H53" i="144"/>
  <c r="K66" i="144"/>
  <c r="J66" i="144"/>
  <c r="N66" i="144"/>
  <c r="F66" i="144"/>
  <c r="L66" i="144"/>
  <c r="I66" i="144"/>
  <c r="R66" i="144" s="1"/>
  <c r="H66" i="144"/>
  <c r="O66" i="144" s="1"/>
  <c r="M66" i="144"/>
  <c r="G66" i="144"/>
  <c r="D25" i="144"/>
  <c r="L3" i="144"/>
  <c r="F3" i="144"/>
  <c r="Q3" i="144" s="1"/>
  <c r="P3" i="144"/>
  <c r="J3" i="144"/>
  <c r="O3" i="144"/>
  <c r="I3" i="144"/>
  <c r="G3" i="144"/>
  <c r="G25" i="144" s="1"/>
  <c r="K3" i="144"/>
  <c r="N3" i="144"/>
  <c r="M3" i="144"/>
  <c r="H3" i="144"/>
  <c r="F80" i="144"/>
  <c r="R80" i="144" s="1"/>
  <c r="D92" i="144"/>
  <c r="M17" i="144"/>
  <c r="G17" i="144"/>
  <c r="K17" i="144"/>
  <c r="O17" i="144"/>
  <c r="F17" i="144"/>
  <c r="L17" i="144"/>
  <c r="J17" i="144"/>
  <c r="H17" i="144"/>
  <c r="Q17" i="144" s="1"/>
  <c r="P17" i="144"/>
  <c r="I17" i="144"/>
  <c r="N17" i="144"/>
  <c r="M33" i="144"/>
  <c r="L33" i="144"/>
  <c r="K33" i="144"/>
  <c r="I33" i="144"/>
  <c r="O33" i="144"/>
  <c r="J33" i="144"/>
  <c r="R33" i="144" s="1"/>
  <c r="H33" i="144"/>
  <c r="G33" i="144"/>
  <c r="F33" i="144"/>
  <c r="Q33" i="144" s="1"/>
  <c r="P33" i="144"/>
  <c r="N33" i="144"/>
  <c r="H77" i="144"/>
  <c r="N77" i="144" s="1"/>
  <c r="F36" i="144"/>
  <c r="L36" i="144" s="1"/>
  <c r="R36" i="144" s="1"/>
  <c r="K54" i="144"/>
  <c r="P54" i="144"/>
  <c r="J54" i="144"/>
  <c r="L54" i="144"/>
  <c r="H54" i="144"/>
  <c r="Q54" i="144" s="1"/>
  <c r="M54" i="144"/>
  <c r="G54" i="144"/>
  <c r="F54" i="144"/>
  <c r="I54" i="144"/>
  <c r="O54" i="144"/>
  <c r="N54" i="144"/>
  <c r="R67" i="144"/>
  <c r="H67" i="144"/>
  <c r="L90" i="144"/>
  <c r="R90" i="144" s="1"/>
  <c r="R28" i="143"/>
  <c r="R16" i="143"/>
  <c r="L36" i="143"/>
  <c r="R36" i="143" s="1"/>
  <c r="F36" i="143"/>
  <c r="H67" i="143"/>
  <c r="R67" i="143" s="1"/>
  <c r="R63" i="143"/>
  <c r="F63" i="143"/>
  <c r="R27" i="143"/>
  <c r="Q26" i="143"/>
  <c r="R26" i="143" s="1"/>
  <c r="P56" i="143"/>
  <c r="J56" i="143"/>
  <c r="O56" i="143"/>
  <c r="I56" i="143"/>
  <c r="N56" i="143"/>
  <c r="H56" i="143"/>
  <c r="M56" i="143"/>
  <c r="G56" i="143"/>
  <c r="L56" i="143"/>
  <c r="F56" i="143"/>
  <c r="K56" i="143"/>
  <c r="Q56" i="143" s="1"/>
  <c r="P33" i="143"/>
  <c r="N33" i="143"/>
  <c r="N37" i="143" s="1"/>
  <c r="M33" i="143"/>
  <c r="H33" i="143"/>
  <c r="Q33" i="143" s="1"/>
  <c r="L33" i="143"/>
  <c r="F33" i="143"/>
  <c r="R33" i="143" s="1"/>
  <c r="K33" i="143"/>
  <c r="J33" i="143"/>
  <c r="I33" i="143"/>
  <c r="I37" i="143" s="1"/>
  <c r="O33" i="143"/>
  <c r="G33" i="143"/>
  <c r="F79" i="143"/>
  <c r="D83" i="143"/>
  <c r="N49" i="143"/>
  <c r="H49" i="143"/>
  <c r="M49" i="143"/>
  <c r="G49" i="143"/>
  <c r="L49" i="143"/>
  <c r="F49" i="143"/>
  <c r="K49" i="143"/>
  <c r="J49" i="143"/>
  <c r="D70" i="143"/>
  <c r="I49" i="143"/>
  <c r="N57" i="143"/>
  <c r="H57" i="143"/>
  <c r="M57" i="143"/>
  <c r="G57" i="143"/>
  <c r="L57" i="143"/>
  <c r="F57" i="143"/>
  <c r="K57" i="143"/>
  <c r="P57" i="143"/>
  <c r="J57" i="143"/>
  <c r="I57" i="143"/>
  <c r="O57" i="143"/>
  <c r="L69" i="143"/>
  <c r="R69" i="143" s="1"/>
  <c r="F69" i="143"/>
  <c r="F82" i="143"/>
  <c r="R82" i="143" s="1"/>
  <c r="R68" i="143"/>
  <c r="F68" i="143"/>
  <c r="L93" i="143"/>
  <c r="F93" i="143"/>
  <c r="K93" i="143"/>
  <c r="P93" i="143"/>
  <c r="J93" i="143"/>
  <c r="O93" i="143"/>
  <c r="I93" i="143"/>
  <c r="N93" i="143"/>
  <c r="H93" i="143"/>
  <c r="M93" i="143"/>
  <c r="G93" i="143"/>
  <c r="R15" i="143"/>
  <c r="H37" i="143"/>
  <c r="Q29" i="143"/>
  <c r="R29" i="143" s="1"/>
  <c r="R32" i="143"/>
  <c r="L31" i="143"/>
  <c r="L37" i="143" s="1"/>
  <c r="F31" i="143"/>
  <c r="F37" i="143" s="1"/>
  <c r="P31" i="143"/>
  <c r="J31" i="143"/>
  <c r="J37" i="143" s="1"/>
  <c r="N31" i="143"/>
  <c r="H31" i="143"/>
  <c r="O31" i="143"/>
  <c r="O37" i="143" s="1"/>
  <c r="G31" i="143"/>
  <c r="M31" i="143"/>
  <c r="M37" i="143" s="1"/>
  <c r="K31" i="143"/>
  <c r="I31" i="143"/>
  <c r="O3" i="143"/>
  <c r="I3" i="143"/>
  <c r="M3" i="143"/>
  <c r="G3" i="143"/>
  <c r="K3" i="143"/>
  <c r="N3" i="143"/>
  <c r="L3" i="143"/>
  <c r="D25" i="143"/>
  <c r="J3" i="143"/>
  <c r="H3" i="143"/>
  <c r="F3" i="143"/>
  <c r="P3" i="143"/>
  <c r="D92" i="143"/>
  <c r="K5" i="143"/>
  <c r="O5" i="143"/>
  <c r="I5" i="143"/>
  <c r="M5" i="143"/>
  <c r="G5" i="143"/>
  <c r="J5" i="143"/>
  <c r="H5" i="143"/>
  <c r="F5" i="143"/>
  <c r="P5" i="143"/>
  <c r="N5" i="143"/>
  <c r="L5" i="143"/>
  <c r="F81" i="143"/>
  <c r="R81" i="143" s="1"/>
  <c r="N50" i="143"/>
  <c r="H50" i="143"/>
  <c r="O50" i="143" s="1"/>
  <c r="R50" i="143" s="1"/>
  <c r="M50" i="143"/>
  <c r="G50" i="143"/>
  <c r="L50" i="143"/>
  <c r="F50" i="143"/>
  <c r="K50" i="143"/>
  <c r="J50" i="143"/>
  <c r="I50" i="143"/>
  <c r="F60" i="143"/>
  <c r="R60" i="143" s="1"/>
  <c r="D76" i="143"/>
  <c r="F71" i="143"/>
  <c r="K72" i="143"/>
  <c r="J72" i="143"/>
  <c r="I72" i="143"/>
  <c r="N72" i="143"/>
  <c r="N76" i="143" s="1"/>
  <c r="H72" i="143"/>
  <c r="M72" i="143"/>
  <c r="G72" i="143"/>
  <c r="L72" i="143"/>
  <c r="L76" i="143" s="1"/>
  <c r="F72" i="143"/>
  <c r="R13" i="143"/>
  <c r="Q16" i="143"/>
  <c r="O6" i="143"/>
  <c r="I6" i="143"/>
  <c r="M6" i="143"/>
  <c r="G6" i="143"/>
  <c r="K6" i="143"/>
  <c r="H6" i="143"/>
  <c r="F6" i="143"/>
  <c r="Q6" i="143" s="1"/>
  <c r="R6" i="143" s="1"/>
  <c r="P6" i="143"/>
  <c r="N6" i="143"/>
  <c r="L6" i="143"/>
  <c r="J6" i="143"/>
  <c r="M4" i="143"/>
  <c r="G4" i="143"/>
  <c r="K4" i="143"/>
  <c r="O4" i="143"/>
  <c r="I4" i="143"/>
  <c r="L4" i="143"/>
  <c r="J4" i="143"/>
  <c r="H4" i="143"/>
  <c r="Q4" i="143" s="1"/>
  <c r="F4" i="143"/>
  <c r="P4" i="143"/>
  <c r="N4" i="143"/>
  <c r="K8" i="143"/>
  <c r="O8" i="143"/>
  <c r="I8" i="143"/>
  <c r="M8" i="143"/>
  <c r="G8" i="143"/>
  <c r="P8" i="143"/>
  <c r="N8" i="143"/>
  <c r="L8" i="143"/>
  <c r="J8" i="143"/>
  <c r="H8" i="143"/>
  <c r="F8" i="143"/>
  <c r="Q8" i="143" s="1"/>
  <c r="R8" i="143" s="1"/>
  <c r="F89" i="143"/>
  <c r="L89" i="143" s="1"/>
  <c r="R89" i="143" s="1"/>
  <c r="N51" i="143"/>
  <c r="H51" i="143"/>
  <c r="O51" i="143" s="1"/>
  <c r="R51" i="143" s="1"/>
  <c r="M51" i="143"/>
  <c r="G51" i="143"/>
  <c r="L51" i="143"/>
  <c r="F51" i="143"/>
  <c r="K51" i="143"/>
  <c r="J51" i="143"/>
  <c r="I51" i="143"/>
  <c r="N64" i="143"/>
  <c r="H64" i="143"/>
  <c r="O64" i="143" s="1"/>
  <c r="M64" i="143"/>
  <c r="G64" i="143"/>
  <c r="L64" i="143"/>
  <c r="F64" i="143"/>
  <c r="K64" i="143"/>
  <c r="J64" i="143"/>
  <c r="R64" i="143" s="1"/>
  <c r="I64" i="143"/>
  <c r="K73" i="143"/>
  <c r="J73" i="143"/>
  <c r="I73" i="143"/>
  <c r="N73" i="143"/>
  <c r="H73" i="143"/>
  <c r="M73" i="143"/>
  <c r="G73" i="143"/>
  <c r="L73" i="143"/>
  <c r="F73" i="143"/>
  <c r="O73" i="143" s="1"/>
  <c r="D37" i="143"/>
  <c r="P37" i="143"/>
  <c r="P59" i="143"/>
  <c r="J59" i="143"/>
  <c r="O59" i="143"/>
  <c r="I59" i="143"/>
  <c r="N59" i="143"/>
  <c r="H59" i="143"/>
  <c r="M59" i="143"/>
  <c r="G59" i="143"/>
  <c r="Q59" i="143" s="1"/>
  <c r="L59" i="143"/>
  <c r="F59" i="143"/>
  <c r="K59" i="143"/>
  <c r="N54" i="143"/>
  <c r="H54" i="143"/>
  <c r="M54" i="143"/>
  <c r="G54" i="143"/>
  <c r="L54" i="143"/>
  <c r="F54" i="143"/>
  <c r="K54" i="143"/>
  <c r="P54" i="143"/>
  <c r="J54" i="143"/>
  <c r="O54" i="143"/>
  <c r="I54" i="143"/>
  <c r="F88" i="143"/>
  <c r="D87" i="143"/>
  <c r="Q90" i="143"/>
  <c r="G37" i="143"/>
  <c r="O9" i="143"/>
  <c r="I9" i="143"/>
  <c r="M9" i="143"/>
  <c r="G9" i="143"/>
  <c r="K9" i="143"/>
  <c r="N9" i="143"/>
  <c r="L9" i="143"/>
  <c r="J9" i="143"/>
  <c r="H9" i="143"/>
  <c r="F9" i="143"/>
  <c r="Q9" i="143" s="1"/>
  <c r="P9" i="143"/>
  <c r="F11" i="143"/>
  <c r="R11" i="143" s="1"/>
  <c r="N52" i="143"/>
  <c r="H52" i="143"/>
  <c r="M52" i="143"/>
  <c r="G52" i="143"/>
  <c r="L52" i="143"/>
  <c r="F52" i="143"/>
  <c r="O52" i="143" s="1"/>
  <c r="K52" i="143"/>
  <c r="J52" i="143"/>
  <c r="I52" i="143"/>
  <c r="N65" i="143"/>
  <c r="H65" i="143"/>
  <c r="O65" i="143" s="1"/>
  <c r="R65" i="143" s="1"/>
  <c r="M65" i="143"/>
  <c r="G65" i="143"/>
  <c r="L65" i="143"/>
  <c r="F65" i="143"/>
  <c r="K65" i="143"/>
  <c r="J65" i="143"/>
  <c r="I65" i="143"/>
  <c r="L55" i="143"/>
  <c r="F55" i="143"/>
  <c r="K55" i="143"/>
  <c r="P55" i="143"/>
  <c r="J55" i="143"/>
  <c r="O55" i="143"/>
  <c r="I55" i="143"/>
  <c r="N55" i="143"/>
  <c r="H55" i="143"/>
  <c r="M55" i="143"/>
  <c r="G55" i="143"/>
  <c r="D47" i="143"/>
  <c r="R46" i="143"/>
  <c r="N46" i="143"/>
  <c r="N47" i="143" s="1"/>
  <c r="K46" i="143"/>
  <c r="K47" i="143" s="1"/>
  <c r="F46" i="143"/>
  <c r="F47" i="143" s="1"/>
  <c r="K74" i="143"/>
  <c r="J74" i="143"/>
  <c r="I74" i="143"/>
  <c r="N74" i="143"/>
  <c r="H74" i="143"/>
  <c r="M74" i="143"/>
  <c r="G74" i="143"/>
  <c r="L74" i="143"/>
  <c r="F74" i="143"/>
  <c r="O74" i="143" s="1"/>
  <c r="K37" i="143"/>
  <c r="D45" i="143"/>
  <c r="I42" i="143"/>
  <c r="I45" i="143" s="1"/>
  <c r="N77" i="143"/>
  <c r="R77" i="143" s="1"/>
  <c r="H77" i="143"/>
  <c r="F80" i="143"/>
  <c r="R80" i="143"/>
  <c r="P17" i="143"/>
  <c r="J17" i="143"/>
  <c r="N17" i="143"/>
  <c r="H17" i="143"/>
  <c r="L17" i="143"/>
  <c r="F17" i="143"/>
  <c r="Q17" i="143" s="1"/>
  <c r="I17" i="143"/>
  <c r="G17" i="143"/>
  <c r="O17" i="143"/>
  <c r="M17" i="143"/>
  <c r="K17" i="143"/>
  <c r="L14" i="143"/>
  <c r="F14" i="143"/>
  <c r="P14" i="143"/>
  <c r="J14" i="143"/>
  <c r="N14" i="143"/>
  <c r="H14" i="143"/>
  <c r="O14" i="143"/>
  <c r="M14" i="143"/>
  <c r="K14" i="143"/>
  <c r="I14" i="143"/>
  <c r="Q14" i="143" s="1"/>
  <c r="G14" i="143"/>
  <c r="R14" i="143" s="1"/>
  <c r="M7" i="143"/>
  <c r="G7" i="143"/>
  <c r="K7" i="143"/>
  <c r="O7" i="143"/>
  <c r="I7" i="143"/>
  <c r="F7" i="143"/>
  <c r="P7" i="143"/>
  <c r="N7" i="143"/>
  <c r="L7" i="143"/>
  <c r="J7" i="143"/>
  <c r="H7" i="143"/>
  <c r="Q7" i="143" s="1"/>
  <c r="L44" i="143"/>
  <c r="L45" i="143" s="1"/>
  <c r="M10" i="143"/>
  <c r="G10" i="143"/>
  <c r="Q10" i="143" s="1"/>
  <c r="K10" i="143"/>
  <c r="O10" i="143"/>
  <c r="I10" i="143"/>
  <c r="L10" i="143"/>
  <c r="J10" i="143"/>
  <c r="H10" i="143"/>
  <c r="F10" i="143"/>
  <c r="P10" i="143"/>
  <c r="N10" i="143"/>
  <c r="I62" i="143"/>
  <c r="N62" i="143" s="1"/>
  <c r="R62" i="143" s="1"/>
  <c r="H94" i="143"/>
  <c r="N53" i="143"/>
  <c r="H53" i="143"/>
  <c r="M53" i="143"/>
  <c r="G53" i="143"/>
  <c r="L53" i="143"/>
  <c r="F53" i="143"/>
  <c r="O53" i="143" s="1"/>
  <c r="K53" i="143"/>
  <c r="J53" i="143"/>
  <c r="I53" i="143"/>
  <c r="N66" i="143"/>
  <c r="H66" i="143"/>
  <c r="M66" i="143"/>
  <c r="G66" i="143"/>
  <c r="L66" i="143"/>
  <c r="F66" i="143"/>
  <c r="K66" i="143"/>
  <c r="J66" i="143"/>
  <c r="I66" i="143"/>
  <c r="F43" i="143"/>
  <c r="F45" i="143" s="1"/>
  <c r="L58" i="143"/>
  <c r="F58" i="143"/>
  <c r="Q58" i="143" s="1"/>
  <c r="R58" i="143" s="1"/>
  <c r="K58" i="143"/>
  <c r="P58" i="143"/>
  <c r="J58" i="143"/>
  <c r="O58" i="143"/>
  <c r="I58" i="143"/>
  <c r="N58" i="143"/>
  <c r="H58" i="143"/>
  <c r="G58" i="143"/>
  <c r="M58" i="143"/>
  <c r="K61" i="143"/>
  <c r="P61" i="143"/>
  <c r="J61" i="143"/>
  <c r="O61" i="143"/>
  <c r="I61" i="143"/>
  <c r="N61" i="143"/>
  <c r="H61" i="143"/>
  <c r="M61" i="143"/>
  <c r="G61" i="143"/>
  <c r="L61" i="143"/>
  <c r="F61" i="143"/>
  <c r="Q61" i="143" s="1"/>
  <c r="R61" i="143" s="1"/>
  <c r="K75" i="143"/>
  <c r="J75" i="143"/>
  <c r="I75" i="143"/>
  <c r="N75" i="143"/>
  <c r="H75" i="143"/>
  <c r="M75" i="143"/>
  <c r="G75" i="143"/>
  <c r="L75" i="143"/>
  <c r="F75" i="143"/>
  <c r="I92" i="142"/>
  <c r="H92" i="142"/>
  <c r="G92" i="142"/>
  <c r="J92" i="142"/>
  <c r="F92" i="142"/>
  <c r="L92" i="142"/>
  <c r="K92" i="142"/>
  <c r="P30" i="142"/>
  <c r="J30" i="142"/>
  <c r="O30" i="142"/>
  <c r="I30" i="142"/>
  <c r="M30" i="142"/>
  <c r="M37" i="142" s="1"/>
  <c r="G30" i="142"/>
  <c r="H30" i="142"/>
  <c r="F30" i="142"/>
  <c r="N30" i="142"/>
  <c r="N37" i="142" s="1"/>
  <c r="L30" i="142"/>
  <c r="K30" i="142"/>
  <c r="N16" i="142"/>
  <c r="H16" i="142"/>
  <c r="M16" i="142"/>
  <c r="G16" i="142"/>
  <c r="Q16" i="142" s="1"/>
  <c r="K16" i="142"/>
  <c r="L16" i="142"/>
  <c r="P16" i="142"/>
  <c r="J16" i="142"/>
  <c r="I16" i="142"/>
  <c r="F16" i="142"/>
  <c r="O16" i="142"/>
  <c r="N77" i="142"/>
  <c r="H77" i="142"/>
  <c r="R77" i="142"/>
  <c r="L49" i="142"/>
  <c r="F49" i="142"/>
  <c r="K49" i="142"/>
  <c r="J49" i="142"/>
  <c r="D70" i="142"/>
  <c r="N49" i="142"/>
  <c r="I49" i="142"/>
  <c r="M49" i="142"/>
  <c r="H49" i="142"/>
  <c r="G49" i="142"/>
  <c r="L57" i="142"/>
  <c r="F57" i="142"/>
  <c r="K57" i="142"/>
  <c r="P57" i="142"/>
  <c r="J57" i="142"/>
  <c r="I57" i="142"/>
  <c r="H57" i="142"/>
  <c r="O57" i="142"/>
  <c r="N57" i="142"/>
  <c r="M57" i="142"/>
  <c r="Q57" i="142" s="1"/>
  <c r="G57" i="142"/>
  <c r="R57" i="142" s="1"/>
  <c r="F69" i="142"/>
  <c r="L69" i="142"/>
  <c r="R69" i="142" s="1"/>
  <c r="D109" i="142"/>
  <c r="O7" i="142"/>
  <c r="N7" i="142"/>
  <c r="H7" i="142"/>
  <c r="L7" i="142"/>
  <c r="I7" i="142"/>
  <c r="G7" i="142"/>
  <c r="K7" i="142"/>
  <c r="P7" i="142"/>
  <c r="F7" i="142"/>
  <c r="Q7" i="142" s="1"/>
  <c r="M7" i="142"/>
  <c r="J7" i="142"/>
  <c r="O61" i="142"/>
  <c r="I61" i="142"/>
  <c r="N61" i="142"/>
  <c r="H61" i="142"/>
  <c r="M61" i="142"/>
  <c r="R61" i="142" s="1"/>
  <c r="G61" i="142"/>
  <c r="L61" i="142"/>
  <c r="K61" i="142"/>
  <c r="F61" i="142"/>
  <c r="Q61" i="142"/>
  <c r="P61" i="142"/>
  <c r="J61" i="142"/>
  <c r="I74" i="142"/>
  <c r="N74" i="142"/>
  <c r="H74" i="142"/>
  <c r="M74" i="142"/>
  <c r="G74" i="142"/>
  <c r="O74" i="142" s="1"/>
  <c r="L74" i="142"/>
  <c r="K74" i="142"/>
  <c r="F74" i="142"/>
  <c r="J74" i="142"/>
  <c r="L24" i="142"/>
  <c r="R24" i="142" s="1"/>
  <c r="F24" i="142"/>
  <c r="N28" i="142"/>
  <c r="H28" i="142"/>
  <c r="H37" i="142" s="1"/>
  <c r="M28" i="142"/>
  <c r="G28" i="142"/>
  <c r="G37" i="142" s="1"/>
  <c r="K28" i="142"/>
  <c r="L28" i="142"/>
  <c r="J28" i="142"/>
  <c r="J37" i="142" s="1"/>
  <c r="I28" i="142"/>
  <c r="F28" i="142"/>
  <c r="Q28" i="142" s="1"/>
  <c r="R28" i="142" s="1"/>
  <c r="P28" i="142"/>
  <c r="O28" i="142"/>
  <c r="F15" i="142"/>
  <c r="R15" i="142" s="1"/>
  <c r="L15" i="142"/>
  <c r="K9" i="142"/>
  <c r="P9" i="142"/>
  <c r="J9" i="142"/>
  <c r="N9" i="142"/>
  <c r="H9" i="142"/>
  <c r="O9" i="142"/>
  <c r="M9" i="142"/>
  <c r="G9" i="142"/>
  <c r="L9" i="142"/>
  <c r="I9" i="142"/>
  <c r="F9" i="142"/>
  <c r="Q9" i="142" s="1"/>
  <c r="R9" i="142" s="1"/>
  <c r="F79" i="142"/>
  <c r="D83" i="142"/>
  <c r="L50" i="142"/>
  <c r="F50" i="142"/>
  <c r="K50" i="142"/>
  <c r="J50" i="142"/>
  <c r="N50" i="142"/>
  <c r="I50" i="142"/>
  <c r="M50" i="142"/>
  <c r="H50" i="142"/>
  <c r="G50" i="142"/>
  <c r="F60" i="142"/>
  <c r="R60" i="142" s="1"/>
  <c r="F71" i="142"/>
  <c r="D76" i="142"/>
  <c r="N4" i="142"/>
  <c r="H4" i="142"/>
  <c r="H25" i="142" s="1"/>
  <c r="H48" i="142" s="1"/>
  <c r="M4" i="142"/>
  <c r="M25" i="142" s="1"/>
  <c r="G4" i="142"/>
  <c r="G25" i="142" s="1"/>
  <c r="G48" i="142" s="1"/>
  <c r="J4" i="142"/>
  <c r="L4" i="142"/>
  <c r="F4" i="142"/>
  <c r="K4" i="142"/>
  <c r="K25" i="142" s="1"/>
  <c r="P4" i="142"/>
  <c r="I4" i="142"/>
  <c r="O4" i="142"/>
  <c r="Q10" i="142"/>
  <c r="R10" i="142" s="1"/>
  <c r="R26" i="142"/>
  <c r="P13" i="142"/>
  <c r="J13" i="142"/>
  <c r="O13" i="142"/>
  <c r="I13" i="142"/>
  <c r="M13" i="142"/>
  <c r="G13" i="142"/>
  <c r="H13" i="142"/>
  <c r="L13" i="142"/>
  <c r="F13" i="142"/>
  <c r="Q13" i="142" s="1"/>
  <c r="N13" i="142"/>
  <c r="K13" i="142"/>
  <c r="L17" i="142"/>
  <c r="F17" i="142"/>
  <c r="Q17" i="142" s="1"/>
  <c r="K17" i="142"/>
  <c r="O17" i="142"/>
  <c r="I17" i="142"/>
  <c r="J17" i="142"/>
  <c r="H17" i="142"/>
  <c r="N17" i="142"/>
  <c r="G17" i="142"/>
  <c r="P17" i="142"/>
  <c r="M17" i="142"/>
  <c r="F81" i="142"/>
  <c r="R81" i="142" s="1"/>
  <c r="L51" i="142"/>
  <c r="F51" i="142"/>
  <c r="K51" i="142"/>
  <c r="J51" i="142"/>
  <c r="O51" i="142"/>
  <c r="N51" i="142"/>
  <c r="I51" i="142"/>
  <c r="M51" i="142"/>
  <c r="H51" i="142"/>
  <c r="R51" i="142" s="1"/>
  <c r="G51" i="142"/>
  <c r="L64" i="142"/>
  <c r="F64" i="142"/>
  <c r="K64" i="142"/>
  <c r="J64" i="142"/>
  <c r="N64" i="142"/>
  <c r="I64" i="142"/>
  <c r="M64" i="142"/>
  <c r="H64" i="142"/>
  <c r="G64" i="142"/>
  <c r="O64" i="142" s="1"/>
  <c r="D93" i="142"/>
  <c r="P58" i="142"/>
  <c r="J58" i="142"/>
  <c r="O58" i="142"/>
  <c r="I58" i="142"/>
  <c r="N58" i="142"/>
  <c r="H58" i="142"/>
  <c r="G58" i="142"/>
  <c r="F58" i="142"/>
  <c r="Q58" i="142" s="1"/>
  <c r="M58" i="142"/>
  <c r="L58" i="142"/>
  <c r="K58" i="142"/>
  <c r="F68" i="142"/>
  <c r="R68" i="142" s="1"/>
  <c r="J12" i="142"/>
  <c r="I12" i="142"/>
  <c r="M12" i="142"/>
  <c r="G12" i="142"/>
  <c r="H12" i="142"/>
  <c r="F12" i="142"/>
  <c r="L12" i="142"/>
  <c r="N12" i="142"/>
  <c r="K12" i="142"/>
  <c r="R44" i="142"/>
  <c r="L44" i="142"/>
  <c r="L45" i="142" s="1"/>
  <c r="L29" i="142"/>
  <c r="F29" i="142"/>
  <c r="F37" i="142" s="1"/>
  <c r="K29" i="142"/>
  <c r="K37" i="142" s="1"/>
  <c r="O29" i="142"/>
  <c r="O37" i="142" s="1"/>
  <c r="I29" i="142"/>
  <c r="J29" i="142"/>
  <c r="H29" i="142"/>
  <c r="G29" i="142"/>
  <c r="P29" i="142"/>
  <c r="P37" i="142" s="1"/>
  <c r="N29" i="142"/>
  <c r="M29" i="142"/>
  <c r="N59" i="142"/>
  <c r="H59" i="142"/>
  <c r="M59" i="142"/>
  <c r="G59" i="142"/>
  <c r="L59" i="142"/>
  <c r="F59" i="142"/>
  <c r="P59" i="142"/>
  <c r="K59" i="142"/>
  <c r="O59" i="142"/>
  <c r="J59" i="142"/>
  <c r="I59" i="142"/>
  <c r="F89" i="142"/>
  <c r="L89" i="142" s="1"/>
  <c r="L52" i="142"/>
  <c r="F52" i="142"/>
  <c r="K52" i="142"/>
  <c r="J52" i="142"/>
  <c r="O52" i="142"/>
  <c r="N52" i="142"/>
  <c r="I52" i="142"/>
  <c r="M52" i="142"/>
  <c r="H52" i="142"/>
  <c r="R52" i="142" s="1"/>
  <c r="G52" i="142"/>
  <c r="L65" i="142"/>
  <c r="F65" i="142"/>
  <c r="K65" i="142"/>
  <c r="J65" i="142"/>
  <c r="N65" i="142"/>
  <c r="I65" i="142"/>
  <c r="M65" i="142"/>
  <c r="H65" i="142"/>
  <c r="G65" i="142"/>
  <c r="F82" i="142"/>
  <c r="R82" i="142" s="1"/>
  <c r="R36" i="142"/>
  <c r="Q33" i="142"/>
  <c r="R33" i="142" s="1"/>
  <c r="I72" i="142"/>
  <c r="I76" i="142" s="1"/>
  <c r="N72" i="142"/>
  <c r="H72" i="142"/>
  <c r="H76" i="142" s="1"/>
  <c r="M72" i="142"/>
  <c r="G72" i="142"/>
  <c r="L72" i="142"/>
  <c r="K72" i="142"/>
  <c r="K76" i="142" s="1"/>
  <c r="F72" i="142"/>
  <c r="J72" i="142"/>
  <c r="N31" i="142"/>
  <c r="H31" i="142"/>
  <c r="M31" i="142"/>
  <c r="G31" i="142"/>
  <c r="K31" i="142"/>
  <c r="F31" i="142"/>
  <c r="R31" i="142" s="1"/>
  <c r="J31" i="142"/>
  <c r="P31" i="142"/>
  <c r="O31" i="142"/>
  <c r="Q31" i="142" s="1"/>
  <c r="L31" i="142"/>
  <c r="I31" i="142"/>
  <c r="D45" i="142"/>
  <c r="R42" i="142"/>
  <c r="I42" i="142"/>
  <c r="I45" i="142" s="1"/>
  <c r="L5" i="142"/>
  <c r="F5" i="142"/>
  <c r="K5" i="142"/>
  <c r="H5" i="142"/>
  <c r="P5" i="142"/>
  <c r="P25" i="142" s="1"/>
  <c r="P48" i="142" s="1"/>
  <c r="P2" i="142" s="1"/>
  <c r="J5" i="142"/>
  <c r="J25" i="142" s="1"/>
  <c r="J48" i="142" s="1"/>
  <c r="O5" i="142"/>
  <c r="I5" i="142"/>
  <c r="N5" i="142"/>
  <c r="N25" i="142" s="1"/>
  <c r="N48" i="142" s="1"/>
  <c r="G5" i="142"/>
  <c r="Q5" i="142" s="1"/>
  <c r="M5" i="142"/>
  <c r="R5" i="142" s="1"/>
  <c r="N46" i="142"/>
  <c r="N47" i="142" s="1"/>
  <c r="K46" i="142"/>
  <c r="K47" i="142" s="1"/>
  <c r="D47" i="142"/>
  <c r="F46" i="142"/>
  <c r="F47" i="142" s="1"/>
  <c r="L32" i="142"/>
  <c r="F32" i="142"/>
  <c r="K32" i="142"/>
  <c r="O32" i="142"/>
  <c r="I32" i="142"/>
  <c r="I37" i="142" s="1"/>
  <c r="P32" i="142"/>
  <c r="N32" i="142"/>
  <c r="H32" i="142"/>
  <c r="M32" i="142"/>
  <c r="J32" i="142"/>
  <c r="G32" i="142"/>
  <c r="Q32" i="142" s="1"/>
  <c r="L53" i="142"/>
  <c r="F53" i="142"/>
  <c r="K53" i="142"/>
  <c r="J53" i="142"/>
  <c r="N53" i="142"/>
  <c r="I53" i="142"/>
  <c r="M53" i="142"/>
  <c r="H53" i="142"/>
  <c r="G53" i="142"/>
  <c r="O53" i="142" s="1"/>
  <c r="L66" i="142"/>
  <c r="F66" i="142"/>
  <c r="K66" i="142"/>
  <c r="J66" i="142"/>
  <c r="O66" i="142"/>
  <c r="N66" i="142"/>
  <c r="I66" i="142"/>
  <c r="M66" i="142"/>
  <c r="H66" i="142"/>
  <c r="R66" i="142" s="1"/>
  <c r="G66" i="142"/>
  <c r="F43" i="142"/>
  <c r="F45" i="142" s="1"/>
  <c r="F11" i="142"/>
  <c r="R11" i="142" s="1"/>
  <c r="I75" i="142"/>
  <c r="N75" i="142"/>
  <c r="H75" i="142"/>
  <c r="M75" i="142"/>
  <c r="G75" i="142"/>
  <c r="L75" i="142"/>
  <c r="K75" i="142"/>
  <c r="F75" i="142"/>
  <c r="J75" i="142"/>
  <c r="L37" i="142"/>
  <c r="D25" i="142"/>
  <c r="M8" i="142"/>
  <c r="G8" i="142"/>
  <c r="L8" i="142"/>
  <c r="F8" i="142"/>
  <c r="Q8" i="142" s="1"/>
  <c r="P8" i="142"/>
  <c r="J8" i="142"/>
  <c r="O8" i="142"/>
  <c r="N8" i="142"/>
  <c r="K8" i="142"/>
  <c r="I8" i="142"/>
  <c r="I25" i="142" s="1"/>
  <c r="I48" i="142" s="1"/>
  <c r="H8" i="142"/>
  <c r="N14" i="142"/>
  <c r="H14" i="142"/>
  <c r="M14" i="142"/>
  <c r="G14" i="142"/>
  <c r="K14" i="142"/>
  <c r="F14" i="142"/>
  <c r="Q14" i="142" s="1"/>
  <c r="P14" i="142"/>
  <c r="O14" i="142"/>
  <c r="L14" i="142"/>
  <c r="J14" i="142"/>
  <c r="I14" i="142"/>
  <c r="N56" i="142"/>
  <c r="H56" i="142"/>
  <c r="M56" i="142"/>
  <c r="G56" i="142"/>
  <c r="L56" i="142"/>
  <c r="F56" i="142"/>
  <c r="Q56" i="142" s="1"/>
  <c r="K56" i="142"/>
  <c r="J56" i="142"/>
  <c r="I56" i="142"/>
  <c r="P56" i="142"/>
  <c r="O56" i="142"/>
  <c r="F63" i="142"/>
  <c r="R63" i="142" s="1"/>
  <c r="N62" i="142"/>
  <c r="R62" i="142" s="1"/>
  <c r="I62" i="142"/>
  <c r="H94" i="142"/>
  <c r="L54" i="142"/>
  <c r="F54" i="142"/>
  <c r="K54" i="142"/>
  <c r="P54" i="142"/>
  <c r="P70" i="142" s="1"/>
  <c r="P78" i="142" s="1"/>
  <c r="J54" i="142"/>
  <c r="O54" i="142"/>
  <c r="N54" i="142"/>
  <c r="I54" i="142"/>
  <c r="M54" i="142"/>
  <c r="H54" i="142"/>
  <c r="Q54" i="142" s="1"/>
  <c r="G54" i="142"/>
  <c r="R54" i="142" s="1"/>
  <c r="H67" i="142"/>
  <c r="R67" i="142"/>
  <c r="D87" i="142"/>
  <c r="F88" i="142"/>
  <c r="I73" i="142"/>
  <c r="N73" i="142"/>
  <c r="H73" i="142"/>
  <c r="M73" i="142"/>
  <c r="G73" i="142"/>
  <c r="L73" i="142"/>
  <c r="K73" i="142"/>
  <c r="F73" i="142"/>
  <c r="O73" i="142" s="1"/>
  <c r="J73" i="142"/>
  <c r="D37" i="142"/>
  <c r="L25" i="142"/>
  <c r="L48" i="142" s="1"/>
  <c r="Q27" i="142"/>
  <c r="R27" i="142" s="1"/>
  <c r="R9" i="141"/>
  <c r="K92" i="141"/>
  <c r="I92" i="141"/>
  <c r="H92" i="141"/>
  <c r="G92" i="141"/>
  <c r="F92" i="141"/>
  <c r="L92" i="141"/>
  <c r="J92" i="141"/>
  <c r="N12" i="141"/>
  <c r="H12" i="141"/>
  <c r="M12" i="141"/>
  <c r="G12" i="141"/>
  <c r="G25" i="141" s="1"/>
  <c r="L12" i="141"/>
  <c r="F12" i="141"/>
  <c r="I12" i="141"/>
  <c r="J12" i="141"/>
  <c r="O12" i="141"/>
  <c r="K12" i="141"/>
  <c r="F68" i="141"/>
  <c r="R68" i="141" s="1"/>
  <c r="D109" i="141"/>
  <c r="R3" i="141"/>
  <c r="D45" i="141"/>
  <c r="R42" i="141"/>
  <c r="I42" i="141"/>
  <c r="I45" i="141" s="1"/>
  <c r="P29" i="141"/>
  <c r="J29" i="141"/>
  <c r="O29" i="141"/>
  <c r="I29" i="141"/>
  <c r="N29" i="141"/>
  <c r="H29" i="141"/>
  <c r="K29" i="141"/>
  <c r="G29" i="141"/>
  <c r="F29" i="141"/>
  <c r="L29" i="141"/>
  <c r="M29" i="141"/>
  <c r="H25" i="141"/>
  <c r="H48" i="141" s="1"/>
  <c r="L50" i="141"/>
  <c r="F50" i="141"/>
  <c r="K50" i="141"/>
  <c r="M50" i="141"/>
  <c r="J50" i="141"/>
  <c r="I50" i="141"/>
  <c r="N50" i="141"/>
  <c r="H50" i="141"/>
  <c r="G50" i="141"/>
  <c r="O50" i="141" s="1"/>
  <c r="M5" i="141"/>
  <c r="G5" i="141"/>
  <c r="L5" i="141"/>
  <c r="L25" i="141" s="1"/>
  <c r="L48" i="141" s="1"/>
  <c r="F5" i="141"/>
  <c r="F25" i="141" s="1"/>
  <c r="O5" i="141"/>
  <c r="O25" i="141" s="1"/>
  <c r="I5" i="141"/>
  <c r="I25" i="141" s="1"/>
  <c r="H5" i="141"/>
  <c r="K5" i="141"/>
  <c r="K25" i="141" s="1"/>
  <c r="P5" i="141"/>
  <c r="P25" i="141" s="1"/>
  <c r="P48" i="141" s="1"/>
  <c r="P2" i="141" s="1"/>
  <c r="J5" i="141"/>
  <c r="J25" i="141" s="1"/>
  <c r="J48" i="141" s="1"/>
  <c r="N5" i="141"/>
  <c r="N56" i="141"/>
  <c r="H56" i="141"/>
  <c r="M56" i="141"/>
  <c r="G56" i="141"/>
  <c r="I56" i="141"/>
  <c r="P56" i="141"/>
  <c r="F56" i="141"/>
  <c r="Q56" i="141" s="1"/>
  <c r="O56" i="141"/>
  <c r="K56" i="141"/>
  <c r="J56" i="141"/>
  <c r="L56" i="141"/>
  <c r="L16" i="141"/>
  <c r="F16" i="141"/>
  <c r="Q16" i="141" s="1"/>
  <c r="K16" i="141"/>
  <c r="P16" i="141"/>
  <c r="J16" i="141"/>
  <c r="R16" i="141" s="1"/>
  <c r="M16" i="141"/>
  <c r="I16" i="141"/>
  <c r="H16" i="141"/>
  <c r="N16" i="141"/>
  <c r="G16" i="141"/>
  <c r="O16" i="141"/>
  <c r="L51" i="141"/>
  <c r="O51" i="141" s="1"/>
  <c r="F51" i="141"/>
  <c r="K51" i="141"/>
  <c r="I51" i="141"/>
  <c r="H51" i="141"/>
  <c r="G51" i="141"/>
  <c r="J51" i="141"/>
  <c r="N51" i="141"/>
  <c r="M51" i="141"/>
  <c r="L64" i="141"/>
  <c r="F64" i="141"/>
  <c r="O64" i="141" s="1"/>
  <c r="K64" i="141"/>
  <c r="I64" i="141"/>
  <c r="H64" i="141"/>
  <c r="G64" i="141"/>
  <c r="N64" i="141"/>
  <c r="M64" i="141"/>
  <c r="J64" i="141"/>
  <c r="Q9" i="141"/>
  <c r="L57" i="141"/>
  <c r="F57" i="141"/>
  <c r="Q57" i="141" s="1"/>
  <c r="K57" i="141"/>
  <c r="M57" i="141"/>
  <c r="J57" i="141"/>
  <c r="I57" i="141"/>
  <c r="R57" i="141" s="1"/>
  <c r="O57" i="141"/>
  <c r="N57" i="141"/>
  <c r="H57" i="141"/>
  <c r="G57" i="141"/>
  <c r="P57" i="141"/>
  <c r="N30" i="141"/>
  <c r="N37" i="141" s="1"/>
  <c r="H30" i="141"/>
  <c r="M30" i="141"/>
  <c r="G30" i="141"/>
  <c r="L30" i="141"/>
  <c r="F30" i="141"/>
  <c r="Q30" i="141" s="1"/>
  <c r="I30" i="141"/>
  <c r="K30" i="141"/>
  <c r="J30" i="141"/>
  <c r="P30" i="141"/>
  <c r="O30" i="141"/>
  <c r="I73" i="141"/>
  <c r="N73" i="141"/>
  <c r="H73" i="141"/>
  <c r="F73" i="141"/>
  <c r="M73" i="141"/>
  <c r="L73" i="141"/>
  <c r="K73" i="141"/>
  <c r="J73" i="141"/>
  <c r="G73" i="141"/>
  <c r="F71" i="141"/>
  <c r="D76" i="141"/>
  <c r="R71" i="141"/>
  <c r="R46" i="141"/>
  <c r="I74" i="141"/>
  <c r="N74" i="141"/>
  <c r="H74" i="141"/>
  <c r="L74" i="141"/>
  <c r="K74" i="141"/>
  <c r="J74" i="141"/>
  <c r="F74" i="141"/>
  <c r="M74" i="141"/>
  <c r="G74" i="141"/>
  <c r="O74" i="141" s="1"/>
  <c r="M8" i="141"/>
  <c r="M25" i="141" s="1"/>
  <c r="G8" i="141"/>
  <c r="H8" i="141"/>
  <c r="Q8" i="141" s="1"/>
  <c r="L8" i="141"/>
  <c r="F8" i="141"/>
  <c r="K8" i="141"/>
  <c r="O8" i="141"/>
  <c r="I8" i="141"/>
  <c r="P8" i="141"/>
  <c r="J8" i="141"/>
  <c r="N8" i="141"/>
  <c r="Q7" i="141"/>
  <c r="R7" i="141" s="1"/>
  <c r="R81" i="141"/>
  <c r="F81" i="141"/>
  <c r="P58" i="141"/>
  <c r="J58" i="141"/>
  <c r="O58" i="141"/>
  <c r="I58" i="141"/>
  <c r="G58" i="141"/>
  <c r="N58" i="141"/>
  <c r="F58" i="141"/>
  <c r="M58" i="141"/>
  <c r="H58" i="141"/>
  <c r="Q58" i="141" s="1"/>
  <c r="R58" i="141" s="1"/>
  <c r="L58" i="141"/>
  <c r="K58" i="141"/>
  <c r="L28" i="141"/>
  <c r="F28" i="141"/>
  <c r="Q28" i="141" s="1"/>
  <c r="K28" i="141"/>
  <c r="P28" i="141"/>
  <c r="P37" i="141" s="1"/>
  <c r="J28" i="141"/>
  <c r="J37" i="141" s="1"/>
  <c r="M28" i="141"/>
  <c r="I28" i="141"/>
  <c r="I37" i="141" s="1"/>
  <c r="O28" i="141"/>
  <c r="O37" i="141" s="1"/>
  <c r="N28" i="141"/>
  <c r="H28" i="141"/>
  <c r="G28" i="141"/>
  <c r="P55" i="141"/>
  <c r="J55" i="141"/>
  <c r="O55" i="141"/>
  <c r="I55" i="141"/>
  <c r="M55" i="141"/>
  <c r="L55" i="141"/>
  <c r="K55" i="141"/>
  <c r="G55" i="141"/>
  <c r="F55" i="141"/>
  <c r="H55" i="141"/>
  <c r="N55" i="141"/>
  <c r="L52" i="141"/>
  <c r="F52" i="141"/>
  <c r="O52" i="141" s="1"/>
  <c r="K52" i="141"/>
  <c r="G52" i="141"/>
  <c r="N52" i="141"/>
  <c r="M52" i="141"/>
  <c r="I52" i="141"/>
  <c r="H52" i="141"/>
  <c r="J52" i="141"/>
  <c r="L65" i="141"/>
  <c r="F65" i="141"/>
  <c r="O65" i="141" s="1"/>
  <c r="K65" i="141"/>
  <c r="G65" i="141"/>
  <c r="N65" i="141"/>
  <c r="M65" i="141"/>
  <c r="I65" i="141"/>
  <c r="H65" i="141"/>
  <c r="J65" i="141"/>
  <c r="D93" i="141"/>
  <c r="D25" i="141"/>
  <c r="Q6" i="141"/>
  <c r="R6" i="141" s="1"/>
  <c r="R44" i="141"/>
  <c r="L44" i="141"/>
  <c r="L45" i="141" s="1"/>
  <c r="I72" i="141"/>
  <c r="N72" i="141"/>
  <c r="H72" i="141"/>
  <c r="J72" i="141"/>
  <c r="G72" i="141"/>
  <c r="F72" i="141"/>
  <c r="O72" i="141" s="1"/>
  <c r="L72" i="141"/>
  <c r="K72" i="141"/>
  <c r="M72" i="141"/>
  <c r="L49" i="141"/>
  <c r="F49" i="141"/>
  <c r="K49" i="141"/>
  <c r="G49" i="141"/>
  <c r="N49" i="141"/>
  <c r="D70" i="141"/>
  <c r="M49" i="141"/>
  <c r="I49" i="141"/>
  <c r="H49" i="141"/>
  <c r="J49" i="141"/>
  <c r="F69" i="141"/>
  <c r="L69" i="141"/>
  <c r="R69" i="141" s="1"/>
  <c r="Q47" i="141"/>
  <c r="R47" i="141" s="1"/>
  <c r="N77" i="141"/>
  <c r="R77" i="141" s="1"/>
  <c r="L14" i="141"/>
  <c r="F14" i="141"/>
  <c r="Q14" i="141" s="1"/>
  <c r="K14" i="141"/>
  <c r="P14" i="141"/>
  <c r="J14" i="141"/>
  <c r="G14" i="141"/>
  <c r="O14" i="141"/>
  <c r="H14" i="141"/>
  <c r="N14" i="141"/>
  <c r="I14" i="141"/>
  <c r="M14" i="141"/>
  <c r="F60" i="141"/>
  <c r="R60" i="141" s="1"/>
  <c r="D37" i="141"/>
  <c r="F63" i="141"/>
  <c r="R63" i="141"/>
  <c r="R24" i="141"/>
  <c r="L24" i="141"/>
  <c r="F24" i="141"/>
  <c r="Q26" i="141"/>
  <c r="R26" i="141"/>
  <c r="R82" i="141"/>
  <c r="F82" i="141"/>
  <c r="P17" i="141"/>
  <c r="J17" i="141"/>
  <c r="O17" i="141"/>
  <c r="I17" i="141"/>
  <c r="N17" i="141"/>
  <c r="H17" i="141"/>
  <c r="K17" i="141"/>
  <c r="G17" i="141"/>
  <c r="F17" i="141"/>
  <c r="Q17" i="141" s="1"/>
  <c r="R17" i="141" s="1"/>
  <c r="M17" i="141"/>
  <c r="L17" i="141"/>
  <c r="F80" i="141"/>
  <c r="R80" i="141" s="1"/>
  <c r="L31" i="141"/>
  <c r="F31" i="141"/>
  <c r="K31" i="141"/>
  <c r="P31" i="141"/>
  <c r="J31" i="141"/>
  <c r="G31" i="141"/>
  <c r="O31" i="141"/>
  <c r="H31" i="141"/>
  <c r="Q31" i="141" s="1"/>
  <c r="N31" i="141"/>
  <c r="M31" i="141"/>
  <c r="M37" i="141" s="1"/>
  <c r="I31" i="141"/>
  <c r="H94" i="141"/>
  <c r="L53" i="141"/>
  <c r="F53" i="141"/>
  <c r="O53" i="141" s="1"/>
  <c r="K53" i="141"/>
  <c r="M53" i="141"/>
  <c r="J53" i="141"/>
  <c r="I53" i="141"/>
  <c r="N53" i="141"/>
  <c r="H53" i="141"/>
  <c r="G53" i="141"/>
  <c r="L66" i="141"/>
  <c r="F66" i="141"/>
  <c r="K66" i="141"/>
  <c r="M66" i="141"/>
  <c r="J66" i="141"/>
  <c r="I66" i="141"/>
  <c r="N66" i="141"/>
  <c r="H66" i="141"/>
  <c r="G66" i="141"/>
  <c r="F43" i="141"/>
  <c r="F45" i="141" s="1"/>
  <c r="H37" i="141"/>
  <c r="O61" i="141"/>
  <c r="I61" i="141"/>
  <c r="N61" i="141"/>
  <c r="H61" i="141"/>
  <c r="L61" i="141"/>
  <c r="K61" i="141"/>
  <c r="J61" i="141"/>
  <c r="F61" i="141"/>
  <c r="G61" i="141"/>
  <c r="Q61" i="141" s="1"/>
  <c r="P61" i="141"/>
  <c r="M61" i="141"/>
  <c r="R61" i="141" s="1"/>
  <c r="N13" i="141"/>
  <c r="N25" i="141" s="1"/>
  <c r="N48" i="141" s="1"/>
  <c r="H13" i="141"/>
  <c r="M13" i="141"/>
  <c r="G13" i="141"/>
  <c r="L13" i="141"/>
  <c r="F13" i="141"/>
  <c r="I13" i="141"/>
  <c r="P13" i="141"/>
  <c r="K13" i="141"/>
  <c r="J13" i="141"/>
  <c r="O13" i="141"/>
  <c r="I75" i="141"/>
  <c r="N75" i="141"/>
  <c r="H75" i="141"/>
  <c r="J75" i="141"/>
  <c r="G75" i="141"/>
  <c r="F75" i="141"/>
  <c r="O75" i="141" s="1"/>
  <c r="L75" i="141"/>
  <c r="K75" i="141"/>
  <c r="M75" i="141"/>
  <c r="Q90" i="141"/>
  <c r="L90" i="141" s="1"/>
  <c r="R90" i="141" s="1"/>
  <c r="N62" i="141"/>
  <c r="I62" i="141"/>
  <c r="R62" i="141" s="1"/>
  <c r="F36" i="141"/>
  <c r="L36" i="141"/>
  <c r="R36" i="141" s="1"/>
  <c r="L54" i="141"/>
  <c r="F54" i="141"/>
  <c r="K54" i="141"/>
  <c r="I54" i="141"/>
  <c r="P54" i="141"/>
  <c r="P70" i="141" s="1"/>
  <c r="P78" i="141" s="1"/>
  <c r="H54" i="141"/>
  <c r="O54" i="141"/>
  <c r="G54" i="141"/>
  <c r="Q54" i="141" s="1"/>
  <c r="J54" i="141"/>
  <c r="N54" i="141"/>
  <c r="M54" i="141"/>
  <c r="R54" i="141" s="1"/>
  <c r="H67" i="141"/>
  <c r="R67" i="141" s="1"/>
  <c r="F88" i="141"/>
  <c r="D87" i="141"/>
  <c r="L37" i="141"/>
  <c r="R33" i="140"/>
  <c r="R13" i="140"/>
  <c r="N53" i="140"/>
  <c r="H53" i="140"/>
  <c r="M53" i="140"/>
  <c r="G53" i="140"/>
  <c r="L53" i="140"/>
  <c r="F53" i="140"/>
  <c r="O53" i="140" s="1"/>
  <c r="K53" i="140"/>
  <c r="J53" i="140"/>
  <c r="I53" i="140"/>
  <c r="L58" i="140"/>
  <c r="F58" i="140"/>
  <c r="K58" i="140"/>
  <c r="P58" i="140"/>
  <c r="J58" i="140"/>
  <c r="O58" i="140"/>
  <c r="I58" i="140"/>
  <c r="N58" i="140"/>
  <c r="Q58" i="140" s="1"/>
  <c r="H58" i="140"/>
  <c r="G58" i="140"/>
  <c r="M58" i="140"/>
  <c r="K75" i="140"/>
  <c r="J75" i="140"/>
  <c r="I75" i="140"/>
  <c r="N75" i="140"/>
  <c r="H75" i="140"/>
  <c r="M75" i="140"/>
  <c r="G75" i="140"/>
  <c r="O75" i="140" s="1"/>
  <c r="L75" i="140"/>
  <c r="F75" i="140"/>
  <c r="H77" i="140"/>
  <c r="N77" i="140" s="1"/>
  <c r="R77" i="140" s="1"/>
  <c r="N54" i="140"/>
  <c r="H54" i="140"/>
  <c r="M54" i="140"/>
  <c r="G54" i="140"/>
  <c r="L54" i="140"/>
  <c r="F54" i="140"/>
  <c r="Q54" i="140" s="1"/>
  <c r="K54" i="140"/>
  <c r="P54" i="140"/>
  <c r="J54" i="140"/>
  <c r="O54" i="140"/>
  <c r="I54" i="140"/>
  <c r="F88" i="140"/>
  <c r="L88" i="140" s="1"/>
  <c r="R88" i="140" s="1"/>
  <c r="D87" i="140"/>
  <c r="F63" i="140"/>
  <c r="R63" i="140" s="1"/>
  <c r="Q90" i="140"/>
  <c r="L90" i="140" s="1"/>
  <c r="R90" i="140" s="1"/>
  <c r="Q32" i="140"/>
  <c r="I37" i="140"/>
  <c r="R79" i="140"/>
  <c r="F79" i="140"/>
  <c r="D83" i="140"/>
  <c r="N57" i="140"/>
  <c r="H57" i="140"/>
  <c r="M57" i="140"/>
  <c r="G57" i="140"/>
  <c r="L57" i="140"/>
  <c r="F57" i="140"/>
  <c r="K57" i="140"/>
  <c r="P57" i="140"/>
  <c r="J57" i="140"/>
  <c r="I57" i="140"/>
  <c r="O57" i="140"/>
  <c r="F82" i="140"/>
  <c r="R82" i="140"/>
  <c r="R68" i="140"/>
  <c r="F68" i="140"/>
  <c r="Q56" i="140"/>
  <c r="R29" i="140"/>
  <c r="R7" i="140"/>
  <c r="R59" i="140"/>
  <c r="R11" i="140"/>
  <c r="F11" i="140"/>
  <c r="L28" i="140"/>
  <c r="F28" i="140"/>
  <c r="F37" i="140" s="1"/>
  <c r="K28" i="140"/>
  <c r="K37" i="140" s="1"/>
  <c r="N28" i="140"/>
  <c r="H28" i="140"/>
  <c r="I28" i="140"/>
  <c r="G28" i="140"/>
  <c r="R28" i="140" s="1"/>
  <c r="P28" i="140"/>
  <c r="Q28" i="140" s="1"/>
  <c r="O28" i="140"/>
  <c r="M28" i="140"/>
  <c r="M37" i="140" s="1"/>
  <c r="J28" i="140"/>
  <c r="J37" i="140" s="1"/>
  <c r="F81" i="140"/>
  <c r="R81" i="140" s="1"/>
  <c r="N50" i="140"/>
  <c r="H50" i="140"/>
  <c r="M50" i="140"/>
  <c r="G50" i="140"/>
  <c r="L50" i="140"/>
  <c r="F50" i="140"/>
  <c r="K50" i="140"/>
  <c r="O50" i="140" s="1"/>
  <c r="J50" i="140"/>
  <c r="I50" i="140"/>
  <c r="F60" i="140"/>
  <c r="R60" i="140" s="1"/>
  <c r="D76" i="140"/>
  <c r="F71" i="140"/>
  <c r="K72" i="140"/>
  <c r="J72" i="140"/>
  <c r="J76" i="140" s="1"/>
  <c r="I72" i="140"/>
  <c r="N72" i="140"/>
  <c r="H72" i="140"/>
  <c r="M72" i="140"/>
  <c r="G72" i="140"/>
  <c r="G76" i="140" s="1"/>
  <c r="L72" i="140"/>
  <c r="F72" i="140"/>
  <c r="R32" i="140"/>
  <c r="O94" i="140"/>
  <c r="R94" i="140" s="1"/>
  <c r="H94" i="140"/>
  <c r="F43" i="140"/>
  <c r="F45" i="140" s="1"/>
  <c r="O6" i="140"/>
  <c r="I6" i="140"/>
  <c r="N6" i="140"/>
  <c r="H6" i="140"/>
  <c r="K6" i="140"/>
  <c r="G6" i="140"/>
  <c r="F6" i="140"/>
  <c r="Q6" i="140" s="1"/>
  <c r="L6" i="140"/>
  <c r="J6" i="140"/>
  <c r="P6" i="140"/>
  <c r="M6" i="140"/>
  <c r="O37" i="140"/>
  <c r="R36" i="140"/>
  <c r="L36" i="140"/>
  <c r="F36" i="140"/>
  <c r="F80" i="140"/>
  <c r="R80" i="140" s="1"/>
  <c r="O3" i="140"/>
  <c r="I3" i="140"/>
  <c r="N3" i="140"/>
  <c r="H3" i="140"/>
  <c r="K3" i="140"/>
  <c r="M3" i="140"/>
  <c r="G3" i="140"/>
  <c r="G25" i="140" s="1"/>
  <c r="L3" i="140"/>
  <c r="J3" i="140"/>
  <c r="F3" i="140"/>
  <c r="D25" i="140"/>
  <c r="P3" i="140"/>
  <c r="K92" i="140"/>
  <c r="J92" i="140"/>
  <c r="I92" i="140"/>
  <c r="H92" i="140"/>
  <c r="G92" i="140"/>
  <c r="F92" i="140"/>
  <c r="L92" i="140"/>
  <c r="L31" i="140"/>
  <c r="F31" i="140"/>
  <c r="P31" i="140"/>
  <c r="K31" i="140"/>
  <c r="N31" i="140"/>
  <c r="H31" i="140"/>
  <c r="J31" i="140"/>
  <c r="O31" i="140"/>
  <c r="M31" i="140"/>
  <c r="I31" i="140"/>
  <c r="G31" i="140"/>
  <c r="Q31" i="140" s="1"/>
  <c r="N49" i="140"/>
  <c r="H49" i="140"/>
  <c r="M49" i="140"/>
  <c r="G49" i="140"/>
  <c r="L49" i="140"/>
  <c r="F49" i="140"/>
  <c r="K49" i="140"/>
  <c r="J49" i="140"/>
  <c r="D70" i="140"/>
  <c r="I49" i="140"/>
  <c r="R69" i="140"/>
  <c r="L69" i="140"/>
  <c r="F69" i="140"/>
  <c r="D109" i="140"/>
  <c r="L93" i="140"/>
  <c r="F93" i="140"/>
  <c r="Q93" i="140" s="1"/>
  <c r="K93" i="140"/>
  <c r="P93" i="140"/>
  <c r="J93" i="140"/>
  <c r="O93" i="140"/>
  <c r="I93" i="140"/>
  <c r="N93" i="140"/>
  <c r="H93" i="140"/>
  <c r="G93" i="140"/>
  <c r="M93" i="140"/>
  <c r="Q17" i="140"/>
  <c r="R17" i="140" s="1"/>
  <c r="R42" i="140"/>
  <c r="K8" i="140"/>
  <c r="P8" i="140"/>
  <c r="J8" i="140"/>
  <c r="M8" i="140"/>
  <c r="G8" i="140"/>
  <c r="N8" i="140"/>
  <c r="L8" i="140"/>
  <c r="H8" i="140"/>
  <c r="F8" i="140"/>
  <c r="Q8" i="140" s="1"/>
  <c r="O8" i="140"/>
  <c r="I8" i="140"/>
  <c r="L16" i="140"/>
  <c r="F16" i="140"/>
  <c r="K16" i="140"/>
  <c r="N16" i="140"/>
  <c r="H16" i="140"/>
  <c r="I16" i="140"/>
  <c r="G16" i="140"/>
  <c r="O16" i="140"/>
  <c r="Q16" i="140" s="1"/>
  <c r="M16" i="140"/>
  <c r="J16" i="140"/>
  <c r="P16" i="140"/>
  <c r="F89" i="140"/>
  <c r="N51" i="140"/>
  <c r="H51" i="140"/>
  <c r="M51" i="140"/>
  <c r="G51" i="140"/>
  <c r="L51" i="140"/>
  <c r="F51" i="140"/>
  <c r="K51" i="140"/>
  <c r="J51" i="140"/>
  <c r="I51" i="140"/>
  <c r="N64" i="140"/>
  <c r="H64" i="140"/>
  <c r="M64" i="140"/>
  <c r="G64" i="140"/>
  <c r="L64" i="140"/>
  <c r="F64" i="140"/>
  <c r="K64" i="140"/>
  <c r="J64" i="140"/>
  <c r="I64" i="140"/>
  <c r="K73" i="140"/>
  <c r="J73" i="140"/>
  <c r="I73" i="140"/>
  <c r="N73" i="140"/>
  <c r="H73" i="140"/>
  <c r="M73" i="140"/>
  <c r="G73" i="140"/>
  <c r="L73" i="140"/>
  <c r="F73" i="140"/>
  <c r="L44" i="140"/>
  <c r="L45" i="140" s="1"/>
  <c r="R56" i="140"/>
  <c r="R30" i="140"/>
  <c r="O12" i="140"/>
  <c r="R12" i="140" s="1"/>
  <c r="R10" i="140"/>
  <c r="R26" i="140"/>
  <c r="R62" i="140"/>
  <c r="N62" i="140"/>
  <c r="I62" i="140"/>
  <c r="N66" i="140"/>
  <c r="H66" i="140"/>
  <c r="M66" i="140"/>
  <c r="G66" i="140"/>
  <c r="O66" i="140" s="1"/>
  <c r="L66" i="140"/>
  <c r="F66" i="140"/>
  <c r="K66" i="140"/>
  <c r="J66" i="140"/>
  <c r="I66" i="140"/>
  <c r="K61" i="140"/>
  <c r="P61" i="140"/>
  <c r="J61" i="140"/>
  <c r="O61" i="140"/>
  <c r="I61" i="140"/>
  <c r="N61" i="140"/>
  <c r="H61" i="140"/>
  <c r="M61" i="140"/>
  <c r="G61" i="140"/>
  <c r="L61" i="140"/>
  <c r="F61" i="140"/>
  <c r="Q61" i="140" s="1"/>
  <c r="R67" i="140"/>
  <c r="H67" i="140"/>
  <c r="K5" i="140"/>
  <c r="P5" i="140"/>
  <c r="J5" i="140"/>
  <c r="M5" i="140"/>
  <c r="G5" i="140"/>
  <c r="I5" i="140"/>
  <c r="H5" i="140"/>
  <c r="N5" i="140"/>
  <c r="L5" i="140"/>
  <c r="F5" i="140"/>
  <c r="O5" i="140"/>
  <c r="L14" i="140"/>
  <c r="F14" i="140"/>
  <c r="K14" i="140"/>
  <c r="N14" i="140"/>
  <c r="H14" i="140"/>
  <c r="O14" i="140"/>
  <c r="M14" i="140"/>
  <c r="I14" i="140"/>
  <c r="G14" i="140"/>
  <c r="P14" i="140"/>
  <c r="J14" i="140"/>
  <c r="N52" i="140"/>
  <c r="H52" i="140"/>
  <c r="M52" i="140"/>
  <c r="G52" i="140"/>
  <c r="L52" i="140"/>
  <c r="F52" i="140"/>
  <c r="K52" i="140"/>
  <c r="J52" i="140"/>
  <c r="I52" i="140"/>
  <c r="N65" i="140"/>
  <c r="H65" i="140"/>
  <c r="M65" i="140"/>
  <c r="G65" i="140"/>
  <c r="L65" i="140"/>
  <c r="F65" i="140"/>
  <c r="K65" i="140"/>
  <c r="J65" i="140"/>
  <c r="I65" i="140"/>
  <c r="L55" i="140"/>
  <c r="F55" i="140"/>
  <c r="Q55" i="140" s="1"/>
  <c r="K55" i="140"/>
  <c r="P55" i="140"/>
  <c r="J55" i="140"/>
  <c r="O55" i="140"/>
  <c r="I55" i="140"/>
  <c r="N55" i="140"/>
  <c r="H55" i="140"/>
  <c r="M55" i="140"/>
  <c r="G55" i="140"/>
  <c r="D47" i="140"/>
  <c r="N46" i="140"/>
  <c r="N47" i="140" s="1"/>
  <c r="K46" i="140"/>
  <c r="K47" i="140" s="1"/>
  <c r="F46" i="140"/>
  <c r="F47" i="140" s="1"/>
  <c r="K74" i="140"/>
  <c r="J74" i="140"/>
  <c r="I74" i="140"/>
  <c r="N74" i="140"/>
  <c r="H74" i="140"/>
  <c r="M74" i="140"/>
  <c r="G74" i="140"/>
  <c r="L74" i="140"/>
  <c r="F74" i="140"/>
  <c r="O74" i="140" s="1"/>
  <c r="O9" i="140"/>
  <c r="I9" i="140"/>
  <c r="R9" i="140" s="1"/>
  <c r="N9" i="140"/>
  <c r="H9" i="140"/>
  <c r="K9" i="140"/>
  <c r="G9" i="140"/>
  <c r="L9" i="140"/>
  <c r="J9" i="140"/>
  <c r="F9" i="140"/>
  <c r="Q9" i="140" s="1"/>
  <c r="P9" i="140"/>
  <c r="M9" i="140"/>
  <c r="G37" i="140"/>
  <c r="H37" i="140"/>
  <c r="R27" i="140"/>
  <c r="R64" i="139"/>
  <c r="R29" i="139"/>
  <c r="D86" i="139"/>
  <c r="F86" i="139" s="1"/>
  <c r="R30" i="139"/>
  <c r="R10" i="139"/>
  <c r="L55" i="139"/>
  <c r="F55" i="139"/>
  <c r="K55" i="139"/>
  <c r="N55" i="139"/>
  <c r="H55" i="139"/>
  <c r="M55" i="139"/>
  <c r="G55" i="139"/>
  <c r="J55" i="139"/>
  <c r="P55" i="139"/>
  <c r="P70" i="139" s="1"/>
  <c r="P78" i="139" s="1"/>
  <c r="O55" i="139"/>
  <c r="I55" i="139"/>
  <c r="R60" i="139"/>
  <c r="F60" i="139"/>
  <c r="N14" i="139"/>
  <c r="H14" i="139"/>
  <c r="K14" i="139"/>
  <c r="O14" i="139"/>
  <c r="F14" i="139"/>
  <c r="M14" i="139"/>
  <c r="J14" i="139"/>
  <c r="I14" i="139"/>
  <c r="P14" i="139"/>
  <c r="G14" i="139"/>
  <c r="L14" i="139"/>
  <c r="Q14" i="139" s="1"/>
  <c r="K72" i="139"/>
  <c r="J72" i="139"/>
  <c r="M72" i="139"/>
  <c r="G72" i="139"/>
  <c r="L72" i="139"/>
  <c r="F72" i="139"/>
  <c r="F76" i="139" s="1"/>
  <c r="N72" i="139"/>
  <c r="H72" i="139"/>
  <c r="H76" i="139" s="1"/>
  <c r="I72" i="139"/>
  <c r="Q17" i="139"/>
  <c r="R17" i="139" s="1"/>
  <c r="Q8" i="139"/>
  <c r="R8" i="139" s="1"/>
  <c r="N52" i="139"/>
  <c r="H52" i="139"/>
  <c r="M52" i="139"/>
  <c r="G52" i="139"/>
  <c r="J52" i="139"/>
  <c r="I52" i="139"/>
  <c r="L52" i="139"/>
  <c r="K52" i="139"/>
  <c r="F52" i="139"/>
  <c r="I42" i="139"/>
  <c r="I45" i="139" s="1"/>
  <c r="D45" i="139"/>
  <c r="I62" i="139"/>
  <c r="N62" i="139" s="1"/>
  <c r="H94" i="139"/>
  <c r="R94" i="139" s="1"/>
  <c r="O94" i="139"/>
  <c r="K73" i="139"/>
  <c r="J73" i="139"/>
  <c r="M73" i="139"/>
  <c r="G73" i="139"/>
  <c r="L73" i="139"/>
  <c r="F73" i="139"/>
  <c r="R73" i="139" s="1"/>
  <c r="N73" i="139"/>
  <c r="I73" i="139"/>
  <c r="H73" i="139"/>
  <c r="O73" i="139"/>
  <c r="R57" i="139"/>
  <c r="N49" i="139"/>
  <c r="H49" i="139"/>
  <c r="M49" i="139"/>
  <c r="G49" i="139"/>
  <c r="J49" i="139"/>
  <c r="D70" i="139"/>
  <c r="I49" i="139"/>
  <c r="R49" i="139" s="1"/>
  <c r="L49" i="139"/>
  <c r="K49" i="139"/>
  <c r="F49" i="139"/>
  <c r="O49" i="139" s="1"/>
  <c r="H77" i="139"/>
  <c r="K74" i="139"/>
  <c r="J74" i="139"/>
  <c r="M74" i="139"/>
  <c r="G74" i="139"/>
  <c r="L74" i="139"/>
  <c r="O74" i="139" s="1"/>
  <c r="F74" i="139"/>
  <c r="I74" i="139"/>
  <c r="R74" i="139" s="1"/>
  <c r="H74" i="139"/>
  <c r="N74" i="139"/>
  <c r="R27" i="139"/>
  <c r="Q27" i="139"/>
  <c r="K6" i="139"/>
  <c r="N6" i="139"/>
  <c r="H6" i="139"/>
  <c r="O6" i="139"/>
  <c r="F6" i="139"/>
  <c r="M6" i="139"/>
  <c r="L6" i="139"/>
  <c r="J6" i="139"/>
  <c r="I6" i="139"/>
  <c r="P6" i="139"/>
  <c r="G6" i="139"/>
  <c r="Q6" i="139" s="1"/>
  <c r="D83" i="139"/>
  <c r="F79" i="139"/>
  <c r="F83" i="139" s="1"/>
  <c r="K75" i="139"/>
  <c r="J75" i="139"/>
  <c r="M75" i="139"/>
  <c r="G75" i="139"/>
  <c r="L75" i="139"/>
  <c r="F75" i="139"/>
  <c r="N75" i="139"/>
  <c r="H75" i="139"/>
  <c r="I75" i="139"/>
  <c r="Q26" i="139"/>
  <c r="Q7" i="139"/>
  <c r="K3" i="139"/>
  <c r="N3" i="139"/>
  <c r="H3" i="139"/>
  <c r="L3" i="139"/>
  <c r="J3" i="139"/>
  <c r="I3" i="139"/>
  <c r="D25" i="139"/>
  <c r="P3" i="139"/>
  <c r="G3" i="139"/>
  <c r="O3" i="139"/>
  <c r="O25" i="139" s="1"/>
  <c r="F3" i="139"/>
  <c r="M3" i="139"/>
  <c r="N28" i="139"/>
  <c r="H28" i="139"/>
  <c r="H37" i="139" s="1"/>
  <c r="K28" i="139"/>
  <c r="K37" i="139" s="1"/>
  <c r="O28" i="139"/>
  <c r="F28" i="139"/>
  <c r="F37" i="139" s="1"/>
  <c r="M28" i="139"/>
  <c r="M37" i="139" s="1"/>
  <c r="J28" i="139"/>
  <c r="J37" i="139" s="1"/>
  <c r="I28" i="139"/>
  <c r="I37" i="139" s="1"/>
  <c r="P28" i="139"/>
  <c r="G28" i="139"/>
  <c r="G37" i="139" s="1"/>
  <c r="L28" i="139"/>
  <c r="P59" i="139"/>
  <c r="J59" i="139"/>
  <c r="O59" i="139"/>
  <c r="I59" i="139"/>
  <c r="L59" i="139"/>
  <c r="F59" i="139"/>
  <c r="K59" i="139"/>
  <c r="H59" i="139"/>
  <c r="N59" i="139"/>
  <c r="M59" i="139"/>
  <c r="G59" i="139"/>
  <c r="F81" i="139"/>
  <c r="R81" i="139"/>
  <c r="F80" i="139"/>
  <c r="R80" i="139"/>
  <c r="F63" i="139"/>
  <c r="R63" i="139" s="1"/>
  <c r="Q90" i="139"/>
  <c r="L90" i="139" s="1"/>
  <c r="R90" i="139" s="1"/>
  <c r="R26" i="139"/>
  <c r="R54" i="139"/>
  <c r="Q32" i="139"/>
  <c r="R32" i="139" s="1"/>
  <c r="Q29" i="139"/>
  <c r="Q13" i="139"/>
  <c r="R13" i="139" s="1"/>
  <c r="R71" i="139"/>
  <c r="K9" i="139"/>
  <c r="N9" i="139"/>
  <c r="H9" i="139"/>
  <c r="I9" i="139"/>
  <c r="P9" i="139"/>
  <c r="G9" i="139"/>
  <c r="R9" i="139" s="1"/>
  <c r="O9" i="139"/>
  <c r="M9" i="139"/>
  <c r="L9" i="139"/>
  <c r="J9" i="139"/>
  <c r="F9" i="139"/>
  <c r="Q9" i="139" s="1"/>
  <c r="L44" i="139"/>
  <c r="L45" i="139" s="1"/>
  <c r="D47" i="139"/>
  <c r="K46" i="139"/>
  <c r="K47" i="139" s="1"/>
  <c r="F46" i="139"/>
  <c r="F47" i="139" s="1"/>
  <c r="N46" i="139"/>
  <c r="N47" i="139" s="1"/>
  <c r="L88" i="139"/>
  <c r="N31" i="139"/>
  <c r="N37" i="139" s="1"/>
  <c r="H31" i="139"/>
  <c r="K31" i="139"/>
  <c r="J31" i="139"/>
  <c r="I31" i="139"/>
  <c r="P31" i="139"/>
  <c r="P37" i="139" s="1"/>
  <c r="G31" i="139"/>
  <c r="O31" i="139"/>
  <c r="O37" i="139" s="1"/>
  <c r="F31" i="139"/>
  <c r="Q31" i="139" s="1"/>
  <c r="M31" i="139"/>
  <c r="L31" i="139"/>
  <c r="P56" i="139"/>
  <c r="J56" i="139"/>
  <c r="O56" i="139"/>
  <c r="I56" i="139"/>
  <c r="L56" i="139"/>
  <c r="F56" i="139"/>
  <c r="Q56" i="139" s="1"/>
  <c r="K56" i="139"/>
  <c r="N56" i="139"/>
  <c r="G56" i="139"/>
  <c r="M56" i="139"/>
  <c r="H56" i="139"/>
  <c r="L58" i="139"/>
  <c r="Q58" i="139" s="1"/>
  <c r="F58" i="139"/>
  <c r="R58" i="139" s="1"/>
  <c r="K58" i="139"/>
  <c r="N58" i="139"/>
  <c r="H58" i="139"/>
  <c r="M58" i="139"/>
  <c r="G58" i="139"/>
  <c r="O58" i="139"/>
  <c r="P58" i="139"/>
  <c r="J58" i="139"/>
  <c r="I58" i="139"/>
  <c r="K61" i="139"/>
  <c r="P61" i="139"/>
  <c r="J61" i="139"/>
  <c r="M61" i="139"/>
  <c r="G61" i="139"/>
  <c r="L61" i="139"/>
  <c r="F61" i="139"/>
  <c r="I61" i="139"/>
  <c r="N61" i="139"/>
  <c r="H61" i="139"/>
  <c r="O61" i="139"/>
  <c r="Q61" i="139" s="1"/>
  <c r="R43" i="139"/>
  <c r="Q5" i="139"/>
  <c r="R5" i="139" s="1"/>
  <c r="N65" i="139"/>
  <c r="H65" i="139"/>
  <c r="M65" i="139"/>
  <c r="G65" i="139"/>
  <c r="O65" i="139" s="1"/>
  <c r="J65" i="139"/>
  <c r="I65" i="139"/>
  <c r="L65" i="139"/>
  <c r="K65" i="139"/>
  <c r="F65" i="139"/>
  <c r="R65" i="139" s="1"/>
  <c r="N16" i="139"/>
  <c r="H16" i="139"/>
  <c r="K16" i="139"/>
  <c r="G16" i="139"/>
  <c r="O16" i="139"/>
  <c r="F16" i="139"/>
  <c r="M16" i="139"/>
  <c r="L16" i="139"/>
  <c r="J16" i="139"/>
  <c r="I16" i="139"/>
  <c r="P16" i="139"/>
  <c r="D92" i="139"/>
  <c r="F89" i="139"/>
  <c r="F82" i="139"/>
  <c r="R82" i="139"/>
  <c r="F68" i="139"/>
  <c r="R68" i="139" s="1"/>
  <c r="D93" i="139"/>
  <c r="D37" i="139"/>
  <c r="Q4" i="139"/>
  <c r="R4" i="139" s="1"/>
  <c r="R7" i="139"/>
  <c r="D76" i="139"/>
  <c r="K93" i="138"/>
  <c r="N93" i="138"/>
  <c r="H93" i="138"/>
  <c r="M93" i="138"/>
  <c r="L93" i="138"/>
  <c r="J93" i="138"/>
  <c r="P93" i="138"/>
  <c r="I93" i="138"/>
  <c r="O93" i="138"/>
  <c r="G93" i="138"/>
  <c r="F93" i="138"/>
  <c r="Q93" i="138" s="1"/>
  <c r="R72" i="138"/>
  <c r="R6" i="138"/>
  <c r="R14" i="138"/>
  <c r="R7" i="138"/>
  <c r="R27" i="138"/>
  <c r="K5" i="138"/>
  <c r="K25" i="138" s="1"/>
  <c r="K48" i="138" s="1"/>
  <c r="P5" i="138"/>
  <c r="P25" i="138" s="1"/>
  <c r="J5" i="138"/>
  <c r="L5" i="138"/>
  <c r="N5" i="138"/>
  <c r="I5" i="138"/>
  <c r="I25" i="138" s="1"/>
  <c r="H5" i="138"/>
  <c r="H25" i="138" s="1"/>
  <c r="O5" i="138"/>
  <c r="G5" i="138"/>
  <c r="Q5" i="138" s="1"/>
  <c r="F5" i="138"/>
  <c r="M5" i="138"/>
  <c r="F36" i="138"/>
  <c r="L36" i="138" s="1"/>
  <c r="M52" i="138"/>
  <c r="G52" i="138"/>
  <c r="J52" i="138"/>
  <c r="H52" i="138"/>
  <c r="R52" i="138" s="1"/>
  <c r="N52" i="138"/>
  <c r="I52" i="138"/>
  <c r="F52" i="138"/>
  <c r="L52" i="138"/>
  <c r="K52" i="138"/>
  <c r="O52" i="138"/>
  <c r="P61" i="138"/>
  <c r="J61" i="138"/>
  <c r="M61" i="138"/>
  <c r="G61" i="138"/>
  <c r="N61" i="138"/>
  <c r="K61" i="138"/>
  <c r="F61" i="138"/>
  <c r="L61" i="138"/>
  <c r="I61" i="138"/>
  <c r="H61" i="138"/>
  <c r="O61" i="138"/>
  <c r="F88" i="138"/>
  <c r="L88" i="138" s="1"/>
  <c r="D87" i="138"/>
  <c r="F89" i="138"/>
  <c r="L89" i="138" s="1"/>
  <c r="R89" i="138" s="1"/>
  <c r="F82" i="138"/>
  <c r="R82" i="138" s="1"/>
  <c r="K76" i="138"/>
  <c r="P32" i="138"/>
  <c r="J32" i="138"/>
  <c r="N32" i="138"/>
  <c r="H32" i="138"/>
  <c r="R32" i="138" s="1"/>
  <c r="O32" i="138"/>
  <c r="F32" i="138"/>
  <c r="Q32" i="138" s="1"/>
  <c r="M32" i="138"/>
  <c r="K32" i="138"/>
  <c r="I32" i="138"/>
  <c r="L32" i="138"/>
  <c r="L37" i="138" s="1"/>
  <c r="G32" i="138"/>
  <c r="F60" i="138"/>
  <c r="R60" i="138" s="1"/>
  <c r="Q90" i="138"/>
  <c r="F63" i="138"/>
  <c r="R63" i="138" s="1"/>
  <c r="D25" i="138"/>
  <c r="Q56" i="138"/>
  <c r="R56" i="138" s="1"/>
  <c r="G25" i="138"/>
  <c r="R17" i="138"/>
  <c r="M65" i="138"/>
  <c r="G65" i="138"/>
  <c r="J65" i="138"/>
  <c r="H65" i="138"/>
  <c r="N65" i="138"/>
  <c r="L65" i="138"/>
  <c r="K65" i="138"/>
  <c r="I65" i="138"/>
  <c r="F65" i="138"/>
  <c r="M66" i="138"/>
  <c r="O66" i="138" s="1"/>
  <c r="G66" i="138"/>
  <c r="J66" i="138"/>
  <c r="N66" i="138"/>
  <c r="K66" i="138"/>
  <c r="L66" i="138"/>
  <c r="H66" i="138"/>
  <c r="I66" i="138"/>
  <c r="F66" i="138"/>
  <c r="M25" i="138"/>
  <c r="M48" i="138" s="1"/>
  <c r="R10" i="138"/>
  <c r="R12" i="138"/>
  <c r="J75" i="138"/>
  <c r="M75" i="138"/>
  <c r="G75" i="138"/>
  <c r="K75" i="138"/>
  <c r="H75" i="138"/>
  <c r="F75" i="138"/>
  <c r="O75" i="138" s="1"/>
  <c r="N75" i="138"/>
  <c r="L75" i="138"/>
  <c r="I75" i="138"/>
  <c r="F68" i="138"/>
  <c r="R68" i="138" s="1"/>
  <c r="L69" i="138"/>
  <c r="F69" i="138"/>
  <c r="R69" i="138" s="1"/>
  <c r="H77" i="138"/>
  <c r="Q59" i="138"/>
  <c r="R59" i="138" s="1"/>
  <c r="Q4" i="138"/>
  <c r="Q3" i="138"/>
  <c r="R3" i="138" s="1"/>
  <c r="F11" i="138"/>
  <c r="R11" i="138" s="1"/>
  <c r="M51" i="138"/>
  <c r="G51" i="138"/>
  <c r="J51" i="138"/>
  <c r="K51" i="138"/>
  <c r="H51" i="138"/>
  <c r="F51" i="138"/>
  <c r="N51" i="138"/>
  <c r="L51" i="138"/>
  <c r="I51" i="138"/>
  <c r="J73" i="138"/>
  <c r="J76" i="138" s="1"/>
  <c r="M73" i="138"/>
  <c r="G73" i="138"/>
  <c r="G76" i="138" s="1"/>
  <c r="H73" i="138"/>
  <c r="N73" i="138"/>
  <c r="L73" i="138"/>
  <c r="L76" i="138" s="1"/>
  <c r="F73" i="138"/>
  <c r="K73" i="138"/>
  <c r="I73" i="138"/>
  <c r="D83" i="138"/>
  <c r="F79" i="138"/>
  <c r="F83" i="138" s="1"/>
  <c r="K58" i="138"/>
  <c r="N58" i="138"/>
  <c r="H58" i="138"/>
  <c r="I58" i="138"/>
  <c r="O58" i="138"/>
  <c r="F58" i="138"/>
  <c r="Q58" i="138" s="1"/>
  <c r="J58" i="138"/>
  <c r="G58" i="138"/>
  <c r="M58" i="138"/>
  <c r="P58" i="138"/>
  <c r="L58" i="138"/>
  <c r="R54" i="138"/>
  <c r="O64" i="138"/>
  <c r="O72" i="138"/>
  <c r="R64" i="138"/>
  <c r="Q33" i="138"/>
  <c r="R33" i="138" s="1"/>
  <c r="N30" i="138"/>
  <c r="H30" i="138"/>
  <c r="L30" i="138"/>
  <c r="F30" i="138"/>
  <c r="P30" i="138"/>
  <c r="G30" i="138"/>
  <c r="G37" i="138" s="1"/>
  <c r="O30" i="138"/>
  <c r="K30" i="138"/>
  <c r="M30" i="138"/>
  <c r="J30" i="138"/>
  <c r="I30" i="138"/>
  <c r="I62" i="138"/>
  <c r="H94" i="138"/>
  <c r="O94" i="138"/>
  <c r="R94" i="138" s="1"/>
  <c r="O25" i="138"/>
  <c r="D47" i="138"/>
  <c r="K46" i="138"/>
  <c r="K47" i="138" s="1"/>
  <c r="F46" i="138"/>
  <c r="F47" i="138" s="1"/>
  <c r="R46" i="138"/>
  <c r="N46" i="138"/>
  <c r="N47" i="138" s="1"/>
  <c r="P26" i="138"/>
  <c r="I26" i="138"/>
  <c r="N26" i="138"/>
  <c r="F26" i="138"/>
  <c r="H26" i="138"/>
  <c r="M26" i="138"/>
  <c r="M37" i="138" s="1"/>
  <c r="K26" i="138"/>
  <c r="K37" i="138" s="1"/>
  <c r="O26" i="138"/>
  <c r="O37" i="138" s="1"/>
  <c r="D37" i="138"/>
  <c r="J26" i="138"/>
  <c r="M50" i="138"/>
  <c r="G50" i="138"/>
  <c r="J50" i="138"/>
  <c r="N50" i="138"/>
  <c r="K50" i="138"/>
  <c r="F50" i="138"/>
  <c r="H50" i="138"/>
  <c r="L50" i="138"/>
  <c r="I50" i="138"/>
  <c r="R50" i="138" s="1"/>
  <c r="O50" i="138"/>
  <c r="K55" i="138"/>
  <c r="N55" i="138"/>
  <c r="H55" i="138"/>
  <c r="O55" i="138"/>
  <c r="F55" i="138"/>
  <c r="Q55" i="138" s="1"/>
  <c r="R55" i="138" s="1"/>
  <c r="L55" i="138"/>
  <c r="J55" i="138"/>
  <c r="I55" i="138"/>
  <c r="M55" i="138"/>
  <c r="G55" i="138"/>
  <c r="P55" i="138"/>
  <c r="P70" i="138" s="1"/>
  <c r="P78" i="138" s="1"/>
  <c r="F24" i="138"/>
  <c r="R24" i="138" s="1"/>
  <c r="L24" i="138"/>
  <c r="M53" i="138"/>
  <c r="G53" i="138"/>
  <c r="J53" i="138"/>
  <c r="N53" i="138"/>
  <c r="K53" i="138"/>
  <c r="I53" i="138"/>
  <c r="H53" i="138"/>
  <c r="L53" i="138"/>
  <c r="F53" i="138"/>
  <c r="R71" i="138"/>
  <c r="D76" i="138"/>
  <c r="F71" i="138"/>
  <c r="K8" i="138"/>
  <c r="P8" i="138"/>
  <c r="J8" i="138"/>
  <c r="J25" i="138" s="1"/>
  <c r="N8" i="138"/>
  <c r="N25" i="138" s="1"/>
  <c r="F8" i="138"/>
  <c r="F25" i="138" s="1"/>
  <c r="O8" i="138"/>
  <c r="G8" i="138"/>
  <c r="Q8" i="138" s="1"/>
  <c r="M8" i="138"/>
  <c r="I8" i="138"/>
  <c r="H8" i="138"/>
  <c r="L8" i="138"/>
  <c r="I42" i="138"/>
  <c r="I45" i="138" s="1"/>
  <c r="R42" i="138"/>
  <c r="D45" i="138"/>
  <c r="M49" i="138"/>
  <c r="M70" i="138" s="1"/>
  <c r="G49" i="138"/>
  <c r="J49" i="138"/>
  <c r="H49" i="138"/>
  <c r="N49" i="138"/>
  <c r="D70" i="138"/>
  <c r="L49" i="138"/>
  <c r="I49" i="138"/>
  <c r="F49" i="138"/>
  <c r="K49" i="138"/>
  <c r="D92" i="138"/>
  <c r="M57" i="138"/>
  <c r="G57" i="138"/>
  <c r="Q57" i="138" s="1"/>
  <c r="P57" i="138"/>
  <c r="J57" i="138"/>
  <c r="N57" i="138"/>
  <c r="K57" i="138"/>
  <c r="I57" i="138"/>
  <c r="H57" i="138"/>
  <c r="O57" i="138"/>
  <c r="L57" i="138"/>
  <c r="F57" i="138"/>
  <c r="J74" i="138"/>
  <c r="M74" i="138"/>
  <c r="M76" i="138" s="1"/>
  <c r="M78" i="138" s="1"/>
  <c r="G74" i="138"/>
  <c r="N74" i="138"/>
  <c r="N76" i="138" s="1"/>
  <c r="K74" i="138"/>
  <c r="F74" i="138"/>
  <c r="R74" i="138" s="1"/>
  <c r="H74" i="138"/>
  <c r="L74" i="138"/>
  <c r="I74" i="138"/>
  <c r="O74" i="138"/>
  <c r="F81" i="138"/>
  <c r="R81" i="138" s="1"/>
  <c r="F80" i="138"/>
  <c r="R80" i="138" s="1"/>
  <c r="R43" i="138"/>
  <c r="L25" i="138"/>
  <c r="Q9" i="138"/>
  <c r="R9" i="138" s="1"/>
  <c r="R4" i="138"/>
  <c r="H76" i="138"/>
  <c r="R89" i="150" l="1"/>
  <c r="R88" i="159"/>
  <c r="R88" i="170"/>
  <c r="L89" i="151"/>
  <c r="R89" i="151" s="1"/>
  <c r="R88" i="171"/>
  <c r="R89" i="164"/>
  <c r="R89" i="142"/>
  <c r="R89" i="171"/>
  <c r="R89" i="157"/>
  <c r="R53" i="172"/>
  <c r="R28" i="172"/>
  <c r="R75" i="172"/>
  <c r="R65" i="172"/>
  <c r="L48" i="172"/>
  <c r="L2" i="172" s="1"/>
  <c r="R64" i="172"/>
  <c r="R30" i="172"/>
  <c r="R56" i="172"/>
  <c r="R51" i="172"/>
  <c r="P70" i="172"/>
  <c r="P78" i="172" s="1"/>
  <c r="R72" i="172"/>
  <c r="O53" i="172"/>
  <c r="O66" i="172"/>
  <c r="R66" i="172" s="1"/>
  <c r="R93" i="172"/>
  <c r="I37" i="172"/>
  <c r="I48" i="172" s="1"/>
  <c r="I2" i="172" s="1"/>
  <c r="I95" i="172" s="1"/>
  <c r="I91" i="172" s="1"/>
  <c r="H37" i="172"/>
  <c r="H48" i="172" s="1"/>
  <c r="H2" i="172" s="1"/>
  <c r="H95" i="172" s="1"/>
  <c r="H91" i="172" s="1"/>
  <c r="L89" i="172"/>
  <c r="R89" i="172" s="1"/>
  <c r="O51" i="172"/>
  <c r="L37" i="172"/>
  <c r="Q59" i="172"/>
  <c r="R59" i="172" s="1"/>
  <c r="I70" i="172"/>
  <c r="M70" i="172"/>
  <c r="R70" i="172" s="1"/>
  <c r="R4" i="172"/>
  <c r="Q58" i="172"/>
  <c r="R58" i="172" s="1"/>
  <c r="G76" i="172"/>
  <c r="G78" i="172" s="1"/>
  <c r="D78" i="172"/>
  <c r="Q54" i="172"/>
  <c r="R54" i="172" s="1"/>
  <c r="R9" i="172"/>
  <c r="K37" i="172"/>
  <c r="K48" i="172" s="1"/>
  <c r="K2" i="172" s="1"/>
  <c r="K95" i="172" s="1"/>
  <c r="K91" i="172" s="1"/>
  <c r="O37" i="172"/>
  <c r="O48" i="172" s="1"/>
  <c r="R27" i="172"/>
  <c r="R88" i="172"/>
  <c r="K70" i="172"/>
  <c r="J70" i="172"/>
  <c r="J78" i="172" s="1"/>
  <c r="N92" i="172"/>
  <c r="G70" i="172"/>
  <c r="P25" i="172"/>
  <c r="P48" i="172" s="1"/>
  <c r="P2" i="172" s="1"/>
  <c r="P95" i="172" s="1"/>
  <c r="P91" i="172" s="1"/>
  <c r="R43" i="172"/>
  <c r="H76" i="172"/>
  <c r="M76" i="172"/>
  <c r="M78" i="172" s="1"/>
  <c r="F76" i="172"/>
  <c r="R46" i="172"/>
  <c r="J37" i="172"/>
  <c r="J48" i="172" s="1"/>
  <c r="J2" i="172" s="1"/>
  <c r="J95" i="172" s="1"/>
  <c r="J91" i="172" s="1"/>
  <c r="G37" i="172"/>
  <c r="G48" i="172" s="1"/>
  <c r="G2" i="172" s="1"/>
  <c r="G95" i="172" s="1"/>
  <c r="G91" i="172" s="1"/>
  <c r="D109" i="172"/>
  <c r="D86" i="172"/>
  <c r="F86" i="172" s="1"/>
  <c r="N70" i="172"/>
  <c r="N78" i="172" s="1"/>
  <c r="R92" i="172"/>
  <c r="Q14" i="172"/>
  <c r="R14" i="172" s="1"/>
  <c r="H70" i="172"/>
  <c r="Q70" i="172" s="1"/>
  <c r="Q78" i="172" s="1"/>
  <c r="K76" i="172"/>
  <c r="K78" i="172" s="1"/>
  <c r="I76" i="172"/>
  <c r="I78" i="172" s="1"/>
  <c r="R55" i="172"/>
  <c r="N62" i="172"/>
  <c r="R62" i="172" s="1"/>
  <c r="R33" i="172"/>
  <c r="R12" i="172"/>
  <c r="Q47" i="172"/>
  <c r="R47" i="172" s="1"/>
  <c r="Q26" i="172"/>
  <c r="R26" i="172" s="1"/>
  <c r="M37" i="172"/>
  <c r="M48" i="172" s="1"/>
  <c r="M2" i="172" s="1"/>
  <c r="M95" i="172" s="1"/>
  <c r="M91" i="172" s="1"/>
  <c r="O49" i="172"/>
  <c r="O70" i="172" s="1"/>
  <c r="F70" i="172"/>
  <c r="F25" i="172"/>
  <c r="L76" i="172"/>
  <c r="L78" i="172" s="1"/>
  <c r="Q37" i="172"/>
  <c r="F37" i="172"/>
  <c r="F83" i="172"/>
  <c r="R83" i="172" s="1"/>
  <c r="L70" i="172"/>
  <c r="R16" i="171"/>
  <c r="R56" i="171"/>
  <c r="R57" i="171"/>
  <c r="K48" i="171"/>
  <c r="K2" i="171" s="1"/>
  <c r="K95" i="171" s="1"/>
  <c r="R73" i="171"/>
  <c r="R29" i="171"/>
  <c r="R13" i="171"/>
  <c r="Q14" i="171"/>
  <c r="R14" i="171" s="1"/>
  <c r="R26" i="171"/>
  <c r="R49" i="171"/>
  <c r="D48" i="171"/>
  <c r="M37" i="171"/>
  <c r="M48" i="171" s="1"/>
  <c r="M2" i="171" s="1"/>
  <c r="M95" i="171" s="1"/>
  <c r="Q26" i="171"/>
  <c r="I25" i="171"/>
  <c r="Q57" i="171"/>
  <c r="G78" i="171"/>
  <c r="K78" i="171"/>
  <c r="G37" i="171"/>
  <c r="Q47" i="171"/>
  <c r="R47" i="171" s="1"/>
  <c r="R8" i="171"/>
  <c r="R93" i="171"/>
  <c r="O50" i="171"/>
  <c r="R50" i="171" s="1"/>
  <c r="F70" i="171"/>
  <c r="G25" i="171"/>
  <c r="G48" i="171" s="1"/>
  <c r="G2" i="171" s="1"/>
  <c r="G95" i="171" s="1"/>
  <c r="H37" i="171"/>
  <c r="H48" i="171" s="1"/>
  <c r="H2" i="171" s="1"/>
  <c r="H95" i="171" s="1"/>
  <c r="M76" i="171"/>
  <c r="M78" i="171" s="1"/>
  <c r="L37" i="171"/>
  <c r="L48" i="171" s="1"/>
  <c r="L2" i="171" s="1"/>
  <c r="Q61" i="171"/>
  <c r="R61" i="171" s="1"/>
  <c r="R17" i="171"/>
  <c r="Q56" i="171"/>
  <c r="F76" i="171"/>
  <c r="N76" i="171"/>
  <c r="N78" i="171" s="1"/>
  <c r="O12" i="171"/>
  <c r="R12" i="171" s="1"/>
  <c r="F37" i="171"/>
  <c r="I37" i="171"/>
  <c r="D86" i="171"/>
  <c r="F86" i="171" s="1"/>
  <c r="O53" i="171"/>
  <c r="R53" i="171" s="1"/>
  <c r="H76" i="171"/>
  <c r="H78" i="171" s="1"/>
  <c r="O72" i="171"/>
  <c r="R79" i="171"/>
  <c r="R27" i="171"/>
  <c r="O75" i="171"/>
  <c r="R75" i="171" s="1"/>
  <c r="Q30" i="171"/>
  <c r="R30" i="171" s="1"/>
  <c r="D78" i="171"/>
  <c r="I78" i="171"/>
  <c r="K37" i="171"/>
  <c r="P37" i="171"/>
  <c r="P48" i="171" s="1"/>
  <c r="P2" i="171" s="1"/>
  <c r="P95" i="171" s="1"/>
  <c r="P91" i="171" s="1"/>
  <c r="J76" i="171"/>
  <c r="J78" i="171" s="1"/>
  <c r="K92" i="171"/>
  <c r="J92" i="171"/>
  <c r="I92" i="171"/>
  <c r="M92" i="171"/>
  <c r="G92" i="171"/>
  <c r="L92" i="171"/>
  <c r="F92" i="171"/>
  <c r="H92" i="171"/>
  <c r="R43" i="171"/>
  <c r="R45" i="171"/>
  <c r="Q45" i="171"/>
  <c r="F48" i="171"/>
  <c r="N37" i="171"/>
  <c r="N48" i="171" s="1"/>
  <c r="N2" i="171" s="1"/>
  <c r="J37" i="171"/>
  <c r="J48" i="171" s="1"/>
  <c r="J2" i="171" s="1"/>
  <c r="J95" i="171" s="1"/>
  <c r="L76" i="171"/>
  <c r="L78" i="171" s="1"/>
  <c r="R72" i="171"/>
  <c r="L90" i="171"/>
  <c r="R90" i="171" s="1"/>
  <c r="R46" i="171"/>
  <c r="R57" i="170"/>
  <c r="R51" i="170"/>
  <c r="R93" i="170"/>
  <c r="L37" i="170"/>
  <c r="L48" i="170" s="1"/>
  <c r="L2" i="170" s="1"/>
  <c r="L95" i="170" s="1"/>
  <c r="J48" i="170"/>
  <c r="N48" i="170"/>
  <c r="K48" i="170"/>
  <c r="K2" i="170" s="1"/>
  <c r="R72" i="170"/>
  <c r="R75" i="170"/>
  <c r="Q58" i="170"/>
  <c r="R58" i="170" s="1"/>
  <c r="R46" i="170"/>
  <c r="F83" i="170"/>
  <c r="Q93" i="170"/>
  <c r="R73" i="170"/>
  <c r="Q16" i="170"/>
  <c r="R49" i="170"/>
  <c r="N70" i="170"/>
  <c r="R53" i="170"/>
  <c r="G37" i="170"/>
  <c r="H76" i="170"/>
  <c r="K76" i="170"/>
  <c r="R65" i="170"/>
  <c r="L69" i="170"/>
  <c r="R69" i="170" s="1"/>
  <c r="L36" i="170"/>
  <c r="R36" i="170" s="1"/>
  <c r="R79" i="170"/>
  <c r="F70" i="170"/>
  <c r="K70" i="170"/>
  <c r="O66" i="170"/>
  <c r="R66" i="170" s="1"/>
  <c r="Q28" i="170"/>
  <c r="R28" i="170" s="1"/>
  <c r="F37" i="170"/>
  <c r="N76" i="170"/>
  <c r="R61" i="170"/>
  <c r="Q55" i="170"/>
  <c r="R55" i="170" s="1"/>
  <c r="O51" i="170"/>
  <c r="O70" i="170" s="1"/>
  <c r="I25" i="170"/>
  <c r="I48" i="170" s="1"/>
  <c r="J70" i="170"/>
  <c r="L70" i="170"/>
  <c r="L78" i="170" s="1"/>
  <c r="G48" i="170"/>
  <c r="I70" i="170"/>
  <c r="I78" i="170" s="1"/>
  <c r="H37" i="170"/>
  <c r="H48" i="170" s="1"/>
  <c r="H2" i="170" s="1"/>
  <c r="H95" i="170" s="1"/>
  <c r="D86" i="170"/>
  <c r="F86" i="170" s="1"/>
  <c r="Q47" i="170"/>
  <c r="R47" i="170" s="1"/>
  <c r="R14" i="170"/>
  <c r="P70" i="170"/>
  <c r="P78" i="170" s="1"/>
  <c r="M70" i="170"/>
  <c r="M2" i="170" s="1"/>
  <c r="P48" i="170"/>
  <c r="P2" i="170" s="1"/>
  <c r="P95" i="170" s="1"/>
  <c r="P91" i="170" s="1"/>
  <c r="K92" i="170"/>
  <c r="J92" i="170"/>
  <c r="I92" i="170"/>
  <c r="H92" i="170"/>
  <c r="G92" i="170"/>
  <c r="F92" i="170"/>
  <c r="L92" i="170"/>
  <c r="F76" i="170"/>
  <c r="G70" i="170"/>
  <c r="G76" i="170"/>
  <c r="J76" i="170"/>
  <c r="J78" i="170" s="1"/>
  <c r="Q14" i="170"/>
  <c r="R83" i="170"/>
  <c r="D78" i="170"/>
  <c r="R16" i="170"/>
  <c r="H70" i="170"/>
  <c r="R14" i="169"/>
  <c r="N78" i="169"/>
  <c r="R5" i="169"/>
  <c r="R51" i="169"/>
  <c r="R88" i="169"/>
  <c r="R8" i="169"/>
  <c r="R75" i="169"/>
  <c r="Q4" i="169"/>
  <c r="R4" i="169" s="1"/>
  <c r="M25" i="169"/>
  <c r="M48" i="169" s="1"/>
  <c r="M2" i="169" s="1"/>
  <c r="M95" i="169" s="1"/>
  <c r="L78" i="169"/>
  <c r="O70" i="169"/>
  <c r="R58" i="169"/>
  <c r="L15" i="169"/>
  <c r="L25" i="169" s="1"/>
  <c r="L48" i="169" s="1"/>
  <c r="L2" i="169" s="1"/>
  <c r="L95" i="169" s="1"/>
  <c r="L91" i="169" s="1"/>
  <c r="R55" i="169"/>
  <c r="R7" i="169"/>
  <c r="R31" i="169"/>
  <c r="R94" i="169"/>
  <c r="N25" i="169"/>
  <c r="N48" i="169" s="1"/>
  <c r="N2" i="169" s="1"/>
  <c r="N95" i="169" s="1"/>
  <c r="R16" i="169"/>
  <c r="R42" i="169"/>
  <c r="R49" i="169"/>
  <c r="R93" i="169"/>
  <c r="R10" i="169"/>
  <c r="R56" i="169"/>
  <c r="R66" i="169"/>
  <c r="I25" i="169"/>
  <c r="I48" i="169" s="1"/>
  <c r="D48" i="169"/>
  <c r="N92" i="169"/>
  <c r="M92" i="169"/>
  <c r="Q5" i="169"/>
  <c r="F83" i="169"/>
  <c r="R83" i="169" s="1"/>
  <c r="Q27" i="169"/>
  <c r="R27" i="169" s="1"/>
  <c r="F70" i="169"/>
  <c r="F78" i="169" s="1"/>
  <c r="O51" i="169"/>
  <c r="G78" i="169"/>
  <c r="J78" i="169"/>
  <c r="P25" i="169"/>
  <c r="P48" i="169" s="1"/>
  <c r="P2" i="169" s="1"/>
  <c r="P95" i="169" s="1"/>
  <c r="P91" i="169" s="1"/>
  <c r="H25" i="169"/>
  <c r="H48" i="169" s="1"/>
  <c r="H2" i="169" s="1"/>
  <c r="H95" i="169" s="1"/>
  <c r="H91" i="169" s="1"/>
  <c r="I70" i="169"/>
  <c r="I78" i="169" s="1"/>
  <c r="Q45" i="169"/>
  <c r="R45" i="169"/>
  <c r="R28" i="169"/>
  <c r="R12" i="169"/>
  <c r="J37" i="169"/>
  <c r="G37" i="169"/>
  <c r="G48" i="169" s="1"/>
  <c r="G2" i="169" s="1"/>
  <c r="G95" i="169" s="1"/>
  <c r="G91" i="169" s="1"/>
  <c r="O76" i="169"/>
  <c r="O78" i="169" s="1"/>
  <c r="F25" i="169"/>
  <c r="F48" i="169" s="1"/>
  <c r="O25" i="169"/>
  <c r="O48" i="169" s="1"/>
  <c r="K91" i="169"/>
  <c r="R46" i="169"/>
  <c r="D86" i="169"/>
  <c r="F86" i="169" s="1"/>
  <c r="Q47" i="169"/>
  <c r="R47" i="169" s="1"/>
  <c r="J25" i="169"/>
  <c r="J48" i="169" s="1"/>
  <c r="J2" i="169" s="1"/>
  <c r="J95" i="169" s="1"/>
  <c r="J91" i="169" s="1"/>
  <c r="M78" i="169"/>
  <c r="K78" i="169"/>
  <c r="R75" i="168"/>
  <c r="R17" i="168"/>
  <c r="R4" i="168"/>
  <c r="R93" i="168"/>
  <c r="R31" i="168"/>
  <c r="R36" i="168"/>
  <c r="R58" i="168"/>
  <c r="R55" i="168"/>
  <c r="R26" i="168"/>
  <c r="O73" i="168"/>
  <c r="R73" i="168" s="1"/>
  <c r="G78" i="168"/>
  <c r="J78" i="168"/>
  <c r="F25" i="168"/>
  <c r="Q4" i="168"/>
  <c r="D86" i="168"/>
  <c r="F86" i="168" s="1"/>
  <c r="R46" i="168"/>
  <c r="M37" i="168"/>
  <c r="P37" i="168"/>
  <c r="I70" i="168"/>
  <c r="L70" i="168"/>
  <c r="M92" i="168"/>
  <c r="R14" i="168"/>
  <c r="M76" i="168"/>
  <c r="N25" i="168"/>
  <c r="P25" i="168"/>
  <c r="P48" i="168" s="1"/>
  <c r="P2" i="168" s="1"/>
  <c r="P95" i="168" s="1"/>
  <c r="P91" i="168" s="1"/>
  <c r="R7" i="168"/>
  <c r="R54" i="168"/>
  <c r="L36" i="168"/>
  <c r="R28" i="168"/>
  <c r="O66" i="168"/>
  <c r="R66" i="168" s="1"/>
  <c r="R47" i="168"/>
  <c r="Q47" i="168"/>
  <c r="Q9" i="168"/>
  <c r="R9" i="168" s="1"/>
  <c r="R8" i="168"/>
  <c r="J37" i="168"/>
  <c r="J48" i="168" s="1"/>
  <c r="J2" i="168" s="1"/>
  <c r="J95" i="168" s="1"/>
  <c r="J91" i="168" s="1"/>
  <c r="O49" i="168"/>
  <c r="G70" i="168"/>
  <c r="R79" i="168"/>
  <c r="R29" i="168"/>
  <c r="R5" i="168"/>
  <c r="Q10" i="168"/>
  <c r="R10" i="168" s="1"/>
  <c r="H76" i="168"/>
  <c r="K76" i="168"/>
  <c r="G25" i="168"/>
  <c r="D48" i="168"/>
  <c r="L88" i="168"/>
  <c r="P70" i="168"/>
  <c r="P78" i="168" s="1"/>
  <c r="R61" i="168"/>
  <c r="N62" i="168"/>
  <c r="R62" i="168" s="1"/>
  <c r="F37" i="168"/>
  <c r="Q26" i="168"/>
  <c r="J70" i="168"/>
  <c r="M70" i="168"/>
  <c r="R16" i="168"/>
  <c r="N76" i="168"/>
  <c r="F76" i="168"/>
  <c r="F78" i="168" s="1"/>
  <c r="H25" i="168"/>
  <c r="M25" i="168"/>
  <c r="M48" i="168" s="1"/>
  <c r="K25" i="168"/>
  <c r="K48" i="168" s="1"/>
  <c r="G37" i="168"/>
  <c r="Q37" i="168" s="1"/>
  <c r="N37" i="168"/>
  <c r="H37" i="168"/>
  <c r="R49" i="168"/>
  <c r="H70" i="168"/>
  <c r="I76" i="168"/>
  <c r="I78" i="168" s="1"/>
  <c r="L25" i="168"/>
  <c r="L48" i="168" s="1"/>
  <c r="I25" i="168"/>
  <c r="I48" i="168" s="1"/>
  <c r="Q3" i="168"/>
  <c r="R3" i="168" s="1"/>
  <c r="O37" i="168"/>
  <c r="K70" i="168"/>
  <c r="N70" i="168"/>
  <c r="L76" i="168"/>
  <c r="O72" i="168"/>
  <c r="R72" i="168" s="1"/>
  <c r="D78" i="168"/>
  <c r="O25" i="168"/>
  <c r="L37" i="168"/>
  <c r="Q45" i="168"/>
  <c r="R45" i="168" s="1"/>
  <c r="R32" i="167"/>
  <c r="R50" i="167"/>
  <c r="R28" i="167"/>
  <c r="R51" i="167"/>
  <c r="R62" i="167"/>
  <c r="H48" i="167"/>
  <c r="H2" i="167" s="1"/>
  <c r="H95" i="167" s="1"/>
  <c r="R29" i="167"/>
  <c r="H70" i="167"/>
  <c r="O49" i="167"/>
  <c r="O70" i="167" s="1"/>
  <c r="F83" i="167"/>
  <c r="R83" i="167" s="1"/>
  <c r="R12" i="167"/>
  <c r="O37" i="167"/>
  <c r="O48" i="167" s="1"/>
  <c r="R66" i="167"/>
  <c r="R31" i="167"/>
  <c r="R59" i="167"/>
  <c r="Q29" i="167"/>
  <c r="L76" i="167"/>
  <c r="I76" i="167"/>
  <c r="R46" i="167"/>
  <c r="N62" i="167"/>
  <c r="N70" i="167"/>
  <c r="L70" i="167"/>
  <c r="L2" i="167" s="1"/>
  <c r="Q56" i="167"/>
  <c r="R56" i="167" s="1"/>
  <c r="N25" i="167"/>
  <c r="N48" i="167" s="1"/>
  <c r="R13" i="167"/>
  <c r="O75" i="167"/>
  <c r="R75" i="167" s="1"/>
  <c r="R79" i="167"/>
  <c r="L89" i="167"/>
  <c r="M37" i="167"/>
  <c r="M48" i="167" s="1"/>
  <c r="M2" i="167" s="1"/>
  <c r="M95" i="167" s="1"/>
  <c r="F76" i="167"/>
  <c r="Q28" i="167"/>
  <c r="R9" i="167"/>
  <c r="N76" i="167"/>
  <c r="N78" i="167" s="1"/>
  <c r="K76" i="167"/>
  <c r="R57" i="167"/>
  <c r="I70" i="167"/>
  <c r="J70" i="167"/>
  <c r="J2" i="167" s="1"/>
  <c r="J95" i="167" s="1"/>
  <c r="D48" i="167"/>
  <c r="Q32" i="167"/>
  <c r="I37" i="167"/>
  <c r="I48" i="167" s="1"/>
  <c r="I2" i="167" s="1"/>
  <c r="I95" i="167" s="1"/>
  <c r="D86" i="167"/>
  <c r="F86" i="167" s="1"/>
  <c r="G76" i="167"/>
  <c r="Q47" i="167"/>
  <c r="R47" i="167" s="1"/>
  <c r="R64" i="167"/>
  <c r="K70" i="167"/>
  <c r="G25" i="167"/>
  <c r="Q5" i="167"/>
  <c r="R5" i="167" s="1"/>
  <c r="Q8" i="167"/>
  <c r="R8" i="167" s="1"/>
  <c r="Q26" i="167"/>
  <c r="R26" i="167" s="1"/>
  <c r="P37" i="167"/>
  <c r="P48" i="167" s="1"/>
  <c r="P2" i="167" s="1"/>
  <c r="P95" i="167" s="1"/>
  <c r="O72" i="167"/>
  <c r="R72" i="167" s="1"/>
  <c r="M76" i="167"/>
  <c r="M78" i="167" s="1"/>
  <c r="R4" i="167"/>
  <c r="N93" i="167"/>
  <c r="H93" i="167"/>
  <c r="H91" i="167" s="1"/>
  <c r="M93" i="167"/>
  <c r="F93" i="167"/>
  <c r="I93" i="167"/>
  <c r="I91" i="167" s="1"/>
  <c r="P93" i="167"/>
  <c r="G93" i="167"/>
  <c r="Q93" i="167" s="1"/>
  <c r="O93" i="167"/>
  <c r="L93" i="167"/>
  <c r="K93" i="167"/>
  <c r="J93" i="167"/>
  <c r="J91" i="167" s="1"/>
  <c r="R27" i="167"/>
  <c r="K37" i="167"/>
  <c r="K48" i="167" s="1"/>
  <c r="K2" i="167" s="1"/>
  <c r="K95" i="167" s="1"/>
  <c r="K91" i="167" s="1"/>
  <c r="R6" i="167"/>
  <c r="D78" i="167"/>
  <c r="H76" i="167"/>
  <c r="H78" i="167" s="1"/>
  <c r="F70" i="167"/>
  <c r="F2" i="167" s="1"/>
  <c r="G70" i="167"/>
  <c r="O51" i="167"/>
  <c r="Q45" i="167"/>
  <c r="R45" i="167"/>
  <c r="G37" i="167"/>
  <c r="N37" i="167"/>
  <c r="H37" i="167"/>
  <c r="J76" i="167"/>
  <c r="J78" i="167" s="1"/>
  <c r="M92" i="167"/>
  <c r="N92" i="167" s="1"/>
  <c r="R52" i="166"/>
  <c r="R13" i="166"/>
  <c r="R93" i="166"/>
  <c r="R65" i="166"/>
  <c r="R37" i="166"/>
  <c r="R7" i="166"/>
  <c r="R54" i="166"/>
  <c r="R31" i="166"/>
  <c r="Q57" i="166"/>
  <c r="R57" i="166" s="1"/>
  <c r="F70" i="166"/>
  <c r="O64" i="166"/>
  <c r="R64" i="166" s="1"/>
  <c r="Q54" i="166"/>
  <c r="R43" i="166"/>
  <c r="M76" i="166"/>
  <c r="M78" i="166" s="1"/>
  <c r="Q45" i="166"/>
  <c r="R45" i="166" s="1"/>
  <c r="J25" i="166"/>
  <c r="J48" i="166" s="1"/>
  <c r="J2" i="166" s="1"/>
  <c r="J95" i="166" s="1"/>
  <c r="J91" i="166" s="1"/>
  <c r="R62" i="166"/>
  <c r="O66" i="166"/>
  <c r="R66" i="166" s="1"/>
  <c r="M92" i="166"/>
  <c r="N92" i="166" s="1"/>
  <c r="L37" i="166"/>
  <c r="L48" i="166" s="1"/>
  <c r="L2" i="166" s="1"/>
  <c r="Q10" i="166"/>
  <c r="R10" i="166" s="1"/>
  <c r="R75" i="166"/>
  <c r="O51" i="166"/>
  <c r="R51" i="166"/>
  <c r="D86" i="166"/>
  <c r="F86" i="166" s="1"/>
  <c r="O76" i="166"/>
  <c r="O78" i="166" s="1"/>
  <c r="D78" i="166"/>
  <c r="F78" i="166"/>
  <c r="I78" i="166"/>
  <c r="Q3" i="166"/>
  <c r="R3" i="166" s="1"/>
  <c r="N25" i="166"/>
  <c r="N48" i="166" s="1"/>
  <c r="G25" i="166"/>
  <c r="G48" i="166" s="1"/>
  <c r="G2" i="166" s="1"/>
  <c r="G95" i="166" s="1"/>
  <c r="G91" i="166" s="1"/>
  <c r="R28" i="166"/>
  <c r="R12" i="166"/>
  <c r="K78" i="166"/>
  <c r="O70" i="166"/>
  <c r="F83" i="166"/>
  <c r="H76" i="166"/>
  <c r="H78" i="166" s="1"/>
  <c r="O72" i="166"/>
  <c r="R72" i="166" s="1"/>
  <c r="I25" i="166"/>
  <c r="I48" i="166" s="1"/>
  <c r="I2" i="166" s="1"/>
  <c r="I95" i="166" s="1"/>
  <c r="I91" i="166" s="1"/>
  <c r="H25" i="166"/>
  <c r="H48" i="166" s="1"/>
  <c r="H2" i="166" s="1"/>
  <c r="H95" i="166" s="1"/>
  <c r="M25" i="166"/>
  <c r="M48" i="166" s="1"/>
  <c r="M2" i="166" s="1"/>
  <c r="M95" i="166" s="1"/>
  <c r="O94" i="166"/>
  <c r="R94" i="166" s="1"/>
  <c r="G78" i="166"/>
  <c r="H91" i="166"/>
  <c r="D109" i="166"/>
  <c r="R83" i="166"/>
  <c r="N76" i="166"/>
  <c r="N78" i="166" s="1"/>
  <c r="Q37" i="166"/>
  <c r="K25" i="166"/>
  <c r="K48" i="166" s="1"/>
  <c r="K2" i="166" s="1"/>
  <c r="K95" i="166" s="1"/>
  <c r="K91" i="166" s="1"/>
  <c r="P25" i="166"/>
  <c r="P48" i="166" s="1"/>
  <c r="D48" i="166"/>
  <c r="P70" i="166"/>
  <c r="P78" i="166" s="1"/>
  <c r="L88" i="166"/>
  <c r="L76" i="166"/>
  <c r="L78" i="166" s="1"/>
  <c r="J76" i="166"/>
  <c r="J78" i="166" s="1"/>
  <c r="R42" i="166"/>
  <c r="O25" i="166"/>
  <c r="O48" i="166" s="1"/>
  <c r="F25" i="166"/>
  <c r="F48" i="166" s="1"/>
  <c r="F2" i="166" s="1"/>
  <c r="O70" i="165"/>
  <c r="R70" i="165" s="1"/>
  <c r="R72" i="165"/>
  <c r="R33" i="165"/>
  <c r="R6" i="165"/>
  <c r="R74" i="165"/>
  <c r="R65" i="165"/>
  <c r="R59" i="165"/>
  <c r="R58" i="165"/>
  <c r="R28" i="165"/>
  <c r="R89" i="165"/>
  <c r="G70" i="165"/>
  <c r="N70" i="165"/>
  <c r="N78" i="165" s="1"/>
  <c r="J37" i="165"/>
  <c r="Q4" i="165"/>
  <c r="R4" i="165" s="1"/>
  <c r="H25" i="165"/>
  <c r="H48" i="165" s="1"/>
  <c r="H2" i="165" s="1"/>
  <c r="H95" i="165" s="1"/>
  <c r="D48" i="165"/>
  <c r="Q58" i="165"/>
  <c r="Q8" i="165"/>
  <c r="R8" i="165" s="1"/>
  <c r="L37" i="165"/>
  <c r="G92" i="165"/>
  <c r="L92" i="165"/>
  <c r="F92" i="165"/>
  <c r="I92" i="165"/>
  <c r="K92" i="165"/>
  <c r="J92" i="165"/>
  <c r="H92" i="165"/>
  <c r="H70" i="165"/>
  <c r="I70" i="165"/>
  <c r="P37" i="165"/>
  <c r="K37" i="165"/>
  <c r="L69" i="165"/>
  <c r="R69" i="165" s="1"/>
  <c r="D86" i="165"/>
  <c r="F86" i="165" s="1"/>
  <c r="R75" i="165"/>
  <c r="R50" i="165"/>
  <c r="H76" i="165"/>
  <c r="H78" i="165" s="1"/>
  <c r="G76" i="165"/>
  <c r="G78" i="165" s="1"/>
  <c r="M25" i="165"/>
  <c r="K25" i="165"/>
  <c r="D78" i="165"/>
  <c r="O52" i="165"/>
  <c r="R52" i="165" s="1"/>
  <c r="R27" i="165"/>
  <c r="R10" i="165"/>
  <c r="N93" i="165"/>
  <c r="H93" i="165"/>
  <c r="M93" i="165"/>
  <c r="G93" i="165"/>
  <c r="P93" i="165"/>
  <c r="F93" i="165"/>
  <c r="Q93" i="165" s="1"/>
  <c r="L93" i="165"/>
  <c r="R93" i="165" s="1"/>
  <c r="K93" i="165"/>
  <c r="J93" i="165"/>
  <c r="I93" i="165"/>
  <c r="O93" i="165"/>
  <c r="K70" i="165"/>
  <c r="H37" i="165"/>
  <c r="R37" i="165" s="1"/>
  <c r="O37" i="165"/>
  <c r="F83" i="165"/>
  <c r="R83" i="165" s="1"/>
  <c r="M76" i="165"/>
  <c r="M78" i="165" s="1"/>
  <c r="Q13" i="165"/>
  <c r="R13" i="165" s="1"/>
  <c r="I25" i="165"/>
  <c r="R45" i="165"/>
  <c r="Q45" i="165"/>
  <c r="F76" i="165"/>
  <c r="L70" i="165"/>
  <c r="L78" i="165" s="1"/>
  <c r="R62" i="165"/>
  <c r="Q26" i="165"/>
  <c r="M37" i="165"/>
  <c r="I76" i="165"/>
  <c r="O25" i="165"/>
  <c r="O48" i="165" s="1"/>
  <c r="F25" i="165"/>
  <c r="F48" i="165" s="1"/>
  <c r="Q7" i="165"/>
  <c r="R7" i="165" s="1"/>
  <c r="R42" i="165"/>
  <c r="M70" i="165"/>
  <c r="I37" i="165"/>
  <c r="J76" i="165"/>
  <c r="J78" i="165" s="1"/>
  <c r="K78" i="165"/>
  <c r="N25" i="165"/>
  <c r="J48" i="165"/>
  <c r="L25" i="165"/>
  <c r="L48" i="165" s="1"/>
  <c r="L2" i="165" s="1"/>
  <c r="G37" i="165"/>
  <c r="Q37" i="165" s="1"/>
  <c r="F70" i="165"/>
  <c r="Q70" i="165" s="1"/>
  <c r="Q78" i="165" s="1"/>
  <c r="R49" i="165"/>
  <c r="R26" i="165"/>
  <c r="N37" i="165"/>
  <c r="L88" i="165"/>
  <c r="R88" i="165" s="1"/>
  <c r="R47" i="165"/>
  <c r="Q47" i="165"/>
  <c r="R44" i="165"/>
  <c r="G25" i="165"/>
  <c r="G48" i="165" s="1"/>
  <c r="G2" i="165" s="1"/>
  <c r="G95" i="165" s="1"/>
  <c r="P25" i="165"/>
  <c r="P48" i="165" s="1"/>
  <c r="P2" i="165" s="1"/>
  <c r="P95" i="165" s="1"/>
  <c r="R3" i="165"/>
  <c r="R24" i="164"/>
  <c r="R32" i="164"/>
  <c r="R16" i="164"/>
  <c r="O25" i="164"/>
  <c r="R64" i="164"/>
  <c r="R93" i="164"/>
  <c r="R26" i="164"/>
  <c r="I48" i="164"/>
  <c r="I2" i="164" s="1"/>
  <c r="I95" i="164" s="1"/>
  <c r="I91" i="164" s="1"/>
  <c r="H70" i="164"/>
  <c r="I76" i="164"/>
  <c r="I78" i="164" s="1"/>
  <c r="N76" i="164"/>
  <c r="O53" i="164"/>
  <c r="R53" i="164" s="1"/>
  <c r="H37" i="164"/>
  <c r="Q37" i="164" s="1"/>
  <c r="Q55" i="164"/>
  <c r="R55" i="164" s="1"/>
  <c r="R73" i="164"/>
  <c r="R75" i="164"/>
  <c r="R14" i="164"/>
  <c r="Q16" i="164"/>
  <c r="J70" i="164"/>
  <c r="F70" i="164"/>
  <c r="R30" i="164"/>
  <c r="R72" i="164"/>
  <c r="R13" i="164"/>
  <c r="R46" i="164"/>
  <c r="N37" i="164"/>
  <c r="N48" i="164" s="1"/>
  <c r="N2" i="164" s="1"/>
  <c r="N95" i="164" s="1"/>
  <c r="F25" i="164"/>
  <c r="H25" i="164"/>
  <c r="L70" i="164"/>
  <c r="R4" i="164"/>
  <c r="L76" i="164"/>
  <c r="L78" i="164" s="1"/>
  <c r="Q27" i="164"/>
  <c r="R27" i="164" s="1"/>
  <c r="D78" i="164"/>
  <c r="R56" i="164"/>
  <c r="O49" i="164"/>
  <c r="R49" i="164" s="1"/>
  <c r="G70" i="164"/>
  <c r="G78" i="164" s="1"/>
  <c r="P25" i="164"/>
  <c r="J76" i="164"/>
  <c r="L24" i="164"/>
  <c r="L25" i="164" s="1"/>
  <c r="L48" i="164" s="1"/>
  <c r="L2" i="164" s="1"/>
  <c r="O37" i="164"/>
  <c r="M37" i="164"/>
  <c r="M48" i="164" s="1"/>
  <c r="M2" i="164" s="1"/>
  <c r="M95" i="164" s="1"/>
  <c r="R45" i="164"/>
  <c r="Q45" i="164"/>
  <c r="R58" i="164"/>
  <c r="N77" i="164"/>
  <c r="R77" i="164" s="1"/>
  <c r="F76" i="164"/>
  <c r="R28" i="164"/>
  <c r="N70" i="164"/>
  <c r="K25" i="164"/>
  <c r="K48" i="164" s="1"/>
  <c r="K76" i="164"/>
  <c r="K78" i="164" s="1"/>
  <c r="M76" i="164"/>
  <c r="L88" i="164"/>
  <c r="F37" i="164"/>
  <c r="I37" i="164"/>
  <c r="M70" i="164"/>
  <c r="D86" i="164"/>
  <c r="F86" i="164" s="1"/>
  <c r="J37" i="164"/>
  <c r="J48" i="164" s="1"/>
  <c r="J2" i="164" s="1"/>
  <c r="J95" i="164" s="1"/>
  <c r="J91" i="164" s="1"/>
  <c r="R83" i="164"/>
  <c r="R57" i="164"/>
  <c r="I70" i="164"/>
  <c r="K70" i="164"/>
  <c r="O72" i="164"/>
  <c r="H76" i="164"/>
  <c r="H78" i="164" s="1"/>
  <c r="D109" i="164"/>
  <c r="P70" i="164"/>
  <c r="P78" i="164" s="1"/>
  <c r="Q47" i="164"/>
  <c r="R47" i="164"/>
  <c r="G37" i="164"/>
  <c r="G48" i="164" s="1"/>
  <c r="G2" i="164" s="1"/>
  <c r="G95" i="164" s="1"/>
  <c r="G91" i="164" s="1"/>
  <c r="L37" i="164"/>
  <c r="Q26" i="164"/>
  <c r="P37" i="164"/>
  <c r="M92" i="164"/>
  <c r="R92" i="164" s="1"/>
  <c r="N92" i="164"/>
  <c r="D48" i="164"/>
  <c r="L78" i="163"/>
  <c r="R66" i="163"/>
  <c r="R58" i="163"/>
  <c r="K78" i="163"/>
  <c r="I78" i="163"/>
  <c r="R9" i="163"/>
  <c r="R57" i="163"/>
  <c r="R16" i="163"/>
  <c r="R53" i="163"/>
  <c r="R54" i="163"/>
  <c r="R27" i="163"/>
  <c r="R14" i="163"/>
  <c r="O49" i="163"/>
  <c r="O70" i="163" s="1"/>
  <c r="R59" i="163"/>
  <c r="R73" i="163"/>
  <c r="I92" i="163"/>
  <c r="H92" i="163"/>
  <c r="G92" i="163"/>
  <c r="F92" i="163"/>
  <c r="K92" i="163"/>
  <c r="M92" i="163"/>
  <c r="L92" i="163"/>
  <c r="J92" i="163"/>
  <c r="K70" i="163"/>
  <c r="O94" i="163"/>
  <c r="R94" i="163" s="1"/>
  <c r="Q30" i="163"/>
  <c r="R30" i="163" s="1"/>
  <c r="Q58" i="163"/>
  <c r="R52" i="163"/>
  <c r="L24" i="163"/>
  <c r="L25" i="163" s="1"/>
  <c r="F37" i="163"/>
  <c r="Q37" i="163" s="1"/>
  <c r="R37" i="163" s="1"/>
  <c r="P70" i="163"/>
  <c r="P78" i="163" s="1"/>
  <c r="N62" i="163"/>
  <c r="R62" i="163" s="1"/>
  <c r="Q45" i="163"/>
  <c r="R45" i="163"/>
  <c r="R46" i="163"/>
  <c r="D48" i="163"/>
  <c r="N25" i="163"/>
  <c r="N48" i="163" s="1"/>
  <c r="R8" i="163"/>
  <c r="R6" i="163"/>
  <c r="N77" i="163"/>
  <c r="R77" i="163" s="1"/>
  <c r="H70" i="163"/>
  <c r="H2" i="163" s="1"/>
  <c r="H95" i="163" s="1"/>
  <c r="F70" i="163"/>
  <c r="J37" i="163"/>
  <c r="J48" i="163" s="1"/>
  <c r="J2" i="163" s="1"/>
  <c r="J95" i="163" s="1"/>
  <c r="D86" i="163"/>
  <c r="F86" i="163" s="1"/>
  <c r="R89" i="163"/>
  <c r="P25" i="163"/>
  <c r="P48" i="163" s="1"/>
  <c r="I25" i="163"/>
  <c r="O53" i="163"/>
  <c r="P93" i="163"/>
  <c r="J93" i="163"/>
  <c r="R93" i="163" s="1"/>
  <c r="O93" i="163"/>
  <c r="I93" i="163"/>
  <c r="N93" i="163"/>
  <c r="F93" i="163"/>
  <c r="Q93" i="163" s="1"/>
  <c r="M93" i="163"/>
  <c r="H93" i="163"/>
  <c r="K93" i="163"/>
  <c r="G93" i="163"/>
  <c r="L93" i="163"/>
  <c r="Q28" i="163"/>
  <c r="R28" i="163" s="1"/>
  <c r="Q14" i="163"/>
  <c r="L70" i="163"/>
  <c r="Q26" i="163"/>
  <c r="R26" i="163" s="1"/>
  <c r="F25" i="163"/>
  <c r="F48" i="163" s="1"/>
  <c r="O25" i="163"/>
  <c r="O48" i="163" s="1"/>
  <c r="J70" i="163"/>
  <c r="J78" i="163" s="1"/>
  <c r="D78" i="163"/>
  <c r="O37" i="163"/>
  <c r="L88" i="163"/>
  <c r="R88" i="163" s="1"/>
  <c r="K25" i="163"/>
  <c r="K48" i="163" s="1"/>
  <c r="K2" i="163" s="1"/>
  <c r="K95" i="163" s="1"/>
  <c r="R74" i="163"/>
  <c r="I70" i="163"/>
  <c r="M25" i="163"/>
  <c r="G37" i="163"/>
  <c r="G70" i="163"/>
  <c r="G78" i="163" s="1"/>
  <c r="F76" i="163"/>
  <c r="F78" i="163" s="1"/>
  <c r="M37" i="163"/>
  <c r="I37" i="163"/>
  <c r="Q47" i="163"/>
  <c r="R47" i="163"/>
  <c r="G25" i="163"/>
  <c r="G48" i="163" s="1"/>
  <c r="G2" i="163" s="1"/>
  <c r="G95" i="163" s="1"/>
  <c r="Q3" i="163"/>
  <c r="R3" i="163" s="1"/>
  <c r="R27" i="162"/>
  <c r="R33" i="162"/>
  <c r="R53" i="162"/>
  <c r="F2" i="162"/>
  <c r="R54" i="162"/>
  <c r="G78" i="162"/>
  <c r="O66" i="162"/>
  <c r="R66" i="162" s="1"/>
  <c r="R50" i="162"/>
  <c r="D86" i="162"/>
  <c r="F86" i="162" s="1"/>
  <c r="O74" i="162"/>
  <c r="R74" i="162" s="1"/>
  <c r="N70" i="162"/>
  <c r="N78" i="162" s="1"/>
  <c r="G70" i="162"/>
  <c r="G2" i="162" s="1"/>
  <c r="G95" i="162" s="1"/>
  <c r="R79" i="162"/>
  <c r="R12" i="162"/>
  <c r="R52" i="162"/>
  <c r="I78" i="162"/>
  <c r="R51" i="162"/>
  <c r="O53" i="162"/>
  <c r="O94" i="162"/>
  <c r="R83" i="162"/>
  <c r="K37" i="162"/>
  <c r="R46" i="162"/>
  <c r="R65" i="162"/>
  <c r="H48" i="162"/>
  <c r="F70" i="162"/>
  <c r="J92" i="162"/>
  <c r="H92" i="162"/>
  <c r="G92" i="162"/>
  <c r="K92" i="162"/>
  <c r="L92" i="162"/>
  <c r="I92" i="162"/>
  <c r="F92" i="162"/>
  <c r="L89" i="162"/>
  <c r="R89" i="162" s="1"/>
  <c r="H37" i="162"/>
  <c r="R44" i="162"/>
  <c r="R57" i="162"/>
  <c r="H70" i="162"/>
  <c r="H78" i="162" s="1"/>
  <c r="J70" i="162"/>
  <c r="J78" i="162" s="1"/>
  <c r="R13" i="162"/>
  <c r="I70" i="162"/>
  <c r="I2" i="162" s="1"/>
  <c r="I95" i="162" s="1"/>
  <c r="P48" i="162"/>
  <c r="N62" i="162"/>
  <c r="R62" i="162" s="1"/>
  <c r="K48" i="162"/>
  <c r="D78" i="162"/>
  <c r="L70" i="162"/>
  <c r="L2" i="162" s="1"/>
  <c r="R49" i="162"/>
  <c r="R45" i="162"/>
  <c r="N48" i="162"/>
  <c r="D48" i="162"/>
  <c r="Q25" i="162"/>
  <c r="R25" i="162" s="1"/>
  <c r="L90" i="162"/>
  <c r="R90" i="162" s="1"/>
  <c r="F76" i="162"/>
  <c r="F78" i="162" s="1"/>
  <c r="R88" i="162"/>
  <c r="P70" i="162"/>
  <c r="P78" i="162" s="1"/>
  <c r="M70" i="162"/>
  <c r="M2" i="162" s="1"/>
  <c r="K70" i="162"/>
  <c r="K78" i="162" s="1"/>
  <c r="Q47" i="162"/>
  <c r="R47" i="162" s="1"/>
  <c r="R17" i="161"/>
  <c r="L37" i="161"/>
  <c r="R6" i="161"/>
  <c r="R75" i="161"/>
  <c r="P48" i="161"/>
  <c r="R59" i="161"/>
  <c r="R28" i="161"/>
  <c r="L48" i="161"/>
  <c r="R4" i="161"/>
  <c r="R14" i="161"/>
  <c r="R51" i="161"/>
  <c r="R77" i="161"/>
  <c r="G48" i="161"/>
  <c r="R31" i="161"/>
  <c r="K76" i="161"/>
  <c r="K78" i="161" s="1"/>
  <c r="M76" i="161"/>
  <c r="M78" i="161" s="1"/>
  <c r="R65" i="161"/>
  <c r="O64" i="161"/>
  <c r="R64" i="161" s="1"/>
  <c r="Q7" i="161"/>
  <c r="R7" i="161" s="1"/>
  <c r="Q14" i="161"/>
  <c r="O74" i="161"/>
  <c r="R74" i="161" s="1"/>
  <c r="R29" i="161"/>
  <c r="R33" i="161"/>
  <c r="D78" i="161"/>
  <c r="O50" i="161"/>
  <c r="R50" i="161" s="1"/>
  <c r="F83" i="161"/>
  <c r="R9" i="161"/>
  <c r="R73" i="161"/>
  <c r="P70" i="161"/>
  <c r="P78" i="161" s="1"/>
  <c r="R10" i="161"/>
  <c r="R83" i="161"/>
  <c r="J70" i="161"/>
  <c r="J2" i="161" s="1"/>
  <c r="J95" i="161" s="1"/>
  <c r="J76" i="161"/>
  <c r="H76" i="161"/>
  <c r="H78" i="161" s="1"/>
  <c r="F25" i="161"/>
  <c r="Q4" i="161"/>
  <c r="M70" i="161"/>
  <c r="M2" i="161" s="1"/>
  <c r="D86" i="161"/>
  <c r="F86" i="161" s="1"/>
  <c r="I78" i="161"/>
  <c r="O72" i="161"/>
  <c r="N76" i="161"/>
  <c r="N78" i="161" s="1"/>
  <c r="I25" i="161"/>
  <c r="I48" i="161" s="1"/>
  <c r="I2" i="161" s="1"/>
  <c r="I95" i="161" s="1"/>
  <c r="F76" i="161"/>
  <c r="F78" i="161" s="1"/>
  <c r="F70" i="161"/>
  <c r="Q70" i="161" s="1"/>
  <c r="Q78" i="161" s="1"/>
  <c r="K70" i="161"/>
  <c r="K2" i="161" s="1"/>
  <c r="K95" i="161" s="1"/>
  <c r="F37" i="161"/>
  <c r="R54" i="161"/>
  <c r="Q61" i="161"/>
  <c r="R61" i="161" s="1"/>
  <c r="G70" i="161"/>
  <c r="G78" i="161" s="1"/>
  <c r="H70" i="161"/>
  <c r="N77" i="161"/>
  <c r="R57" i="161"/>
  <c r="L70" i="161"/>
  <c r="I70" i="161"/>
  <c r="Q45" i="161"/>
  <c r="R45" i="161" s="1"/>
  <c r="D48" i="161"/>
  <c r="R72" i="161"/>
  <c r="L76" i="161"/>
  <c r="L78" i="161" s="1"/>
  <c r="I92" i="161"/>
  <c r="H92" i="161"/>
  <c r="G92" i="161"/>
  <c r="L92" i="161"/>
  <c r="F92" i="161"/>
  <c r="K92" i="161"/>
  <c r="J92" i="161"/>
  <c r="N70" i="161"/>
  <c r="N2" i="161" s="1"/>
  <c r="O49" i="161"/>
  <c r="O70" i="161" s="1"/>
  <c r="L88" i="161"/>
  <c r="R74" i="160"/>
  <c r="R66" i="160"/>
  <c r="R17" i="160"/>
  <c r="R14" i="160"/>
  <c r="R33" i="160"/>
  <c r="R61" i="160"/>
  <c r="R13" i="160"/>
  <c r="M70" i="160"/>
  <c r="L15" i="160"/>
  <c r="L25" i="160" s="1"/>
  <c r="O64" i="160"/>
  <c r="R64" i="160" s="1"/>
  <c r="D78" i="160"/>
  <c r="R16" i="160"/>
  <c r="G37" i="160"/>
  <c r="R5" i="160"/>
  <c r="J25" i="160"/>
  <c r="G76" i="160"/>
  <c r="D86" i="160"/>
  <c r="F86" i="160" s="1"/>
  <c r="R65" i="160"/>
  <c r="Q45" i="160"/>
  <c r="R45" i="160" s="1"/>
  <c r="K37" i="160"/>
  <c r="O93" i="160"/>
  <c r="I93" i="160"/>
  <c r="L93" i="160"/>
  <c r="K93" i="160"/>
  <c r="N93" i="160"/>
  <c r="J93" i="160"/>
  <c r="H93" i="160"/>
  <c r="P93" i="160"/>
  <c r="G93" i="160"/>
  <c r="F93" i="160"/>
  <c r="Q93" i="160" s="1"/>
  <c r="M93" i="160"/>
  <c r="O25" i="160"/>
  <c r="O48" i="160" s="1"/>
  <c r="P37" i="160"/>
  <c r="R32" i="160"/>
  <c r="P70" i="160"/>
  <c r="P78" i="160" s="1"/>
  <c r="K78" i="160"/>
  <c r="G70" i="160"/>
  <c r="F70" i="160"/>
  <c r="Q55" i="160"/>
  <c r="R55" i="160" s="1"/>
  <c r="Q27" i="160"/>
  <c r="K25" i="160"/>
  <c r="K48" i="160" s="1"/>
  <c r="K2" i="160" s="1"/>
  <c r="F25" i="160"/>
  <c r="D48" i="160"/>
  <c r="O51" i="160"/>
  <c r="R51" i="160" s="1"/>
  <c r="M76" i="160"/>
  <c r="M78" i="160" s="1"/>
  <c r="I76" i="160"/>
  <c r="I78" i="160" s="1"/>
  <c r="R53" i="160"/>
  <c r="R58" i="160"/>
  <c r="J37" i="160"/>
  <c r="M37" i="160"/>
  <c r="G25" i="160"/>
  <c r="F78" i="160"/>
  <c r="R3" i="160"/>
  <c r="M25" i="160"/>
  <c r="M48" i="160" s="1"/>
  <c r="M2" i="160" s="1"/>
  <c r="P25" i="160"/>
  <c r="P48" i="160" s="1"/>
  <c r="O72" i="160"/>
  <c r="R72" i="160" s="1"/>
  <c r="Q47" i="160"/>
  <c r="R47" i="160" s="1"/>
  <c r="R42" i="160"/>
  <c r="J70" i="160"/>
  <c r="H70" i="160"/>
  <c r="R6" i="160"/>
  <c r="R54" i="160"/>
  <c r="R27" i="160"/>
  <c r="R62" i="160"/>
  <c r="R94" i="160"/>
  <c r="H25" i="160"/>
  <c r="H48" i="160" s="1"/>
  <c r="N25" i="160"/>
  <c r="L24" i="160"/>
  <c r="R24" i="160" s="1"/>
  <c r="D109" i="160"/>
  <c r="Q28" i="160"/>
  <c r="R28" i="160" s="1"/>
  <c r="R46" i="160"/>
  <c r="I37" i="160"/>
  <c r="N37" i="160"/>
  <c r="L70" i="160"/>
  <c r="L78" i="160" s="1"/>
  <c r="H92" i="160"/>
  <c r="I92" i="160"/>
  <c r="G92" i="160"/>
  <c r="K92" i="160"/>
  <c r="M92" i="160" s="1"/>
  <c r="J92" i="160"/>
  <c r="L92" i="160"/>
  <c r="F92" i="160"/>
  <c r="Q26" i="160"/>
  <c r="R26" i="160" s="1"/>
  <c r="N70" i="160"/>
  <c r="N78" i="160" s="1"/>
  <c r="O49" i="160"/>
  <c r="O70" i="160" s="1"/>
  <c r="F83" i="160"/>
  <c r="R83" i="160" s="1"/>
  <c r="L37" i="160"/>
  <c r="I25" i="160"/>
  <c r="I48" i="160" s="1"/>
  <c r="I2" i="160" s="1"/>
  <c r="J76" i="160"/>
  <c r="J78" i="160" s="1"/>
  <c r="H76" i="160"/>
  <c r="H78" i="160" s="1"/>
  <c r="R59" i="160"/>
  <c r="L88" i="160"/>
  <c r="O37" i="160"/>
  <c r="F37" i="160"/>
  <c r="Q37" i="160" s="1"/>
  <c r="R65" i="159"/>
  <c r="R27" i="159"/>
  <c r="R75" i="159"/>
  <c r="R28" i="159"/>
  <c r="R29" i="159"/>
  <c r="R74" i="159"/>
  <c r="R50" i="159"/>
  <c r="R56" i="159"/>
  <c r="R54" i="159"/>
  <c r="O25" i="159"/>
  <c r="O48" i="159" s="1"/>
  <c r="D78" i="159"/>
  <c r="R42" i="159"/>
  <c r="Q56" i="159"/>
  <c r="G25" i="159"/>
  <c r="F25" i="159"/>
  <c r="N70" i="159"/>
  <c r="F70" i="159"/>
  <c r="P93" i="159"/>
  <c r="J93" i="159"/>
  <c r="O93" i="159"/>
  <c r="I93" i="159"/>
  <c r="N93" i="159"/>
  <c r="H93" i="159"/>
  <c r="R93" i="159" s="1"/>
  <c r="K93" i="159"/>
  <c r="G93" i="159"/>
  <c r="L93" i="159"/>
  <c r="F93" i="159"/>
  <c r="Q93" i="159" s="1"/>
  <c r="M93" i="159"/>
  <c r="R16" i="159"/>
  <c r="D86" i="159"/>
  <c r="F86" i="159" s="1"/>
  <c r="N76" i="159"/>
  <c r="N78" i="159" s="1"/>
  <c r="M92" i="159"/>
  <c r="I70" i="159"/>
  <c r="F76" i="159"/>
  <c r="Q45" i="159"/>
  <c r="R45" i="159"/>
  <c r="L37" i="159"/>
  <c r="K25" i="159"/>
  <c r="K48" i="159" s="1"/>
  <c r="K2" i="159" s="1"/>
  <c r="L25" i="159"/>
  <c r="L48" i="159" s="1"/>
  <c r="L2" i="159" s="1"/>
  <c r="L95" i="159" s="1"/>
  <c r="L91" i="159" s="1"/>
  <c r="R13" i="159"/>
  <c r="R57" i="159"/>
  <c r="O49" i="159"/>
  <c r="L70" i="159"/>
  <c r="P37" i="159"/>
  <c r="P48" i="159" s="1"/>
  <c r="P2" i="159" s="1"/>
  <c r="P95" i="159" s="1"/>
  <c r="J37" i="159"/>
  <c r="Q47" i="159"/>
  <c r="R47" i="159" s="1"/>
  <c r="R8" i="159"/>
  <c r="R77" i="159"/>
  <c r="R43" i="159"/>
  <c r="O52" i="159"/>
  <c r="R52" i="159" s="1"/>
  <c r="O75" i="159"/>
  <c r="R30" i="159"/>
  <c r="K76" i="159"/>
  <c r="K78" i="159" s="1"/>
  <c r="I76" i="159"/>
  <c r="H25" i="159"/>
  <c r="Q3" i="159"/>
  <c r="R3" i="159"/>
  <c r="D109" i="159"/>
  <c r="G70" i="159"/>
  <c r="H37" i="159"/>
  <c r="Q26" i="159"/>
  <c r="R26" i="159" s="1"/>
  <c r="O66" i="159"/>
  <c r="R66" i="159" s="1"/>
  <c r="O73" i="159"/>
  <c r="R73" i="159" s="1"/>
  <c r="O65" i="159"/>
  <c r="R12" i="159"/>
  <c r="L76" i="159"/>
  <c r="O72" i="159"/>
  <c r="R72" i="159" s="1"/>
  <c r="J76" i="159"/>
  <c r="O50" i="159"/>
  <c r="N48" i="159"/>
  <c r="N2" i="159" s="1"/>
  <c r="M25" i="159"/>
  <c r="M48" i="159" s="1"/>
  <c r="D48" i="159"/>
  <c r="H70" i="159"/>
  <c r="J70" i="159"/>
  <c r="F83" i="159"/>
  <c r="R83" i="159" s="1"/>
  <c r="M37" i="159"/>
  <c r="G76" i="159"/>
  <c r="H76" i="159"/>
  <c r="G37" i="159"/>
  <c r="J25" i="159"/>
  <c r="I25" i="159"/>
  <c r="I48" i="159" s="1"/>
  <c r="M70" i="159"/>
  <c r="R49" i="159"/>
  <c r="R79" i="159"/>
  <c r="F37" i="159"/>
  <c r="Q37" i="159" s="1"/>
  <c r="R46" i="159"/>
  <c r="P70" i="159"/>
  <c r="P78" i="159" s="1"/>
  <c r="M76" i="159"/>
  <c r="R75" i="158"/>
  <c r="H48" i="158"/>
  <c r="R13" i="158"/>
  <c r="R10" i="158"/>
  <c r="R65" i="158"/>
  <c r="O25" i="158"/>
  <c r="Q25" i="158"/>
  <c r="R14" i="158"/>
  <c r="R93" i="158"/>
  <c r="R31" i="158"/>
  <c r="R30" i="158"/>
  <c r="R64" i="158"/>
  <c r="N37" i="158"/>
  <c r="N48" i="158" s="1"/>
  <c r="N2" i="158" s="1"/>
  <c r="R26" i="158"/>
  <c r="R24" i="158"/>
  <c r="Q55" i="158"/>
  <c r="R55" i="158" s="1"/>
  <c r="R50" i="158"/>
  <c r="O75" i="158"/>
  <c r="J70" i="158"/>
  <c r="R74" i="158"/>
  <c r="O73" i="158"/>
  <c r="R73" i="158" s="1"/>
  <c r="R69" i="158"/>
  <c r="I76" i="158"/>
  <c r="I78" i="158" s="1"/>
  <c r="H37" i="158"/>
  <c r="R32" i="158"/>
  <c r="R29" i="158"/>
  <c r="N78" i="158"/>
  <c r="R54" i="158"/>
  <c r="N70" i="158"/>
  <c r="K70" i="158"/>
  <c r="R57" i="158"/>
  <c r="R28" i="158"/>
  <c r="G76" i="158"/>
  <c r="O72" i="158"/>
  <c r="J37" i="158"/>
  <c r="J48" i="158" s="1"/>
  <c r="J2" i="158" s="1"/>
  <c r="J95" i="158" s="1"/>
  <c r="O37" i="158"/>
  <c r="D78" i="158"/>
  <c r="R46" i="158"/>
  <c r="R12" i="158"/>
  <c r="F70" i="158"/>
  <c r="R8" i="158"/>
  <c r="Q8" i="158"/>
  <c r="R43" i="158"/>
  <c r="O66" i="158"/>
  <c r="R66" i="158" s="1"/>
  <c r="Q59" i="158"/>
  <c r="R59" i="158" s="1"/>
  <c r="J92" i="158"/>
  <c r="I92" i="158"/>
  <c r="H92" i="158"/>
  <c r="K92" i="158"/>
  <c r="F92" i="158"/>
  <c r="M92" i="158"/>
  <c r="L92" i="158"/>
  <c r="G92" i="158"/>
  <c r="L37" i="158"/>
  <c r="L48" i="158" s="1"/>
  <c r="L2" i="158" s="1"/>
  <c r="L95" i="158" s="1"/>
  <c r="K76" i="158"/>
  <c r="J76" i="158"/>
  <c r="I37" i="158"/>
  <c r="I48" i="158" s="1"/>
  <c r="I2" i="158" s="1"/>
  <c r="I95" i="158" s="1"/>
  <c r="F76" i="158"/>
  <c r="F78" i="158" s="1"/>
  <c r="Q47" i="158"/>
  <c r="R47" i="158"/>
  <c r="D109" i="158"/>
  <c r="D86" i="158"/>
  <c r="F86" i="158" s="1"/>
  <c r="P70" i="158"/>
  <c r="P78" i="158" s="1"/>
  <c r="R9" i="158"/>
  <c r="H70" i="158"/>
  <c r="L70" i="158"/>
  <c r="L78" i="158" s="1"/>
  <c r="R83" i="158"/>
  <c r="R72" i="158"/>
  <c r="M37" i="158"/>
  <c r="M48" i="158" s="1"/>
  <c r="M2" i="158" s="1"/>
  <c r="M95" i="158" s="1"/>
  <c r="P37" i="158"/>
  <c r="P48" i="158" s="1"/>
  <c r="P2" i="158" s="1"/>
  <c r="P95" i="158" s="1"/>
  <c r="P91" i="158" s="1"/>
  <c r="Q45" i="158"/>
  <c r="R45" i="158" s="1"/>
  <c r="R49" i="158"/>
  <c r="G70" i="158"/>
  <c r="Q5" i="158"/>
  <c r="R5" i="158" s="1"/>
  <c r="F83" i="158"/>
  <c r="G37" i="158"/>
  <c r="H76" i="158"/>
  <c r="F37" i="158"/>
  <c r="Q37" i="158" s="1"/>
  <c r="K37" i="158"/>
  <c r="K48" i="158" s="1"/>
  <c r="K2" i="158" s="1"/>
  <c r="K95" i="158" s="1"/>
  <c r="R58" i="157"/>
  <c r="R55" i="157"/>
  <c r="R51" i="157"/>
  <c r="R9" i="157"/>
  <c r="R50" i="157"/>
  <c r="R4" i="157"/>
  <c r="R66" i="157"/>
  <c r="R30" i="157"/>
  <c r="R75" i="157"/>
  <c r="R5" i="157"/>
  <c r="R27" i="157"/>
  <c r="R24" i="157"/>
  <c r="M70" i="157"/>
  <c r="I25" i="157"/>
  <c r="P37" i="157"/>
  <c r="G76" i="157"/>
  <c r="J76" i="157"/>
  <c r="J78" i="157" s="1"/>
  <c r="Q57" i="157"/>
  <c r="R57" i="157" s="1"/>
  <c r="H70" i="157"/>
  <c r="R13" i="157"/>
  <c r="O25" i="157"/>
  <c r="O48" i="157" s="1"/>
  <c r="R3" i="157"/>
  <c r="Q28" i="157"/>
  <c r="R28" i="157" s="1"/>
  <c r="O51" i="157"/>
  <c r="Q9" i="157"/>
  <c r="O64" i="157"/>
  <c r="R64" i="157" s="1"/>
  <c r="Q26" i="157"/>
  <c r="N37" i="157"/>
  <c r="O66" i="157"/>
  <c r="Q30" i="157"/>
  <c r="R29" i="157"/>
  <c r="O74" i="157"/>
  <c r="R74" i="157" s="1"/>
  <c r="Q55" i="157"/>
  <c r="R31" i="157"/>
  <c r="M76" i="157"/>
  <c r="M78" i="157" s="1"/>
  <c r="N70" i="157"/>
  <c r="H25" i="157"/>
  <c r="H48" i="157" s="1"/>
  <c r="H2" i="157" s="1"/>
  <c r="O73" i="157"/>
  <c r="R73" i="157" s="1"/>
  <c r="D86" i="157"/>
  <c r="F86" i="157" s="1"/>
  <c r="K37" i="157"/>
  <c r="Q61" i="157"/>
  <c r="R61" i="157" s="1"/>
  <c r="R14" i="157"/>
  <c r="H78" i="157"/>
  <c r="F70" i="157"/>
  <c r="R70" i="157" s="1"/>
  <c r="J25" i="157"/>
  <c r="J48" i="157" s="1"/>
  <c r="K25" i="157"/>
  <c r="K48" i="157" s="1"/>
  <c r="K2" i="157" s="1"/>
  <c r="M25" i="157"/>
  <c r="R7" i="157"/>
  <c r="Q45" i="157"/>
  <c r="R45" i="157" s="1"/>
  <c r="Q4" i="157"/>
  <c r="L36" i="157"/>
  <c r="R36" i="157" s="1"/>
  <c r="R26" i="157"/>
  <c r="F76" i="157"/>
  <c r="F78" i="157" s="1"/>
  <c r="R47" i="157"/>
  <c r="Q47" i="157"/>
  <c r="R10" i="157"/>
  <c r="L37" i="157"/>
  <c r="N76" i="157"/>
  <c r="N78" i="157" s="1"/>
  <c r="L24" i="157"/>
  <c r="L25" i="157" s="1"/>
  <c r="L48" i="157" s="1"/>
  <c r="L2" i="157" s="1"/>
  <c r="L95" i="157" s="1"/>
  <c r="G25" i="157"/>
  <c r="G48" i="157" s="1"/>
  <c r="G2" i="157" s="1"/>
  <c r="G95" i="157" s="1"/>
  <c r="K92" i="157"/>
  <c r="J92" i="157"/>
  <c r="I92" i="157"/>
  <c r="H92" i="157"/>
  <c r="G92" i="157"/>
  <c r="L92" i="157"/>
  <c r="F92" i="157"/>
  <c r="O37" i="157"/>
  <c r="Q6" i="157"/>
  <c r="R6" i="157" s="1"/>
  <c r="R46" i="157"/>
  <c r="L93" i="157"/>
  <c r="F93" i="157"/>
  <c r="K93" i="157"/>
  <c r="P93" i="157"/>
  <c r="J93" i="157"/>
  <c r="O93" i="157"/>
  <c r="I93" i="157"/>
  <c r="N93" i="157"/>
  <c r="H93" i="157"/>
  <c r="M93" i="157"/>
  <c r="G93" i="157"/>
  <c r="Q93" i="157" s="1"/>
  <c r="I70" i="157"/>
  <c r="L70" i="157"/>
  <c r="F83" i="157"/>
  <c r="R83" i="157" s="1"/>
  <c r="N25" i="157"/>
  <c r="N48" i="157" s="1"/>
  <c r="N2" i="157" s="1"/>
  <c r="P70" i="157"/>
  <c r="P78" i="157" s="1"/>
  <c r="H37" i="157"/>
  <c r="J37" i="157"/>
  <c r="G37" i="157"/>
  <c r="Q37" i="157" s="1"/>
  <c r="I76" i="157"/>
  <c r="I78" i="157" s="1"/>
  <c r="K70" i="157"/>
  <c r="R17" i="157"/>
  <c r="D48" i="157"/>
  <c r="R56" i="157"/>
  <c r="K78" i="157"/>
  <c r="O49" i="157"/>
  <c r="O70" i="157" s="1"/>
  <c r="Q70" i="157" s="1"/>
  <c r="Q78" i="157" s="1"/>
  <c r="G70" i="157"/>
  <c r="P25" i="157"/>
  <c r="F25" i="157"/>
  <c r="F48" i="157" s="1"/>
  <c r="I37" i="157"/>
  <c r="R37" i="157" s="1"/>
  <c r="M37" i="157"/>
  <c r="D78" i="157"/>
  <c r="L76" i="157"/>
  <c r="L78" i="157" s="1"/>
  <c r="O72" i="157"/>
  <c r="R72" i="157" s="1"/>
  <c r="R77" i="156"/>
  <c r="R55" i="156"/>
  <c r="R30" i="156"/>
  <c r="R74" i="156"/>
  <c r="R8" i="156"/>
  <c r="R58" i="156"/>
  <c r="R49" i="156"/>
  <c r="R9" i="156"/>
  <c r="R64" i="156"/>
  <c r="R73" i="156"/>
  <c r="H70" i="156"/>
  <c r="J70" i="156"/>
  <c r="J78" i="156" s="1"/>
  <c r="I48" i="156"/>
  <c r="G37" i="156"/>
  <c r="Q37" i="156" s="1"/>
  <c r="R65" i="156"/>
  <c r="I76" i="156"/>
  <c r="H37" i="156"/>
  <c r="P37" i="156"/>
  <c r="I70" i="156"/>
  <c r="Q14" i="156"/>
  <c r="R14" i="156" s="1"/>
  <c r="H25" i="156"/>
  <c r="H48" i="156" s="1"/>
  <c r="H2" i="156" s="1"/>
  <c r="O25" i="156"/>
  <c r="O48" i="156" s="1"/>
  <c r="G25" i="156"/>
  <c r="L37" i="156"/>
  <c r="O50" i="156"/>
  <c r="R50" i="156" s="1"/>
  <c r="R17" i="156"/>
  <c r="Q45" i="156"/>
  <c r="R45" i="156"/>
  <c r="Q33" i="156"/>
  <c r="R33" i="156" s="1"/>
  <c r="Q93" i="156"/>
  <c r="J37" i="156"/>
  <c r="O51" i="156"/>
  <c r="R51" i="156" s="1"/>
  <c r="R13" i="156"/>
  <c r="R27" i="156"/>
  <c r="Q8" i="156"/>
  <c r="R6" i="156"/>
  <c r="Q30" i="156"/>
  <c r="L76" i="156"/>
  <c r="H78" i="156"/>
  <c r="R26" i="156"/>
  <c r="L70" i="156"/>
  <c r="N77" i="156"/>
  <c r="N25" i="156"/>
  <c r="Q3" i="156"/>
  <c r="R3" i="156" s="1"/>
  <c r="D78" i="156"/>
  <c r="O76" i="156"/>
  <c r="F83" i="156"/>
  <c r="R83" i="156" s="1"/>
  <c r="L24" i="156"/>
  <c r="R24" i="156" s="1"/>
  <c r="R42" i="156"/>
  <c r="M76" i="156"/>
  <c r="M70" i="156"/>
  <c r="J25" i="156"/>
  <c r="J48" i="156" s="1"/>
  <c r="N76" i="156"/>
  <c r="N78" i="156" s="1"/>
  <c r="M37" i="156"/>
  <c r="F37" i="156"/>
  <c r="N70" i="156"/>
  <c r="G70" i="156"/>
  <c r="G78" i="156" s="1"/>
  <c r="P25" i="156"/>
  <c r="P48" i="156" s="1"/>
  <c r="F25" i="156"/>
  <c r="F48" i="156" s="1"/>
  <c r="F76" i="156"/>
  <c r="F78" i="156" s="1"/>
  <c r="L88" i="156"/>
  <c r="K37" i="156"/>
  <c r="K48" i="156" s="1"/>
  <c r="K2" i="156" s="1"/>
  <c r="K95" i="156" s="1"/>
  <c r="K70" i="156"/>
  <c r="K78" i="156" s="1"/>
  <c r="M25" i="156"/>
  <c r="R56" i="156"/>
  <c r="R72" i="156"/>
  <c r="O37" i="156"/>
  <c r="N37" i="156"/>
  <c r="F70" i="156"/>
  <c r="O49" i="156"/>
  <c r="D48" i="156"/>
  <c r="L25" i="156"/>
  <c r="L48" i="156" s="1"/>
  <c r="L2" i="156" s="1"/>
  <c r="Q47" i="156"/>
  <c r="R47" i="156"/>
  <c r="P70" i="156"/>
  <c r="P78" i="156" s="1"/>
  <c r="D86" i="156"/>
  <c r="F86" i="156" s="1"/>
  <c r="H92" i="156"/>
  <c r="G92" i="156"/>
  <c r="I92" i="156"/>
  <c r="K92" i="156"/>
  <c r="L92" i="156"/>
  <c r="F92" i="156"/>
  <c r="J92" i="156"/>
  <c r="R61" i="155"/>
  <c r="R53" i="155"/>
  <c r="R33" i="155"/>
  <c r="R72" i="155"/>
  <c r="D86" i="155"/>
  <c r="F86" i="155" s="1"/>
  <c r="Q13" i="155"/>
  <c r="R13" i="155" s="1"/>
  <c r="Q45" i="155"/>
  <c r="R45" i="155"/>
  <c r="O75" i="155"/>
  <c r="R75" i="155" s="1"/>
  <c r="N78" i="155"/>
  <c r="I76" i="155"/>
  <c r="I78" i="155" s="1"/>
  <c r="O37" i="155"/>
  <c r="P25" i="155"/>
  <c r="H25" i="155"/>
  <c r="H48" i="155" s="1"/>
  <c r="H2" i="155" s="1"/>
  <c r="H95" i="155" s="1"/>
  <c r="R12" i="155"/>
  <c r="O53" i="155"/>
  <c r="O70" i="155" s="1"/>
  <c r="R93" i="155"/>
  <c r="R44" i="155"/>
  <c r="R46" i="155"/>
  <c r="Q27" i="155"/>
  <c r="R27" i="155" s="1"/>
  <c r="R55" i="155"/>
  <c r="R50" i="155"/>
  <c r="J76" i="155"/>
  <c r="J78" i="155" s="1"/>
  <c r="O72" i="155"/>
  <c r="Q33" i="155"/>
  <c r="I37" i="155"/>
  <c r="J37" i="155"/>
  <c r="F25" i="155"/>
  <c r="N25" i="155"/>
  <c r="L89" i="155"/>
  <c r="R89" i="155" s="1"/>
  <c r="R15" i="155"/>
  <c r="R56" i="155"/>
  <c r="R57" i="155"/>
  <c r="R9" i="155"/>
  <c r="R58" i="155"/>
  <c r="R43" i="155"/>
  <c r="Q47" i="155"/>
  <c r="R47" i="155"/>
  <c r="D78" i="155"/>
  <c r="O66" i="155"/>
  <c r="R66" i="155" s="1"/>
  <c r="L76" i="155"/>
  <c r="L78" i="155" s="1"/>
  <c r="F37" i="155"/>
  <c r="M37" i="155"/>
  <c r="O74" i="155"/>
  <c r="R74" i="155" s="1"/>
  <c r="I25" i="155"/>
  <c r="R3" i="155"/>
  <c r="Q26" i="155"/>
  <c r="R26" i="155" s="1"/>
  <c r="L25" i="155"/>
  <c r="L48" i="155" s="1"/>
  <c r="L2" i="155" s="1"/>
  <c r="K25" i="155"/>
  <c r="K48" i="155" s="1"/>
  <c r="F76" i="155"/>
  <c r="Q32" i="155"/>
  <c r="R32" i="155" s="1"/>
  <c r="I92" i="155"/>
  <c r="G92" i="155"/>
  <c r="L92" i="155"/>
  <c r="F92" i="155"/>
  <c r="K92" i="155"/>
  <c r="J92" i="155"/>
  <c r="H92" i="155"/>
  <c r="H76" i="155"/>
  <c r="H78" i="155" s="1"/>
  <c r="G76" i="155"/>
  <c r="G78" i="155" s="1"/>
  <c r="F70" i="155"/>
  <c r="P37" i="155"/>
  <c r="J25" i="155"/>
  <c r="G25" i="155"/>
  <c r="G48" i="155" s="1"/>
  <c r="G2" i="155" s="1"/>
  <c r="G95" i="155" s="1"/>
  <c r="D48" i="155"/>
  <c r="K37" i="155"/>
  <c r="R88" i="155"/>
  <c r="L90" i="155"/>
  <c r="R90" i="155" s="1"/>
  <c r="K76" i="155"/>
  <c r="K78" i="155" s="1"/>
  <c r="M76" i="155"/>
  <c r="M78" i="155" s="1"/>
  <c r="N37" i="155"/>
  <c r="H37" i="155"/>
  <c r="O25" i="155"/>
  <c r="O48" i="155" s="1"/>
  <c r="M25" i="155"/>
  <c r="M48" i="155" s="1"/>
  <c r="M2" i="155" s="1"/>
  <c r="R26" i="154"/>
  <c r="R50" i="154"/>
  <c r="R65" i="154"/>
  <c r="R53" i="154"/>
  <c r="F48" i="154"/>
  <c r="F2" i="154" s="1"/>
  <c r="R14" i="154"/>
  <c r="R73" i="154"/>
  <c r="K48" i="154"/>
  <c r="K2" i="154" s="1"/>
  <c r="K95" i="154" s="1"/>
  <c r="K91" i="154" s="1"/>
  <c r="R12" i="154"/>
  <c r="M48" i="154"/>
  <c r="K76" i="154"/>
  <c r="R93" i="154"/>
  <c r="R57" i="154"/>
  <c r="I70" i="154"/>
  <c r="L70" i="154"/>
  <c r="F83" i="154"/>
  <c r="Q26" i="154"/>
  <c r="K37" i="154"/>
  <c r="R54" i="154"/>
  <c r="L36" i="154"/>
  <c r="R36" i="154" s="1"/>
  <c r="Q47" i="154"/>
  <c r="R47" i="154" s="1"/>
  <c r="R61" i="154"/>
  <c r="N62" i="154"/>
  <c r="R62" i="154" s="1"/>
  <c r="Q14" i="154"/>
  <c r="N76" i="154"/>
  <c r="F76" i="154"/>
  <c r="F78" i="154" s="1"/>
  <c r="O50" i="154"/>
  <c r="R83" i="154"/>
  <c r="P37" i="154"/>
  <c r="P48" i="154" s="1"/>
  <c r="P2" i="154" s="1"/>
  <c r="P95" i="154" s="1"/>
  <c r="P91" i="154" s="1"/>
  <c r="H76" i="154"/>
  <c r="H78" i="154" s="1"/>
  <c r="O49" i="154"/>
  <c r="O70" i="154" s="1"/>
  <c r="G70" i="154"/>
  <c r="R79" i="154"/>
  <c r="H37" i="154"/>
  <c r="H48" i="154" s="1"/>
  <c r="H2" i="154" s="1"/>
  <c r="H95" i="154" s="1"/>
  <c r="H91" i="154" s="1"/>
  <c r="L88" i="154"/>
  <c r="P70" i="154"/>
  <c r="P78" i="154" s="1"/>
  <c r="R58" i="154"/>
  <c r="Q33" i="154"/>
  <c r="R33" i="154" s="1"/>
  <c r="L89" i="154"/>
  <c r="R89" i="154" s="1"/>
  <c r="I76" i="154"/>
  <c r="I78" i="154" s="1"/>
  <c r="R71" i="154"/>
  <c r="D86" i="154"/>
  <c r="F86" i="154" s="1"/>
  <c r="J70" i="154"/>
  <c r="M70" i="154"/>
  <c r="Q31" i="154"/>
  <c r="R31" i="154" s="1"/>
  <c r="G25" i="154"/>
  <c r="G48" i="154" s="1"/>
  <c r="M37" i="154"/>
  <c r="O37" i="154"/>
  <c r="O48" i="154" s="1"/>
  <c r="R27" i="154"/>
  <c r="O75" i="154"/>
  <c r="R75" i="154" s="1"/>
  <c r="L76" i="154"/>
  <c r="D78" i="154"/>
  <c r="I91" i="154"/>
  <c r="R49" i="154"/>
  <c r="H70" i="154"/>
  <c r="I37" i="154"/>
  <c r="I48" i="154"/>
  <c r="I2" i="154" s="1"/>
  <c r="I95" i="154" s="1"/>
  <c r="D48" i="154"/>
  <c r="R16" i="154"/>
  <c r="G76" i="154"/>
  <c r="J76" i="154"/>
  <c r="J78" i="154" s="1"/>
  <c r="K70" i="154"/>
  <c r="J37" i="154"/>
  <c r="J48" i="154" s="1"/>
  <c r="J2" i="154" s="1"/>
  <c r="J95" i="154" s="1"/>
  <c r="J91" i="154" s="1"/>
  <c r="F37" i="154"/>
  <c r="M76" i="154"/>
  <c r="M78" i="154" s="1"/>
  <c r="R72" i="154"/>
  <c r="R10" i="153"/>
  <c r="P48" i="153"/>
  <c r="R65" i="153"/>
  <c r="R5" i="153"/>
  <c r="R66" i="153"/>
  <c r="R74" i="153"/>
  <c r="R14" i="153"/>
  <c r="R33" i="153"/>
  <c r="R54" i="153"/>
  <c r="R7" i="153"/>
  <c r="R51" i="153"/>
  <c r="R56" i="153"/>
  <c r="N48" i="153"/>
  <c r="N2" i="153" s="1"/>
  <c r="R16" i="153"/>
  <c r="R9" i="153"/>
  <c r="R64" i="153"/>
  <c r="Q47" i="153"/>
  <c r="R47" i="153"/>
  <c r="I25" i="153"/>
  <c r="I48" i="153" s="1"/>
  <c r="R73" i="153"/>
  <c r="O52" i="153"/>
  <c r="R52" i="153" s="1"/>
  <c r="H25" i="153"/>
  <c r="H48" i="153" s="1"/>
  <c r="J70" i="153"/>
  <c r="J37" i="153"/>
  <c r="J48" i="153" s="1"/>
  <c r="J2" i="153" s="1"/>
  <c r="J95" i="153" s="1"/>
  <c r="J91" i="153" s="1"/>
  <c r="R69" i="153"/>
  <c r="R83" i="153"/>
  <c r="O74" i="153"/>
  <c r="R55" i="153"/>
  <c r="K93" i="153"/>
  <c r="N93" i="153"/>
  <c r="H93" i="153"/>
  <c r="M93" i="153"/>
  <c r="G93" i="153"/>
  <c r="J93" i="153"/>
  <c r="I93" i="153"/>
  <c r="F93" i="153"/>
  <c r="Q93" i="153" s="1"/>
  <c r="P93" i="153"/>
  <c r="O93" i="153"/>
  <c r="L93" i="153"/>
  <c r="F70" i="153"/>
  <c r="O53" i="153"/>
  <c r="R53" i="153" s="1"/>
  <c r="R46" i="153"/>
  <c r="F37" i="153"/>
  <c r="N62" i="153"/>
  <c r="R62" i="153" s="1"/>
  <c r="I78" i="153"/>
  <c r="G78" i="153"/>
  <c r="N92" i="153"/>
  <c r="Q28" i="153"/>
  <c r="R28" i="153" s="1"/>
  <c r="O49" i="153"/>
  <c r="O37" i="153"/>
  <c r="O48" i="153" s="1"/>
  <c r="Q45" i="153"/>
  <c r="R45" i="153" s="1"/>
  <c r="L70" i="153"/>
  <c r="L78" i="153" s="1"/>
  <c r="G25" i="153"/>
  <c r="Q26" i="153"/>
  <c r="R26" i="153" s="1"/>
  <c r="R75" i="153"/>
  <c r="R79" i="153"/>
  <c r="D48" i="153"/>
  <c r="P70" i="153"/>
  <c r="P78" i="153" s="1"/>
  <c r="H70" i="153"/>
  <c r="H78" i="153" s="1"/>
  <c r="G70" i="153"/>
  <c r="K37" i="153"/>
  <c r="K48" i="153" s="1"/>
  <c r="K2" i="153" s="1"/>
  <c r="K95" i="153" s="1"/>
  <c r="K91" i="153" s="1"/>
  <c r="N37" i="153"/>
  <c r="K76" i="153"/>
  <c r="K78" i="153" s="1"/>
  <c r="M76" i="153"/>
  <c r="R92" i="153"/>
  <c r="R29" i="153"/>
  <c r="F76" i="153"/>
  <c r="F78" i="153" s="1"/>
  <c r="N70" i="153"/>
  <c r="R31" i="153"/>
  <c r="P37" i="153"/>
  <c r="D78" i="153"/>
  <c r="I70" i="153"/>
  <c r="M70" i="153"/>
  <c r="M2" i="153" s="1"/>
  <c r="M95" i="153" s="1"/>
  <c r="H37" i="153"/>
  <c r="R42" i="153"/>
  <c r="N76" i="153"/>
  <c r="N78" i="153" s="1"/>
  <c r="J76" i="153"/>
  <c r="J78" i="153" s="1"/>
  <c r="L37" i="153"/>
  <c r="L48" i="153" s="1"/>
  <c r="L2" i="153" s="1"/>
  <c r="L95" i="153" s="1"/>
  <c r="L91" i="153" s="1"/>
  <c r="R88" i="153"/>
  <c r="R75" i="152"/>
  <c r="R12" i="152"/>
  <c r="R3" i="152"/>
  <c r="R30" i="152"/>
  <c r="R64" i="152"/>
  <c r="R73" i="152"/>
  <c r="R54" i="152"/>
  <c r="R5" i="152"/>
  <c r="R13" i="152"/>
  <c r="R4" i="152"/>
  <c r="R16" i="152"/>
  <c r="Q45" i="152"/>
  <c r="R45" i="152" s="1"/>
  <c r="R26" i="152"/>
  <c r="L76" i="152"/>
  <c r="G70" i="152"/>
  <c r="R51" i="152"/>
  <c r="R43" i="152"/>
  <c r="Q5" i="152"/>
  <c r="Q55" i="152"/>
  <c r="R55" i="152" s="1"/>
  <c r="H37" i="152"/>
  <c r="Q3" i="152"/>
  <c r="Q27" i="152"/>
  <c r="R27" i="152" s="1"/>
  <c r="Q57" i="152"/>
  <c r="R57" i="152" s="1"/>
  <c r="N77" i="152"/>
  <c r="R77" i="152" s="1"/>
  <c r="D86" i="152"/>
  <c r="F86" i="152" s="1"/>
  <c r="L36" i="152"/>
  <c r="R36" i="152" s="1"/>
  <c r="F83" i="152"/>
  <c r="R83" i="152" s="1"/>
  <c r="Q31" i="152"/>
  <c r="R31" i="152" s="1"/>
  <c r="R46" i="152"/>
  <c r="R33" i="152"/>
  <c r="I37" i="152"/>
  <c r="N76" i="152"/>
  <c r="P25" i="152"/>
  <c r="P48" i="152" s="1"/>
  <c r="P2" i="152" s="1"/>
  <c r="P95" i="152" s="1"/>
  <c r="L37" i="152"/>
  <c r="I70" i="152"/>
  <c r="L70" i="152"/>
  <c r="I25" i="152"/>
  <c r="I48" i="152" s="1"/>
  <c r="M70" i="152"/>
  <c r="L93" i="152"/>
  <c r="F93" i="152"/>
  <c r="P93" i="152"/>
  <c r="J93" i="152"/>
  <c r="O93" i="152"/>
  <c r="I93" i="152"/>
  <c r="K93" i="152"/>
  <c r="H93" i="152"/>
  <c r="N93" i="152"/>
  <c r="M93" i="152"/>
  <c r="G93" i="152"/>
  <c r="O25" i="152"/>
  <c r="R7" i="152"/>
  <c r="R74" i="152"/>
  <c r="Q17" i="152"/>
  <c r="R17" i="152" s="1"/>
  <c r="R9" i="152"/>
  <c r="R28" i="152"/>
  <c r="R42" i="152"/>
  <c r="K37" i="152"/>
  <c r="P37" i="152"/>
  <c r="K92" i="152"/>
  <c r="I92" i="152"/>
  <c r="H92" i="152"/>
  <c r="J92" i="152"/>
  <c r="G92" i="152"/>
  <c r="L92" i="152"/>
  <c r="F92" i="152"/>
  <c r="R32" i="152"/>
  <c r="K76" i="152"/>
  <c r="I76" i="152"/>
  <c r="I78" i="152" s="1"/>
  <c r="N25" i="152"/>
  <c r="H25" i="152"/>
  <c r="H48" i="152" s="1"/>
  <c r="J70" i="152"/>
  <c r="N70" i="152"/>
  <c r="R29" i="152"/>
  <c r="R6" i="152"/>
  <c r="K25" i="152"/>
  <c r="M37" i="152"/>
  <c r="G76" i="152"/>
  <c r="G78" i="152" s="1"/>
  <c r="O49" i="152"/>
  <c r="O70" i="152" s="1"/>
  <c r="R44" i="152"/>
  <c r="Q47" i="152"/>
  <c r="R47" i="152" s="1"/>
  <c r="N37" i="152"/>
  <c r="O37" i="152"/>
  <c r="O76" i="152"/>
  <c r="R76" i="152" s="1"/>
  <c r="D78" i="152"/>
  <c r="M76" i="152"/>
  <c r="J76" i="152"/>
  <c r="F25" i="152"/>
  <c r="M25" i="152"/>
  <c r="M48" i="152" s="1"/>
  <c r="M2" i="152" s="1"/>
  <c r="D48" i="152"/>
  <c r="H70" i="152"/>
  <c r="K70" i="152"/>
  <c r="F37" i="152"/>
  <c r="R37" i="152" s="1"/>
  <c r="O72" i="152"/>
  <c r="O52" i="152"/>
  <c r="R52" i="152" s="1"/>
  <c r="O66" i="152"/>
  <c r="R66" i="152" s="1"/>
  <c r="R8" i="152"/>
  <c r="G25" i="152"/>
  <c r="G37" i="152"/>
  <c r="R88" i="152"/>
  <c r="P70" i="152"/>
  <c r="P78" i="152" s="1"/>
  <c r="Q59" i="152"/>
  <c r="R59" i="152" s="1"/>
  <c r="J37" i="152"/>
  <c r="Q37" i="152"/>
  <c r="R72" i="152"/>
  <c r="H76" i="152"/>
  <c r="H78" i="152" s="1"/>
  <c r="L25" i="152"/>
  <c r="L48" i="152" s="1"/>
  <c r="L2" i="152" s="1"/>
  <c r="L95" i="152" s="1"/>
  <c r="J25" i="152"/>
  <c r="J48" i="152" s="1"/>
  <c r="J2" i="152" s="1"/>
  <c r="J95" i="152" s="1"/>
  <c r="R49" i="152"/>
  <c r="F70" i="152"/>
  <c r="Q70" i="152" s="1"/>
  <c r="Q78" i="152" s="1"/>
  <c r="R66" i="151"/>
  <c r="R5" i="151"/>
  <c r="R14" i="151"/>
  <c r="R29" i="151"/>
  <c r="R31" i="151"/>
  <c r="R55" i="151"/>
  <c r="R8" i="151"/>
  <c r="R59" i="151"/>
  <c r="R93" i="151"/>
  <c r="R12" i="151"/>
  <c r="R17" i="151"/>
  <c r="R53" i="151"/>
  <c r="R52" i="151"/>
  <c r="Q3" i="151"/>
  <c r="H70" i="151"/>
  <c r="H37" i="151"/>
  <c r="O53" i="151"/>
  <c r="K76" i="151"/>
  <c r="N25" i="151"/>
  <c r="O25" i="151"/>
  <c r="O48" i="151" s="1"/>
  <c r="L36" i="151"/>
  <c r="R36" i="151" s="1"/>
  <c r="H92" i="151"/>
  <c r="L92" i="151"/>
  <c r="K92" i="151"/>
  <c r="I92" i="151"/>
  <c r="J92" i="151"/>
  <c r="G92" i="151"/>
  <c r="F92" i="151"/>
  <c r="M92" i="151" s="1"/>
  <c r="R74" i="151"/>
  <c r="R69" i="151"/>
  <c r="G70" i="151"/>
  <c r="G78" i="151" s="1"/>
  <c r="F48" i="151"/>
  <c r="F37" i="151"/>
  <c r="Q37" i="151" s="1"/>
  <c r="I25" i="151"/>
  <c r="P37" i="151"/>
  <c r="K37" i="151"/>
  <c r="J78" i="151"/>
  <c r="L76" i="151"/>
  <c r="L78" i="151" s="1"/>
  <c r="G25" i="151"/>
  <c r="J25" i="151"/>
  <c r="J48" i="151" s="1"/>
  <c r="J2" i="151" s="1"/>
  <c r="J95" i="151" s="1"/>
  <c r="D86" i="151"/>
  <c r="F86" i="151" s="1"/>
  <c r="O52" i="151"/>
  <c r="O73" i="151"/>
  <c r="R73" i="151" s="1"/>
  <c r="Q55" i="151"/>
  <c r="O51" i="151"/>
  <c r="R51" i="151" s="1"/>
  <c r="R27" i="151"/>
  <c r="D78" i="151"/>
  <c r="Q45" i="151"/>
  <c r="R45" i="151" s="1"/>
  <c r="J70" i="151"/>
  <c r="L70" i="151"/>
  <c r="R44" i="151"/>
  <c r="K48" i="151"/>
  <c r="K2" i="151" s="1"/>
  <c r="K95" i="151" s="1"/>
  <c r="R3" i="151"/>
  <c r="P70" i="151"/>
  <c r="P78" i="151" s="1"/>
  <c r="R46" i="151"/>
  <c r="I37" i="151"/>
  <c r="M37" i="151"/>
  <c r="M48" i="151" s="1"/>
  <c r="M2" i="151" s="1"/>
  <c r="M76" i="151"/>
  <c r="H76" i="151"/>
  <c r="H78" i="151" s="1"/>
  <c r="H25" i="151"/>
  <c r="P25" i="151"/>
  <c r="P48" i="151" s="1"/>
  <c r="P2" i="151" s="1"/>
  <c r="P95" i="151" s="1"/>
  <c r="P91" i="151" s="1"/>
  <c r="O65" i="151"/>
  <c r="R65" i="151" s="1"/>
  <c r="N77" i="151"/>
  <c r="R77" i="151" s="1"/>
  <c r="O75" i="151"/>
  <c r="R75" i="151" s="1"/>
  <c r="R6" i="151"/>
  <c r="O64" i="151"/>
  <c r="R64" i="151" s="1"/>
  <c r="G37" i="151"/>
  <c r="F76" i="151"/>
  <c r="O76" i="151" s="1"/>
  <c r="Q47" i="151"/>
  <c r="R47" i="151" s="1"/>
  <c r="Q28" i="151"/>
  <c r="R28" i="151" s="1"/>
  <c r="N70" i="151"/>
  <c r="F70" i="151"/>
  <c r="L37" i="151"/>
  <c r="K70" i="151"/>
  <c r="R72" i="151"/>
  <c r="Q30" i="151"/>
  <c r="R30" i="151" s="1"/>
  <c r="I70" i="151"/>
  <c r="I78" i="151" s="1"/>
  <c r="N37" i="151"/>
  <c r="Q26" i="151"/>
  <c r="R26" i="151" s="1"/>
  <c r="N78" i="151"/>
  <c r="L25" i="151"/>
  <c r="L48" i="151" s="1"/>
  <c r="L2" i="151" s="1"/>
  <c r="D48" i="151"/>
  <c r="R88" i="151"/>
  <c r="R43" i="151"/>
  <c r="R71" i="151"/>
  <c r="R50" i="151"/>
  <c r="R42" i="151"/>
  <c r="O49" i="151"/>
  <c r="M70" i="151"/>
  <c r="R57" i="150"/>
  <c r="R55" i="150"/>
  <c r="R17" i="150"/>
  <c r="R8" i="150"/>
  <c r="R66" i="150"/>
  <c r="R6" i="150"/>
  <c r="R27" i="150"/>
  <c r="R59" i="150"/>
  <c r="R32" i="150"/>
  <c r="R5" i="150"/>
  <c r="R53" i="150"/>
  <c r="G78" i="150"/>
  <c r="D78" i="150"/>
  <c r="O73" i="150"/>
  <c r="R73" i="150" s="1"/>
  <c r="P25" i="150"/>
  <c r="P48" i="150" s="1"/>
  <c r="P2" i="150" s="1"/>
  <c r="F25" i="150"/>
  <c r="F48" i="150" s="1"/>
  <c r="Q57" i="150"/>
  <c r="K70" i="150"/>
  <c r="Q32" i="150"/>
  <c r="R16" i="150"/>
  <c r="Q31" i="150"/>
  <c r="R31" i="150" s="1"/>
  <c r="R4" i="150"/>
  <c r="H76" i="150"/>
  <c r="I37" i="150"/>
  <c r="N37" i="150"/>
  <c r="D109" i="150"/>
  <c r="R13" i="150"/>
  <c r="R50" i="150"/>
  <c r="R46" i="150"/>
  <c r="Q45" i="150"/>
  <c r="R45" i="150" s="1"/>
  <c r="D48" i="150"/>
  <c r="L25" i="150"/>
  <c r="G70" i="150"/>
  <c r="J70" i="150"/>
  <c r="Q8" i="150"/>
  <c r="O72" i="150"/>
  <c r="R42" i="150"/>
  <c r="O74" i="150"/>
  <c r="R74" i="150" s="1"/>
  <c r="I70" i="150"/>
  <c r="D86" i="150"/>
  <c r="F86" i="150" s="1"/>
  <c r="R72" i="150"/>
  <c r="H37" i="150"/>
  <c r="K37" i="150"/>
  <c r="O64" i="150"/>
  <c r="R64" i="150" s="1"/>
  <c r="R10" i="150"/>
  <c r="R47" i="150"/>
  <c r="Q47" i="150"/>
  <c r="R12" i="150"/>
  <c r="J25" i="150"/>
  <c r="J48" i="150" s="1"/>
  <c r="J2" i="150" s="1"/>
  <c r="J95" i="150" s="1"/>
  <c r="O25" i="150"/>
  <c r="G25" i="150"/>
  <c r="H70" i="150"/>
  <c r="O51" i="150"/>
  <c r="R51" i="150" s="1"/>
  <c r="I25" i="150"/>
  <c r="R52" i="150"/>
  <c r="R83" i="150"/>
  <c r="I78" i="150"/>
  <c r="J76" i="150"/>
  <c r="J37" i="150"/>
  <c r="R26" i="150"/>
  <c r="R28" i="150"/>
  <c r="R30" i="150"/>
  <c r="P70" i="150"/>
  <c r="P78" i="150" s="1"/>
  <c r="N25" i="150"/>
  <c r="K25" i="150"/>
  <c r="M25" i="150"/>
  <c r="M48" i="150" s="1"/>
  <c r="M2" i="150" s="1"/>
  <c r="L69" i="150"/>
  <c r="R69" i="150" s="1"/>
  <c r="N70" i="150"/>
  <c r="N78" i="150" s="1"/>
  <c r="F70" i="150"/>
  <c r="R33" i="150"/>
  <c r="R44" i="150"/>
  <c r="L37" i="150"/>
  <c r="L88" i="150"/>
  <c r="R88" i="150" s="1"/>
  <c r="H92" i="150"/>
  <c r="L92" i="150"/>
  <c r="K92" i="150"/>
  <c r="J92" i="150"/>
  <c r="I92" i="150"/>
  <c r="G92" i="150"/>
  <c r="F92" i="150"/>
  <c r="F83" i="150"/>
  <c r="K76" i="150"/>
  <c r="K78" i="150" s="1"/>
  <c r="O37" i="150"/>
  <c r="M37" i="150"/>
  <c r="F76" i="150"/>
  <c r="F78" i="150" s="1"/>
  <c r="O93" i="150"/>
  <c r="I93" i="150"/>
  <c r="P93" i="150"/>
  <c r="H93" i="150"/>
  <c r="N93" i="150"/>
  <c r="G93" i="150"/>
  <c r="M93" i="150"/>
  <c r="F93" i="150"/>
  <c r="R93" i="150" s="1"/>
  <c r="Q93" i="150"/>
  <c r="J93" i="150"/>
  <c r="L93" i="150"/>
  <c r="K93" i="150"/>
  <c r="H25" i="150"/>
  <c r="H48" i="150" s="1"/>
  <c r="H2" i="150" s="1"/>
  <c r="H95" i="150" s="1"/>
  <c r="Q3" i="150"/>
  <c r="R3" i="150" s="1"/>
  <c r="O49" i="150"/>
  <c r="M70" i="150"/>
  <c r="M78" i="150" s="1"/>
  <c r="G37" i="150"/>
  <c r="R17" i="149"/>
  <c r="R54" i="149"/>
  <c r="R66" i="149"/>
  <c r="R74" i="149"/>
  <c r="R52" i="149"/>
  <c r="R3" i="149"/>
  <c r="R33" i="149"/>
  <c r="R4" i="149"/>
  <c r="R6" i="149"/>
  <c r="R28" i="149"/>
  <c r="R51" i="149"/>
  <c r="R50" i="149"/>
  <c r="R75" i="149"/>
  <c r="R57" i="149"/>
  <c r="R7" i="149"/>
  <c r="R55" i="149"/>
  <c r="I37" i="149"/>
  <c r="N25" i="149"/>
  <c r="N48" i="149" s="1"/>
  <c r="F78" i="149"/>
  <c r="I70" i="149"/>
  <c r="Q13" i="149"/>
  <c r="R13" i="149" s="1"/>
  <c r="M37" i="149"/>
  <c r="R32" i="149"/>
  <c r="I78" i="149"/>
  <c r="O72" i="149"/>
  <c r="R16" i="149"/>
  <c r="O25" i="149"/>
  <c r="R43" i="149"/>
  <c r="R56" i="149"/>
  <c r="H92" i="149"/>
  <c r="G92" i="149"/>
  <c r="L92" i="149"/>
  <c r="J92" i="149"/>
  <c r="K92" i="149"/>
  <c r="I92" i="149"/>
  <c r="F92" i="149"/>
  <c r="M92" i="149" s="1"/>
  <c r="Q55" i="149"/>
  <c r="Q9" i="149"/>
  <c r="R9" i="149" s="1"/>
  <c r="Q27" i="149"/>
  <c r="R27" i="149" s="1"/>
  <c r="N70" i="149"/>
  <c r="J70" i="149"/>
  <c r="P70" i="149"/>
  <c r="P78" i="149" s="1"/>
  <c r="O37" i="149"/>
  <c r="K37" i="149"/>
  <c r="R94" i="149"/>
  <c r="J76" i="149"/>
  <c r="G76" i="149"/>
  <c r="G78" i="149" s="1"/>
  <c r="O52" i="149"/>
  <c r="L15" i="149"/>
  <c r="R15" i="149" s="1"/>
  <c r="G25" i="149"/>
  <c r="G48" i="149" s="1"/>
  <c r="G2" i="149" s="1"/>
  <c r="G95" i="149" s="1"/>
  <c r="R45" i="149"/>
  <c r="Q45" i="149"/>
  <c r="F83" i="149"/>
  <c r="R83" i="149" s="1"/>
  <c r="Q59" i="149"/>
  <c r="R59" i="149" s="1"/>
  <c r="Q47" i="149"/>
  <c r="R47" i="149" s="1"/>
  <c r="L37" i="149"/>
  <c r="L70" i="149"/>
  <c r="Q29" i="149"/>
  <c r="R29" i="149" s="1"/>
  <c r="Q26" i="149"/>
  <c r="R26" i="149" s="1"/>
  <c r="R8" i="149"/>
  <c r="R14" i="149"/>
  <c r="L76" i="149"/>
  <c r="L78" i="149" s="1"/>
  <c r="M76" i="149"/>
  <c r="H25" i="149"/>
  <c r="J25" i="149"/>
  <c r="J48" i="149" s="1"/>
  <c r="J2" i="149" s="1"/>
  <c r="M25" i="149"/>
  <c r="R64" i="149"/>
  <c r="Q10" i="149"/>
  <c r="R10" i="149" s="1"/>
  <c r="Q58" i="149"/>
  <c r="R58" i="149" s="1"/>
  <c r="F70" i="149"/>
  <c r="K70" i="149"/>
  <c r="K78" i="149" s="1"/>
  <c r="O93" i="149"/>
  <c r="I93" i="149"/>
  <c r="Q93" i="149" s="1"/>
  <c r="N93" i="149"/>
  <c r="H93" i="149"/>
  <c r="K93" i="149"/>
  <c r="G93" i="149"/>
  <c r="P93" i="149"/>
  <c r="M93" i="149"/>
  <c r="L93" i="149"/>
  <c r="J93" i="149"/>
  <c r="F93" i="149"/>
  <c r="D86" i="149"/>
  <c r="F86" i="149" s="1"/>
  <c r="H37" i="149"/>
  <c r="Q37" i="149" s="1"/>
  <c r="F37" i="149"/>
  <c r="R72" i="149"/>
  <c r="I25" i="149"/>
  <c r="I48" i="149" s="1"/>
  <c r="I2" i="149" s="1"/>
  <c r="I95" i="149" s="1"/>
  <c r="P25" i="149"/>
  <c r="D48" i="149"/>
  <c r="R42" i="149"/>
  <c r="L89" i="149"/>
  <c r="R89" i="149" s="1"/>
  <c r="Q61" i="149"/>
  <c r="R61" i="149" s="1"/>
  <c r="D78" i="149"/>
  <c r="Q5" i="149"/>
  <c r="R5" i="149" s="1"/>
  <c r="M70" i="149"/>
  <c r="Q70" i="149" s="1"/>
  <c r="Q78" i="149" s="1"/>
  <c r="G70" i="149"/>
  <c r="R31" i="149"/>
  <c r="L25" i="149"/>
  <c r="L48" i="149" s="1"/>
  <c r="L2" i="149" s="1"/>
  <c r="P37" i="149"/>
  <c r="N37" i="149"/>
  <c r="Q17" i="149"/>
  <c r="N76" i="149"/>
  <c r="N78" i="149" s="1"/>
  <c r="R46" i="149"/>
  <c r="K25" i="149"/>
  <c r="K48" i="149" s="1"/>
  <c r="K2" i="149" s="1"/>
  <c r="K95" i="149" s="1"/>
  <c r="F25" i="149"/>
  <c r="F48" i="149" s="1"/>
  <c r="F2" i="149" s="1"/>
  <c r="R44" i="149"/>
  <c r="R71" i="149"/>
  <c r="O49" i="149"/>
  <c r="O70" i="149" s="1"/>
  <c r="H70" i="149"/>
  <c r="H78" i="149" s="1"/>
  <c r="Q30" i="149"/>
  <c r="R30" i="149" s="1"/>
  <c r="R9" i="148"/>
  <c r="R27" i="148"/>
  <c r="R62" i="148"/>
  <c r="R55" i="148"/>
  <c r="R10" i="148"/>
  <c r="R31" i="148"/>
  <c r="R54" i="148"/>
  <c r="R65" i="148"/>
  <c r="R13" i="148"/>
  <c r="R6" i="148"/>
  <c r="R49" i="148"/>
  <c r="R51" i="148"/>
  <c r="R64" i="148"/>
  <c r="R52" i="148"/>
  <c r="P70" i="148"/>
  <c r="P78" i="148" s="1"/>
  <c r="F37" i="148"/>
  <c r="I76" i="148"/>
  <c r="I78" i="148" s="1"/>
  <c r="L15" i="148"/>
  <c r="R15" i="148" s="1"/>
  <c r="L89" i="148"/>
  <c r="R89" i="148" s="1"/>
  <c r="H70" i="148"/>
  <c r="F25" i="148"/>
  <c r="F48" i="148" s="1"/>
  <c r="D78" i="148"/>
  <c r="Q54" i="148"/>
  <c r="R32" i="148"/>
  <c r="J37" i="148"/>
  <c r="N37" i="148"/>
  <c r="F83" i="148"/>
  <c r="R83" i="148" s="1"/>
  <c r="G37" i="148"/>
  <c r="Q37" i="148" s="1"/>
  <c r="R37" i="148" s="1"/>
  <c r="Q27" i="148"/>
  <c r="K76" i="148"/>
  <c r="I70" i="148"/>
  <c r="L70" i="148"/>
  <c r="O25" i="148"/>
  <c r="O48" i="148" s="1"/>
  <c r="L25" i="148"/>
  <c r="L48" i="148" s="1"/>
  <c r="L2" i="148" s="1"/>
  <c r="N62" i="148"/>
  <c r="H37" i="148"/>
  <c r="H76" i="148"/>
  <c r="H78" i="148" s="1"/>
  <c r="F70" i="148"/>
  <c r="Q4" i="148"/>
  <c r="R4" i="148" s="1"/>
  <c r="R14" i="148"/>
  <c r="R44" i="148"/>
  <c r="O65" i="148"/>
  <c r="Q26" i="148"/>
  <c r="J76" i="148"/>
  <c r="J78" i="148" s="1"/>
  <c r="O64" i="148"/>
  <c r="J92" i="148"/>
  <c r="I92" i="148"/>
  <c r="G92" i="148"/>
  <c r="L92" i="148"/>
  <c r="F92" i="148"/>
  <c r="M92" i="148" s="1"/>
  <c r="K92" i="148"/>
  <c r="H92" i="148"/>
  <c r="O49" i="148"/>
  <c r="G70" i="148"/>
  <c r="P25" i="148"/>
  <c r="P48" i="148" s="1"/>
  <c r="P2" i="148" s="1"/>
  <c r="P95" i="148" s="1"/>
  <c r="P91" i="148" s="1"/>
  <c r="R3" i="148"/>
  <c r="D86" i="148"/>
  <c r="F86" i="148" s="1"/>
  <c r="N70" i="148"/>
  <c r="N25" i="148"/>
  <c r="N48" i="148" s="1"/>
  <c r="N2" i="148" s="1"/>
  <c r="R56" i="148"/>
  <c r="J25" i="148"/>
  <c r="J48" i="148" s="1"/>
  <c r="J2" i="148" s="1"/>
  <c r="J95" i="148" s="1"/>
  <c r="I37" i="148"/>
  <c r="K37" i="148"/>
  <c r="R46" i="148"/>
  <c r="L88" i="148"/>
  <c r="R79" i="148"/>
  <c r="L37" i="148"/>
  <c r="L76" i="148"/>
  <c r="R72" i="148"/>
  <c r="R42" i="148"/>
  <c r="R33" i="148"/>
  <c r="M70" i="148"/>
  <c r="M78" i="148" s="1"/>
  <c r="H25" i="148"/>
  <c r="H48" i="148" s="1"/>
  <c r="D48" i="148"/>
  <c r="G25" i="148"/>
  <c r="N76" i="148"/>
  <c r="D109" i="148"/>
  <c r="O37" i="148"/>
  <c r="R26" i="148"/>
  <c r="Q47" i="148"/>
  <c r="R47" i="148" s="1"/>
  <c r="G76" i="148"/>
  <c r="G78" i="148" s="1"/>
  <c r="Q45" i="148"/>
  <c r="R45" i="148" s="1"/>
  <c r="K70" i="148"/>
  <c r="J70" i="148"/>
  <c r="I25" i="148"/>
  <c r="I48" i="148" s="1"/>
  <c r="K25" i="148"/>
  <c r="K48" i="148" s="1"/>
  <c r="K2" i="148" s="1"/>
  <c r="K95" i="148" s="1"/>
  <c r="M25" i="148"/>
  <c r="M48" i="148" s="1"/>
  <c r="M2" i="148" s="1"/>
  <c r="R88" i="147"/>
  <c r="R16" i="147"/>
  <c r="R32" i="147"/>
  <c r="R26" i="147"/>
  <c r="R93" i="147"/>
  <c r="R17" i="147"/>
  <c r="R74" i="147"/>
  <c r="R33" i="147"/>
  <c r="Q26" i="147"/>
  <c r="R29" i="147"/>
  <c r="R28" i="147"/>
  <c r="H25" i="147"/>
  <c r="H48" i="147" s="1"/>
  <c r="Q3" i="147"/>
  <c r="R3" i="147" s="1"/>
  <c r="M25" i="147"/>
  <c r="F37" i="147"/>
  <c r="K37" i="147"/>
  <c r="O72" i="147"/>
  <c r="R72" i="147" s="1"/>
  <c r="N70" i="147"/>
  <c r="F70" i="147"/>
  <c r="L37" i="147"/>
  <c r="G37" i="147"/>
  <c r="Q37" i="147" s="1"/>
  <c r="O75" i="147"/>
  <c r="R75" i="147" s="1"/>
  <c r="Q5" i="147"/>
  <c r="R5" i="147" s="1"/>
  <c r="Q30" i="147"/>
  <c r="R30" i="147" s="1"/>
  <c r="R6" i="147"/>
  <c r="D86" i="147"/>
  <c r="F86" i="147" s="1"/>
  <c r="Q54" i="147"/>
  <c r="R54" i="147" s="1"/>
  <c r="Q16" i="147"/>
  <c r="Q55" i="147"/>
  <c r="R55" i="147" s="1"/>
  <c r="N25" i="147"/>
  <c r="N48" i="147" s="1"/>
  <c r="N2" i="147" s="1"/>
  <c r="J25" i="147"/>
  <c r="D48" i="147"/>
  <c r="R53" i="147"/>
  <c r="Q58" i="147"/>
  <c r="R58" i="147" s="1"/>
  <c r="O49" i="147"/>
  <c r="O51" i="147"/>
  <c r="R51" i="147" s="1"/>
  <c r="I25" i="147"/>
  <c r="M37" i="147"/>
  <c r="H37" i="147"/>
  <c r="G70" i="147"/>
  <c r="O64" i="147"/>
  <c r="R64" i="147" s="1"/>
  <c r="Q13" i="147"/>
  <c r="R13" i="147" s="1"/>
  <c r="Q27" i="147"/>
  <c r="D78" i="147"/>
  <c r="R42" i="147"/>
  <c r="Q33" i="147"/>
  <c r="D109" i="147"/>
  <c r="O25" i="147"/>
  <c r="O48" i="147" s="1"/>
  <c r="L25" i="147"/>
  <c r="L48" i="147" s="1"/>
  <c r="L2" i="147" s="1"/>
  <c r="L95" i="147" s="1"/>
  <c r="L91" i="147" s="1"/>
  <c r="R47" i="147"/>
  <c r="Q47" i="147"/>
  <c r="O12" i="147"/>
  <c r="R12" i="147" s="1"/>
  <c r="G76" i="147"/>
  <c r="G78" i="147" s="1"/>
  <c r="R57" i="147"/>
  <c r="Q31" i="147"/>
  <c r="R31" i="147" s="1"/>
  <c r="M92" i="147"/>
  <c r="N92" i="147" s="1"/>
  <c r="N37" i="147"/>
  <c r="O37" i="147"/>
  <c r="J76" i="147"/>
  <c r="H76" i="147"/>
  <c r="H70" i="147"/>
  <c r="J70" i="147"/>
  <c r="Q7" i="147"/>
  <c r="R7" i="147" s="1"/>
  <c r="F83" i="147"/>
  <c r="R83" i="147" s="1"/>
  <c r="F76" i="147"/>
  <c r="F78" i="147" s="1"/>
  <c r="Q45" i="147"/>
  <c r="R45" i="147"/>
  <c r="R4" i="147"/>
  <c r="P25" i="147"/>
  <c r="P48" i="147" s="1"/>
  <c r="R14" i="147"/>
  <c r="I37" i="147"/>
  <c r="L70" i="147"/>
  <c r="L78" i="147" s="1"/>
  <c r="F25" i="147"/>
  <c r="F48" i="147" s="1"/>
  <c r="F2" i="147" s="1"/>
  <c r="R46" i="147"/>
  <c r="J37" i="147"/>
  <c r="N78" i="147"/>
  <c r="M70" i="147"/>
  <c r="M78" i="147" s="1"/>
  <c r="R49" i="147"/>
  <c r="R27" i="147"/>
  <c r="P70" i="147"/>
  <c r="P78" i="147" s="1"/>
  <c r="K25" i="147"/>
  <c r="G25" i="147"/>
  <c r="R43" i="147"/>
  <c r="R13" i="146"/>
  <c r="R14" i="146"/>
  <c r="R16" i="146"/>
  <c r="R64" i="146"/>
  <c r="R51" i="146"/>
  <c r="R31" i="146"/>
  <c r="R61" i="146"/>
  <c r="R57" i="146"/>
  <c r="L70" i="146"/>
  <c r="Q10" i="146"/>
  <c r="R10" i="146" s="1"/>
  <c r="P25" i="146"/>
  <c r="P37" i="146"/>
  <c r="R69" i="146"/>
  <c r="R9" i="146"/>
  <c r="J70" i="146"/>
  <c r="N25" i="146"/>
  <c r="R83" i="146"/>
  <c r="N62" i="146"/>
  <c r="R62" i="146" s="1"/>
  <c r="D86" i="146"/>
  <c r="F86" i="146" s="1"/>
  <c r="M37" i="146"/>
  <c r="O12" i="146"/>
  <c r="R12" i="146" s="1"/>
  <c r="R15" i="146"/>
  <c r="R33" i="146"/>
  <c r="Q54" i="146"/>
  <c r="R54" i="146" s="1"/>
  <c r="Q32" i="146"/>
  <c r="R32" i="146" s="1"/>
  <c r="Q28" i="146"/>
  <c r="R28" i="146" s="1"/>
  <c r="Q30" i="146"/>
  <c r="R30" i="146" s="1"/>
  <c r="F70" i="146"/>
  <c r="O51" i="146"/>
  <c r="H25" i="146"/>
  <c r="R72" i="146"/>
  <c r="J76" i="146"/>
  <c r="J78" i="146" s="1"/>
  <c r="R66" i="146"/>
  <c r="Q27" i="146"/>
  <c r="R27" i="146" s="1"/>
  <c r="G25" i="146"/>
  <c r="G48" i="146" s="1"/>
  <c r="H78" i="146"/>
  <c r="R50" i="146"/>
  <c r="N37" i="146"/>
  <c r="R73" i="146"/>
  <c r="L37" i="146"/>
  <c r="J25" i="146"/>
  <c r="Q45" i="146"/>
  <c r="R45" i="146" s="1"/>
  <c r="J37" i="146"/>
  <c r="H37" i="146"/>
  <c r="P70" i="146"/>
  <c r="P78" i="146" s="1"/>
  <c r="I70" i="146"/>
  <c r="O49" i="146"/>
  <c r="G37" i="146"/>
  <c r="Q37" i="146" s="1"/>
  <c r="Q47" i="146"/>
  <c r="R47" i="146"/>
  <c r="R43" i="146"/>
  <c r="O25" i="146"/>
  <c r="O48" i="146" s="1"/>
  <c r="K25" i="146"/>
  <c r="K48" i="146" s="1"/>
  <c r="I76" i="146"/>
  <c r="G76" i="146"/>
  <c r="G78" i="146" s="1"/>
  <c r="O94" i="146"/>
  <c r="R94" i="146" s="1"/>
  <c r="K37" i="146"/>
  <c r="Q26" i="146"/>
  <c r="G92" i="146"/>
  <c r="I92" i="146"/>
  <c r="F92" i="146"/>
  <c r="H92" i="146"/>
  <c r="M92" i="146" s="1"/>
  <c r="L92" i="146"/>
  <c r="K92" i="146"/>
  <c r="J92" i="146"/>
  <c r="G70" i="146"/>
  <c r="M70" i="146"/>
  <c r="F76" i="146"/>
  <c r="N93" i="146"/>
  <c r="H93" i="146"/>
  <c r="L93" i="146"/>
  <c r="M93" i="146"/>
  <c r="G93" i="146"/>
  <c r="P93" i="146"/>
  <c r="F93" i="146"/>
  <c r="O93" i="146"/>
  <c r="K93" i="146"/>
  <c r="J93" i="146"/>
  <c r="Q93" i="146" s="1"/>
  <c r="I93" i="146"/>
  <c r="R46" i="146"/>
  <c r="F25" i="146"/>
  <c r="F48" i="146" s="1"/>
  <c r="F2" i="146" s="1"/>
  <c r="L25" i="146"/>
  <c r="Q3" i="146"/>
  <c r="R3" i="146" s="1"/>
  <c r="M76" i="146"/>
  <c r="R26" i="146"/>
  <c r="R88" i="146"/>
  <c r="O37" i="146"/>
  <c r="I37" i="146"/>
  <c r="L90" i="146"/>
  <c r="R90" i="146" s="1"/>
  <c r="H70" i="146"/>
  <c r="K70" i="146"/>
  <c r="K78" i="146" s="1"/>
  <c r="D78" i="146"/>
  <c r="M25" i="146"/>
  <c r="M48" i="146" s="1"/>
  <c r="I25" i="146"/>
  <c r="D48" i="146"/>
  <c r="L76" i="146"/>
  <c r="L78" i="146" s="1"/>
  <c r="R79" i="146"/>
  <c r="R53" i="145"/>
  <c r="R51" i="145"/>
  <c r="R57" i="145"/>
  <c r="R75" i="145"/>
  <c r="R6" i="145"/>
  <c r="R55" i="145"/>
  <c r="R74" i="145"/>
  <c r="R31" i="145"/>
  <c r="R65" i="145"/>
  <c r="G70" i="145"/>
  <c r="H37" i="145"/>
  <c r="O72" i="145"/>
  <c r="R72" i="145" s="1"/>
  <c r="F25" i="145"/>
  <c r="H25" i="145"/>
  <c r="Q55" i="145"/>
  <c r="I70" i="145"/>
  <c r="H70" i="145"/>
  <c r="J37" i="145"/>
  <c r="P37" i="145"/>
  <c r="Q10" i="145"/>
  <c r="R10" i="145" s="1"/>
  <c r="R15" i="145"/>
  <c r="H76" i="145"/>
  <c r="J76" i="145"/>
  <c r="J78" i="145" s="1"/>
  <c r="F76" i="145"/>
  <c r="L89" i="145"/>
  <c r="R89" i="145" s="1"/>
  <c r="O50" i="145"/>
  <c r="R50" i="145" s="1"/>
  <c r="L25" i="145"/>
  <c r="N25" i="145"/>
  <c r="N48" i="145" s="1"/>
  <c r="N2" i="145" s="1"/>
  <c r="Q30" i="145"/>
  <c r="R30" i="145" s="1"/>
  <c r="Q57" i="145"/>
  <c r="K70" i="145"/>
  <c r="I76" i="145"/>
  <c r="K78" i="145"/>
  <c r="D78" i="145"/>
  <c r="R4" i="145"/>
  <c r="Q16" i="145"/>
  <c r="R16" i="145" s="1"/>
  <c r="K92" i="145"/>
  <c r="G92" i="145"/>
  <c r="L92" i="145"/>
  <c r="J92" i="145"/>
  <c r="I92" i="145"/>
  <c r="H92" i="145"/>
  <c r="F92" i="145"/>
  <c r="D48" i="145"/>
  <c r="P25" i="145"/>
  <c r="P48" i="145" s="1"/>
  <c r="P2" i="145" s="1"/>
  <c r="P95" i="145" s="1"/>
  <c r="P91" i="145" s="1"/>
  <c r="L88" i="145"/>
  <c r="R88" i="145" s="1"/>
  <c r="O65" i="145"/>
  <c r="F70" i="145"/>
  <c r="N37" i="145"/>
  <c r="F37" i="145"/>
  <c r="R13" i="145"/>
  <c r="L76" i="145"/>
  <c r="G76" i="145"/>
  <c r="G78" i="145" s="1"/>
  <c r="Q45" i="145"/>
  <c r="R45" i="145" s="1"/>
  <c r="D109" i="145"/>
  <c r="R46" i="145"/>
  <c r="Q33" i="145"/>
  <c r="R33" i="145" s="1"/>
  <c r="R3" i="145"/>
  <c r="I25" i="145"/>
  <c r="I48" i="145" s="1"/>
  <c r="I2" i="145" s="1"/>
  <c r="I95" i="145" s="1"/>
  <c r="R94" i="145"/>
  <c r="G37" i="145"/>
  <c r="D86" i="145"/>
  <c r="F86" i="145" s="1"/>
  <c r="L36" i="145"/>
  <c r="L37" i="145" s="1"/>
  <c r="N70" i="145"/>
  <c r="K37" i="145"/>
  <c r="O37" i="145"/>
  <c r="M76" i="145"/>
  <c r="M78" i="145" s="1"/>
  <c r="R47" i="145"/>
  <c r="Q47" i="145"/>
  <c r="R17" i="145"/>
  <c r="F83" i="145"/>
  <c r="L69" i="145"/>
  <c r="R69" i="145" s="1"/>
  <c r="J25" i="145"/>
  <c r="J48" i="145" s="1"/>
  <c r="J2" i="145" s="1"/>
  <c r="J95" i="145" s="1"/>
  <c r="G25" i="145"/>
  <c r="O53" i="145"/>
  <c r="O49" i="145"/>
  <c r="O70" i="145" s="1"/>
  <c r="J70" i="145"/>
  <c r="Q26" i="145"/>
  <c r="R26" i="145" s="1"/>
  <c r="N76" i="145"/>
  <c r="R43" i="145"/>
  <c r="O12" i="145"/>
  <c r="O25" i="145" s="1"/>
  <c r="O48" i="145" s="1"/>
  <c r="R83" i="145"/>
  <c r="K25" i="145"/>
  <c r="M25" i="145"/>
  <c r="M48" i="145" s="1"/>
  <c r="Q3" i="145"/>
  <c r="R51" i="144"/>
  <c r="R74" i="144"/>
  <c r="R17" i="144"/>
  <c r="R53" i="144"/>
  <c r="R52" i="144"/>
  <c r="R32" i="144"/>
  <c r="R54" i="144"/>
  <c r="R27" i="144"/>
  <c r="R88" i="144"/>
  <c r="R93" i="144"/>
  <c r="R64" i="144"/>
  <c r="R59" i="144"/>
  <c r="G48" i="144"/>
  <c r="G2" i="144" s="1"/>
  <c r="G95" i="144" s="1"/>
  <c r="L25" i="144"/>
  <c r="R56" i="144"/>
  <c r="R26" i="144"/>
  <c r="G70" i="144"/>
  <c r="H70" i="144"/>
  <c r="F83" i="144"/>
  <c r="R12" i="144"/>
  <c r="D86" i="144"/>
  <c r="F86" i="144" s="1"/>
  <c r="R72" i="144"/>
  <c r="N76" i="144"/>
  <c r="N78" i="144" s="1"/>
  <c r="H25" i="144"/>
  <c r="I25" i="144"/>
  <c r="R3" i="144"/>
  <c r="R94" i="144"/>
  <c r="R30" i="144"/>
  <c r="O73" i="144"/>
  <c r="R73" i="144" s="1"/>
  <c r="R15" i="144"/>
  <c r="O52" i="144"/>
  <c r="O74" i="144"/>
  <c r="I37" i="144"/>
  <c r="Q37" i="144"/>
  <c r="R43" i="144"/>
  <c r="L70" i="144"/>
  <c r="J70" i="144"/>
  <c r="R61" i="144"/>
  <c r="I76" i="144"/>
  <c r="I78" i="144" s="1"/>
  <c r="Q45" i="144"/>
  <c r="R45" i="144" s="1"/>
  <c r="M25" i="144"/>
  <c r="D48" i="144"/>
  <c r="R55" i="144"/>
  <c r="N37" i="144"/>
  <c r="R46" i="144"/>
  <c r="Q8" i="144"/>
  <c r="R8" i="144" s="1"/>
  <c r="R5" i="144"/>
  <c r="M70" i="144"/>
  <c r="H92" i="144"/>
  <c r="G92" i="144"/>
  <c r="J92" i="144"/>
  <c r="F92" i="144"/>
  <c r="M92" i="144" s="1"/>
  <c r="L92" i="144"/>
  <c r="N92" i="144" s="1"/>
  <c r="I92" i="144"/>
  <c r="K92" i="144"/>
  <c r="N25" i="144"/>
  <c r="N48" i="144" s="1"/>
  <c r="J25" i="144"/>
  <c r="J48" i="144" s="1"/>
  <c r="R58" i="144"/>
  <c r="O51" i="144"/>
  <c r="F37" i="144"/>
  <c r="J37" i="144"/>
  <c r="F76" i="144"/>
  <c r="F78" i="144" s="1"/>
  <c r="O50" i="144"/>
  <c r="R50" i="144" s="1"/>
  <c r="R44" i="144"/>
  <c r="K70" i="144"/>
  <c r="G76" i="144"/>
  <c r="R42" i="144"/>
  <c r="O25" i="144"/>
  <c r="O48" i="144" s="1"/>
  <c r="Q59" i="144"/>
  <c r="L37" i="144"/>
  <c r="K37" i="144"/>
  <c r="D78" i="144"/>
  <c r="K76" i="144"/>
  <c r="P70" i="144"/>
  <c r="P78" i="144" s="1"/>
  <c r="R77" i="144"/>
  <c r="P25" i="144"/>
  <c r="P48" i="144" s="1"/>
  <c r="P2" i="144" s="1"/>
  <c r="P95" i="144" s="1"/>
  <c r="P91" i="144" s="1"/>
  <c r="R62" i="144"/>
  <c r="G37" i="144"/>
  <c r="L89" i="144"/>
  <c r="R89" i="144" s="1"/>
  <c r="P37" i="144"/>
  <c r="Q47" i="144"/>
  <c r="R47" i="144" s="1"/>
  <c r="O75" i="144"/>
  <c r="R75" i="144" s="1"/>
  <c r="I70" i="144"/>
  <c r="F70" i="144"/>
  <c r="R79" i="144"/>
  <c r="J76" i="144"/>
  <c r="J78" i="144" s="1"/>
  <c r="M76" i="144"/>
  <c r="M78" i="144" s="1"/>
  <c r="K25" i="144"/>
  <c r="F25" i="144"/>
  <c r="F48" i="144" s="1"/>
  <c r="H37" i="144"/>
  <c r="M37" i="144"/>
  <c r="R37" i="144" s="1"/>
  <c r="O49" i="144"/>
  <c r="O70" i="144" s="1"/>
  <c r="N70" i="144"/>
  <c r="R83" i="144"/>
  <c r="L76" i="144"/>
  <c r="L78" i="144" s="1"/>
  <c r="H76" i="144"/>
  <c r="R73" i="143"/>
  <c r="R74" i="143"/>
  <c r="R75" i="143"/>
  <c r="R54" i="143"/>
  <c r="R4" i="143"/>
  <c r="R56" i="143"/>
  <c r="R55" i="143"/>
  <c r="R93" i="143"/>
  <c r="L25" i="143"/>
  <c r="L48" i="143" s="1"/>
  <c r="K70" i="143"/>
  <c r="O66" i="143"/>
  <c r="R66" i="143" s="1"/>
  <c r="R10" i="143"/>
  <c r="R7" i="143"/>
  <c r="N78" i="143"/>
  <c r="F76" i="143"/>
  <c r="F78" i="143" s="1"/>
  <c r="Q5" i="143"/>
  <c r="R5" i="143" s="1"/>
  <c r="D48" i="143"/>
  <c r="G25" i="143"/>
  <c r="G48" i="143" s="1"/>
  <c r="J70" i="143"/>
  <c r="M70" i="143"/>
  <c r="R53" i="143"/>
  <c r="Q55" i="143"/>
  <c r="R52" i="143"/>
  <c r="R9" i="143"/>
  <c r="L90" i="143"/>
  <c r="R90" i="143" s="1"/>
  <c r="L88" i="143"/>
  <c r="R88" i="143" s="1"/>
  <c r="Q54" i="143"/>
  <c r="R59" i="143"/>
  <c r="I76" i="143"/>
  <c r="R71" i="143"/>
  <c r="K92" i="143"/>
  <c r="J92" i="143"/>
  <c r="I92" i="143"/>
  <c r="H92" i="143"/>
  <c r="G92" i="143"/>
  <c r="M92" i="143" s="1"/>
  <c r="L92" i="143"/>
  <c r="F92" i="143"/>
  <c r="M25" i="143"/>
  <c r="M48" i="143" s="1"/>
  <c r="Q93" i="143"/>
  <c r="Q57" i="143"/>
  <c r="R57" i="143" s="1"/>
  <c r="H70" i="143"/>
  <c r="O72" i="143"/>
  <c r="D78" i="143"/>
  <c r="P25" i="143"/>
  <c r="P48" i="143" s="1"/>
  <c r="I25" i="143"/>
  <c r="I48" i="143" s="1"/>
  <c r="I2" i="143" s="1"/>
  <c r="I95" i="143" s="1"/>
  <c r="N70" i="143"/>
  <c r="O75" i="143"/>
  <c r="R42" i="143"/>
  <c r="Q47" i="143"/>
  <c r="R47" i="143" s="1"/>
  <c r="G76" i="143"/>
  <c r="G78" i="143" s="1"/>
  <c r="J76" i="143"/>
  <c r="F25" i="143"/>
  <c r="F48" i="143" s="1"/>
  <c r="N25" i="143"/>
  <c r="N48" i="143" s="1"/>
  <c r="O25" i="143"/>
  <c r="O48" i="143" s="1"/>
  <c r="Q31" i="143"/>
  <c r="R31" i="143" s="1"/>
  <c r="I70" i="143"/>
  <c r="F70" i="143"/>
  <c r="R43" i="143"/>
  <c r="O94" i="143"/>
  <c r="R94" i="143" s="1"/>
  <c r="R17" i="143"/>
  <c r="R45" i="143"/>
  <c r="Q45" i="143"/>
  <c r="M76" i="143"/>
  <c r="R72" i="143"/>
  <c r="H25" i="143"/>
  <c r="H48" i="143" s="1"/>
  <c r="H2" i="143" s="1"/>
  <c r="H95" i="143" s="1"/>
  <c r="K25" i="143"/>
  <c r="K48" i="143" s="1"/>
  <c r="D109" i="143"/>
  <c r="L70" i="143"/>
  <c r="L78" i="143" s="1"/>
  <c r="F83" i="143"/>
  <c r="R83" i="143" s="1"/>
  <c r="R44" i="143"/>
  <c r="D86" i="143"/>
  <c r="F86" i="143" s="1"/>
  <c r="P70" i="143"/>
  <c r="P78" i="143" s="1"/>
  <c r="R37" i="143"/>
  <c r="Q37" i="143"/>
  <c r="H76" i="143"/>
  <c r="K76" i="143"/>
  <c r="J25" i="143"/>
  <c r="J48" i="143" s="1"/>
  <c r="Q3" i="143"/>
  <c r="R3" i="143" s="1"/>
  <c r="O49" i="143"/>
  <c r="R49" i="143" s="1"/>
  <c r="G70" i="143"/>
  <c r="R79" i="143"/>
  <c r="K48" i="142"/>
  <c r="K2" i="142" s="1"/>
  <c r="K95" i="142" s="1"/>
  <c r="K91" i="142" s="1"/>
  <c r="G2" i="142"/>
  <c r="M48" i="142"/>
  <c r="I2" i="142"/>
  <c r="R12" i="142"/>
  <c r="R64" i="142"/>
  <c r="R59" i="142"/>
  <c r="R7" i="142"/>
  <c r="R32" i="142"/>
  <c r="J76" i="142"/>
  <c r="J78" i="142" s="1"/>
  <c r="F76" i="142"/>
  <c r="G70" i="142"/>
  <c r="M92" i="142"/>
  <c r="R73" i="142"/>
  <c r="O94" i="142"/>
  <c r="R94" i="142" s="1"/>
  <c r="R53" i="142"/>
  <c r="N76" i="142"/>
  <c r="O65" i="142"/>
  <c r="R65" i="142" s="1"/>
  <c r="Q29" i="142"/>
  <c r="R58" i="142"/>
  <c r="P93" i="142"/>
  <c r="J93" i="142"/>
  <c r="O93" i="142"/>
  <c r="I93" i="142"/>
  <c r="N93" i="142"/>
  <c r="H93" i="142"/>
  <c r="K93" i="142"/>
  <c r="G93" i="142"/>
  <c r="L93" i="142"/>
  <c r="F93" i="142"/>
  <c r="M93" i="142"/>
  <c r="R13" i="142"/>
  <c r="Q4" i="142"/>
  <c r="R4" i="142" s="1"/>
  <c r="R74" i="142"/>
  <c r="H70" i="142"/>
  <c r="H2" i="142" s="1"/>
  <c r="H95" i="142" s="1"/>
  <c r="H91" i="142" s="1"/>
  <c r="J70" i="142"/>
  <c r="J2" i="142" s="1"/>
  <c r="J95" i="142" s="1"/>
  <c r="Q30" i="142"/>
  <c r="R30" i="142" s="1"/>
  <c r="O75" i="142"/>
  <c r="R75" i="142" s="1"/>
  <c r="O50" i="142"/>
  <c r="R50" i="142" s="1"/>
  <c r="F25" i="142"/>
  <c r="F48" i="142" s="1"/>
  <c r="R14" i="142"/>
  <c r="R8" i="142"/>
  <c r="Q45" i="142"/>
  <c r="R45" i="142" s="1"/>
  <c r="L76" i="142"/>
  <c r="O72" i="142"/>
  <c r="R72" i="142" s="1"/>
  <c r="O12" i="142"/>
  <c r="O25" i="142" s="1"/>
  <c r="F83" i="142"/>
  <c r="R83" i="142" s="1"/>
  <c r="I70" i="142"/>
  <c r="I78" i="142" s="1"/>
  <c r="K70" i="142"/>
  <c r="D48" i="142"/>
  <c r="K78" i="142"/>
  <c r="Q59" i="142"/>
  <c r="Q37" i="142"/>
  <c r="R37" i="142" s="1"/>
  <c r="R56" i="142"/>
  <c r="G76" i="142"/>
  <c r="G78" i="142" s="1"/>
  <c r="R29" i="142"/>
  <c r="R71" i="142"/>
  <c r="R79" i="142"/>
  <c r="N70" i="142"/>
  <c r="F70" i="142"/>
  <c r="L2" i="142"/>
  <c r="D86" i="142"/>
  <c r="F86" i="142" s="1"/>
  <c r="R47" i="142"/>
  <c r="Q47" i="142"/>
  <c r="R17" i="142"/>
  <c r="M70" i="142"/>
  <c r="L88" i="142"/>
  <c r="R43" i="142"/>
  <c r="R46" i="142"/>
  <c r="M76" i="142"/>
  <c r="D78" i="142"/>
  <c r="O49" i="142"/>
  <c r="R49" i="142" s="1"/>
  <c r="L70" i="142"/>
  <c r="R16" i="142"/>
  <c r="M48" i="141"/>
  <c r="G48" i="141"/>
  <c r="G2" i="141" s="1"/>
  <c r="G95" i="141" s="1"/>
  <c r="G91" i="141" s="1"/>
  <c r="R31" i="141"/>
  <c r="I48" i="141"/>
  <c r="R8" i="141"/>
  <c r="R51" i="141"/>
  <c r="O48" i="141"/>
  <c r="R29" i="141"/>
  <c r="H70" i="141"/>
  <c r="H76" i="141"/>
  <c r="H78" i="141" s="1"/>
  <c r="I70" i="141"/>
  <c r="L76" i="141"/>
  <c r="O66" i="141"/>
  <c r="R66" i="141" s="1"/>
  <c r="M70" i="141"/>
  <c r="F70" i="141"/>
  <c r="Q70" i="141" s="1"/>
  <c r="Q78" i="141" s="1"/>
  <c r="I76" i="141"/>
  <c r="L93" i="141"/>
  <c r="F93" i="141"/>
  <c r="R93" i="141" s="1"/>
  <c r="P93" i="141"/>
  <c r="J93" i="141"/>
  <c r="Q93" i="141" s="1"/>
  <c r="O93" i="141"/>
  <c r="I93" i="141"/>
  <c r="H93" i="141"/>
  <c r="G93" i="141"/>
  <c r="K93" i="141"/>
  <c r="N93" i="141"/>
  <c r="M93" i="141"/>
  <c r="R52" i="141"/>
  <c r="Q55" i="141"/>
  <c r="R55" i="141" s="1"/>
  <c r="R28" i="141"/>
  <c r="R30" i="141"/>
  <c r="Q5" i="141"/>
  <c r="R5" i="141" s="1"/>
  <c r="Q29" i="141"/>
  <c r="R12" i="141"/>
  <c r="M92" i="141"/>
  <c r="K76" i="141"/>
  <c r="K78" i="141" s="1"/>
  <c r="F37" i="141"/>
  <c r="N76" i="141"/>
  <c r="L88" i="141"/>
  <c r="R75" i="141"/>
  <c r="Q13" i="141"/>
  <c r="R13" i="141" s="1"/>
  <c r="R43" i="141"/>
  <c r="R53" i="141"/>
  <c r="O94" i="141"/>
  <c r="R94" i="141" s="1"/>
  <c r="F83" i="141"/>
  <c r="R83" i="141" s="1"/>
  <c r="Q37" i="141"/>
  <c r="L70" i="141"/>
  <c r="L2" i="141" s="1"/>
  <c r="R72" i="141"/>
  <c r="R65" i="141"/>
  <c r="R74" i="141"/>
  <c r="D78" i="141"/>
  <c r="O73" i="141"/>
  <c r="R73" i="141" s="1"/>
  <c r="R64" i="141"/>
  <c r="R56" i="141"/>
  <c r="R50" i="141"/>
  <c r="O49" i="141"/>
  <c r="O70" i="141" s="1"/>
  <c r="F48" i="141"/>
  <c r="R14" i="141"/>
  <c r="K70" i="141"/>
  <c r="D48" i="141"/>
  <c r="Q25" i="141"/>
  <c r="R25" i="141" s="1"/>
  <c r="G37" i="141"/>
  <c r="J70" i="141"/>
  <c r="J2" i="141" s="1"/>
  <c r="J95" i="141" s="1"/>
  <c r="J91" i="141" s="1"/>
  <c r="N70" i="141"/>
  <c r="N2" i="141" s="1"/>
  <c r="G76" i="141"/>
  <c r="G78" i="141" s="1"/>
  <c r="K37" i="141"/>
  <c r="K48" i="141" s="1"/>
  <c r="K2" i="141" s="1"/>
  <c r="K95" i="141" s="1"/>
  <c r="F76" i="141"/>
  <c r="F78" i="141" s="1"/>
  <c r="Q45" i="141"/>
  <c r="R45" i="141" s="1"/>
  <c r="D86" i="141"/>
  <c r="F86" i="141" s="1"/>
  <c r="R49" i="141"/>
  <c r="G70" i="141"/>
  <c r="M76" i="141"/>
  <c r="M78" i="141" s="1"/>
  <c r="J76" i="141"/>
  <c r="J78" i="141" s="1"/>
  <c r="R16" i="140"/>
  <c r="R57" i="140"/>
  <c r="R55" i="140"/>
  <c r="Q37" i="140"/>
  <c r="R58" i="140"/>
  <c r="R74" i="140"/>
  <c r="R93" i="140"/>
  <c r="R50" i="140"/>
  <c r="Q5" i="140"/>
  <c r="R5" i="140" s="1"/>
  <c r="R44" i="140"/>
  <c r="L89" i="140"/>
  <c r="R89" i="140" s="1"/>
  <c r="R8" i="140"/>
  <c r="I70" i="140"/>
  <c r="F70" i="140"/>
  <c r="R31" i="140"/>
  <c r="D48" i="140"/>
  <c r="M25" i="140"/>
  <c r="M48" i="140" s="1"/>
  <c r="M2" i="140" s="1"/>
  <c r="O25" i="140"/>
  <c r="O48" i="140" s="1"/>
  <c r="R6" i="140"/>
  <c r="M76" i="140"/>
  <c r="R72" i="140"/>
  <c r="R75" i="140"/>
  <c r="R53" i="140"/>
  <c r="O52" i="140"/>
  <c r="R52" i="140" s="1"/>
  <c r="R66" i="140"/>
  <c r="O51" i="140"/>
  <c r="R51" i="140" s="1"/>
  <c r="L70" i="140"/>
  <c r="F25" i="140"/>
  <c r="F48" i="140" s="1"/>
  <c r="K25" i="140"/>
  <c r="K48" i="140" s="1"/>
  <c r="H76" i="140"/>
  <c r="H78" i="140" s="1"/>
  <c r="K76" i="140"/>
  <c r="K78" i="140" s="1"/>
  <c r="L37" i="140"/>
  <c r="P37" i="140"/>
  <c r="Q57" i="140"/>
  <c r="R54" i="140"/>
  <c r="Q45" i="140"/>
  <c r="R45" i="140" s="1"/>
  <c r="O73" i="140"/>
  <c r="R73" i="140" s="1"/>
  <c r="O64" i="140"/>
  <c r="R64" i="140" s="1"/>
  <c r="O49" i="140"/>
  <c r="G70" i="140"/>
  <c r="R3" i="140"/>
  <c r="Q3" i="140"/>
  <c r="N76" i="140"/>
  <c r="F76" i="140"/>
  <c r="D86" i="140"/>
  <c r="F86" i="140" s="1"/>
  <c r="P70" i="140"/>
  <c r="P78" i="140" s="1"/>
  <c r="R61" i="140"/>
  <c r="J70" i="140"/>
  <c r="M70" i="140"/>
  <c r="G91" i="140"/>
  <c r="J25" i="140"/>
  <c r="J48" i="140" s="1"/>
  <c r="J2" i="140" s="1"/>
  <c r="J95" i="140" s="1"/>
  <c r="J91" i="140" s="1"/>
  <c r="H25" i="140"/>
  <c r="H48" i="140" s="1"/>
  <c r="R43" i="140"/>
  <c r="I76" i="140"/>
  <c r="R71" i="140"/>
  <c r="N37" i="140"/>
  <c r="R37" i="140" s="1"/>
  <c r="R83" i="140"/>
  <c r="Q47" i="140"/>
  <c r="R47" i="140" s="1"/>
  <c r="O65" i="140"/>
  <c r="R65" i="140" s="1"/>
  <c r="Q14" i="140"/>
  <c r="R14" i="140" s="1"/>
  <c r="R46" i="140"/>
  <c r="R49" i="140"/>
  <c r="H70" i="140"/>
  <c r="M92" i="140"/>
  <c r="L25" i="140"/>
  <c r="L48" i="140" s="1"/>
  <c r="L2" i="140" s="1"/>
  <c r="N25" i="140"/>
  <c r="L76" i="140"/>
  <c r="O72" i="140"/>
  <c r="D78" i="140"/>
  <c r="F83" i="140"/>
  <c r="K70" i="140"/>
  <c r="N70" i="140"/>
  <c r="P25" i="140"/>
  <c r="G48" i="140"/>
  <c r="G2" i="140" s="1"/>
  <c r="G95" i="140" s="1"/>
  <c r="I25" i="140"/>
  <c r="I48" i="140" s="1"/>
  <c r="G78" i="140"/>
  <c r="J78" i="140"/>
  <c r="R3" i="139"/>
  <c r="R6" i="139"/>
  <c r="R31" i="139"/>
  <c r="R75" i="139"/>
  <c r="R77" i="139"/>
  <c r="R16" i="139"/>
  <c r="R56" i="139"/>
  <c r="O70" i="139"/>
  <c r="Q16" i="139"/>
  <c r="Q47" i="139"/>
  <c r="R47" i="139" s="1"/>
  <c r="O48" i="139"/>
  <c r="L25" i="139"/>
  <c r="L48" i="139" s="1"/>
  <c r="L2" i="139" s="1"/>
  <c r="K70" i="139"/>
  <c r="L76" i="139"/>
  <c r="D78" i="139"/>
  <c r="K92" i="139"/>
  <c r="J92" i="139"/>
  <c r="G92" i="139"/>
  <c r="L92" i="139"/>
  <c r="F92" i="139"/>
  <c r="I92" i="139"/>
  <c r="H92" i="139"/>
  <c r="R44" i="139"/>
  <c r="Q59" i="139"/>
  <c r="R59" i="139" s="1"/>
  <c r="R28" i="139"/>
  <c r="Q28" i="139"/>
  <c r="G25" i="139"/>
  <c r="G48" i="139" s="1"/>
  <c r="R79" i="139"/>
  <c r="L70" i="139"/>
  <c r="G70" i="139"/>
  <c r="R62" i="139"/>
  <c r="I76" i="139"/>
  <c r="G76" i="139"/>
  <c r="Q55" i="139"/>
  <c r="R55" i="139" s="1"/>
  <c r="R61" i="139"/>
  <c r="P25" i="139"/>
  <c r="P48" i="139" s="1"/>
  <c r="P2" i="139" s="1"/>
  <c r="P95" i="139" s="1"/>
  <c r="H25" i="139"/>
  <c r="H48" i="139" s="1"/>
  <c r="I70" i="139"/>
  <c r="M70" i="139"/>
  <c r="Q45" i="139"/>
  <c r="R45" i="139" s="1"/>
  <c r="H78" i="139"/>
  <c r="M76" i="139"/>
  <c r="M78" i="139" s="1"/>
  <c r="D109" i="139"/>
  <c r="R46" i="139"/>
  <c r="L37" i="139"/>
  <c r="D48" i="139"/>
  <c r="N25" i="139"/>
  <c r="N48" i="139" s="1"/>
  <c r="R83" i="139"/>
  <c r="N77" i="139"/>
  <c r="H70" i="139"/>
  <c r="R42" i="139"/>
  <c r="O52" i="139"/>
  <c r="R52" i="139" s="1"/>
  <c r="N76" i="139"/>
  <c r="J76" i="139"/>
  <c r="R88" i="139"/>
  <c r="M25" i="139"/>
  <c r="M48" i="139" s="1"/>
  <c r="M2" i="139" s="1"/>
  <c r="K25" i="139"/>
  <c r="K48" i="139" s="1"/>
  <c r="N70" i="139"/>
  <c r="O72" i="139"/>
  <c r="R72" i="139"/>
  <c r="R14" i="139"/>
  <c r="I25" i="139"/>
  <c r="I48" i="139" s="1"/>
  <c r="I2" i="139" s="1"/>
  <c r="L93" i="139"/>
  <c r="F93" i="139"/>
  <c r="Q93" i="139" s="1"/>
  <c r="K93" i="139"/>
  <c r="N93" i="139"/>
  <c r="H93" i="139"/>
  <c r="M93" i="139"/>
  <c r="G93" i="139"/>
  <c r="P93" i="139"/>
  <c r="J93" i="139"/>
  <c r="I93" i="139"/>
  <c r="O93" i="139"/>
  <c r="L89" i="139"/>
  <c r="R89" i="139" s="1"/>
  <c r="F25" i="139"/>
  <c r="F48" i="139" s="1"/>
  <c r="F2" i="139" s="1"/>
  <c r="J25" i="139"/>
  <c r="J48" i="139" s="1"/>
  <c r="Q3" i="139"/>
  <c r="O75" i="139"/>
  <c r="F70" i="139"/>
  <c r="J70" i="139"/>
  <c r="K76" i="139"/>
  <c r="K78" i="139" s="1"/>
  <c r="I48" i="138"/>
  <c r="R65" i="138"/>
  <c r="R93" i="138"/>
  <c r="R57" i="138"/>
  <c r="R58" i="138"/>
  <c r="G78" i="138"/>
  <c r="R51" i="138"/>
  <c r="R61" i="138"/>
  <c r="J78" i="138"/>
  <c r="R66" i="138"/>
  <c r="K70" i="138"/>
  <c r="K78" i="138" s="1"/>
  <c r="L48" i="138"/>
  <c r="O73" i="138"/>
  <c r="R73" i="138"/>
  <c r="R75" i="138"/>
  <c r="R36" i="138"/>
  <c r="R5" i="138"/>
  <c r="F70" i="138"/>
  <c r="H70" i="138"/>
  <c r="H78" i="138" s="1"/>
  <c r="N37" i="138"/>
  <c r="N48" i="138" s="1"/>
  <c r="R83" i="138"/>
  <c r="O51" i="138"/>
  <c r="N77" i="138"/>
  <c r="R77" i="138" s="1"/>
  <c r="R88" i="138"/>
  <c r="I70" i="138"/>
  <c r="J70" i="138"/>
  <c r="O53" i="138"/>
  <c r="R53" i="138" s="1"/>
  <c r="I37" i="138"/>
  <c r="Q47" i="138"/>
  <c r="R47" i="138"/>
  <c r="N62" i="138"/>
  <c r="R62" i="138" s="1"/>
  <c r="I76" i="138"/>
  <c r="O65" i="138"/>
  <c r="D86" i="138"/>
  <c r="F86" i="138" s="1"/>
  <c r="Q61" i="138"/>
  <c r="J92" i="138"/>
  <c r="G92" i="138"/>
  <c r="F92" i="138"/>
  <c r="L92" i="138"/>
  <c r="I92" i="138"/>
  <c r="H92" i="138"/>
  <c r="K92" i="138"/>
  <c r="D48" i="138"/>
  <c r="Q25" i="138"/>
  <c r="D78" i="138"/>
  <c r="Q30" i="138"/>
  <c r="R30" i="138" s="1"/>
  <c r="M2" i="138"/>
  <c r="R45" i="138"/>
  <c r="Q45" i="138"/>
  <c r="F37" i="138"/>
  <c r="F48" i="138" s="1"/>
  <c r="F2" i="138" s="1"/>
  <c r="D109" i="138"/>
  <c r="R79" i="138"/>
  <c r="G48" i="138"/>
  <c r="G2" i="138" s="1"/>
  <c r="G95" i="138" s="1"/>
  <c r="L70" i="138"/>
  <c r="L78" i="138" s="1"/>
  <c r="R8" i="138"/>
  <c r="Q26" i="138"/>
  <c r="R26" i="138" s="1"/>
  <c r="P37" i="138"/>
  <c r="P48" i="138" s="1"/>
  <c r="P2" i="138" s="1"/>
  <c r="P95" i="138" s="1"/>
  <c r="P91" i="138" s="1"/>
  <c r="O48" i="138"/>
  <c r="O49" i="138"/>
  <c r="O70" i="138" s="1"/>
  <c r="G70" i="138"/>
  <c r="F76" i="138"/>
  <c r="F78" i="138" s="1"/>
  <c r="J37" i="138"/>
  <c r="J48" i="138" s="1"/>
  <c r="J2" i="138" s="1"/>
  <c r="J95" i="138" s="1"/>
  <c r="H37" i="138"/>
  <c r="H48" i="138" s="1"/>
  <c r="H2" i="138" s="1"/>
  <c r="H95" i="138" s="1"/>
  <c r="L90" i="138"/>
  <c r="R90" i="138" s="1"/>
  <c r="L95" i="140" l="1"/>
  <c r="L91" i="140" s="1"/>
  <c r="L87" i="140" s="1"/>
  <c r="L95" i="151"/>
  <c r="L91" i="151" s="1"/>
  <c r="L95" i="156"/>
  <c r="L91" i="156" s="1"/>
  <c r="L109" i="156" s="1"/>
  <c r="I20" i="239" s="1"/>
  <c r="L95" i="164"/>
  <c r="L91" i="164" s="1"/>
  <c r="L109" i="164" s="1"/>
  <c r="I28" i="239" s="1"/>
  <c r="L95" i="166"/>
  <c r="L91" i="166" s="1"/>
  <c r="L109" i="166" s="1"/>
  <c r="I30" i="239" s="1"/>
  <c r="L95" i="139"/>
  <c r="L91" i="139" s="1"/>
  <c r="L109" i="139" s="1"/>
  <c r="L95" i="141"/>
  <c r="L91" i="141" s="1"/>
  <c r="L109" i="141" s="1"/>
  <c r="L95" i="165"/>
  <c r="L91" i="165" s="1"/>
  <c r="L109" i="165" s="1"/>
  <c r="I29" i="239" s="1"/>
  <c r="L95" i="172"/>
  <c r="L91" i="172" s="1"/>
  <c r="L109" i="172" s="1"/>
  <c r="I36" i="239" s="1"/>
  <c r="L95" i="171"/>
  <c r="L91" i="171" s="1"/>
  <c r="L95" i="149"/>
  <c r="L91" i="149" s="1"/>
  <c r="L95" i="155"/>
  <c r="L91" i="155" s="1"/>
  <c r="L95" i="162"/>
  <c r="L91" i="162" s="1"/>
  <c r="L95" i="167"/>
  <c r="L91" i="167" s="1"/>
  <c r="L109" i="167" s="1"/>
  <c r="I31" i="239" s="1"/>
  <c r="L95" i="148"/>
  <c r="L91" i="148" s="1"/>
  <c r="L109" i="148" s="1"/>
  <c r="R89" i="167"/>
  <c r="M87" i="172"/>
  <c r="M109" i="172"/>
  <c r="K87" i="172"/>
  <c r="K109" i="172"/>
  <c r="H87" i="172"/>
  <c r="H109" i="172"/>
  <c r="I109" i="172"/>
  <c r="I87" i="172"/>
  <c r="G87" i="172"/>
  <c r="G109" i="172"/>
  <c r="J109" i="172"/>
  <c r="J87" i="172"/>
  <c r="P109" i="172"/>
  <c r="P87" i="172"/>
  <c r="R37" i="172"/>
  <c r="H78" i="172"/>
  <c r="R78" i="172" s="1"/>
  <c r="O76" i="172"/>
  <c r="O78" i="172" s="1"/>
  <c r="F48" i="172"/>
  <c r="F2" i="172" s="1"/>
  <c r="Q25" i="172"/>
  <c r="Q48" i="172" s="1"/>
  <c r="Q2" i="172" s="1"/>
  <c r="Q95" i="172" s="1"/>
  <c r="Q91" i="172" s="1"/>
  <c r="R25" i="172"/>
  <c r="R48" i="172" s="1"/>
  <c r="R49" i="172"/>
  <c r="N2" i="172"/>
  <c r="N95" i="172" s="1"/>
  <c r="N91" i="172" s="1"/>
  <c r="F78" i="172"/>
  <c r="P109" i="171"/>
  <c r="P87" i="171"/>
  <c r="Q70" i="171"/>
  <c r="Q78" i="171" s="1"/>
  <c r="K91" i="171"/>
  <c r="F78" i="171"/>
  <c r="R78" i="171" s="1"/>
  <c r="Q37" i="171"/>
  <c r="R37" i="171" s="1"/>
  <c r="I48" i="171"/>
  <c r="I2" i="171" s="1"/>
  <c r="I95" i="171" s="1"/>
  <c r="O25" i="171"/>
  <c r="O48" i="171" s="1"/>
  <c r="M91" i="171"/>
  <c r="G91" i="171"/>
  <c r="O76" i="171"/>
  <c r="O78" i="171" s="1"/>
  <c r="O70" i="171"/>
  <c r="R70" i="171" s="1"/>
  <c r="H91" i="171"/>
  <c r="I91" i="171"/>
  <c r="N92" i="171"/>
  <c r="R92" i="171"/>
  <c r="F2" i="171"/>
  <c r="J91" i="171"/>
  <c r="R76" i="170"/>
  <c r="P109" i="170"/>
  <c r="P87" i="170"/>
  <c r="O2" i="170"/>
  <c r="O95" i="170" s="1"/>
  <c r="O91" i="170" s="1"/>
  <c r="H78" i="170"/>
  <c r="J2" i="170"/>
  <c r="J95" i="170" s="1"/>
  <c r="J91" i="170" s="1"/>
  <c r="G78" i="170"/>
  <c r="N78" i="170"/>
  <c r="M78" i="170"/>
  <c r="O76" i="170"/>
  <c r="O78" i="170" s="1"/>
  <c r="M92" i="170"/>
  <c r="Q37" i="170"/>
  <c r="R37" i="170"/>
  <c r="K95" i="170"/>
  <c r="K91" i="170" s="1"/>
  <c r="H91" i="170"/>
  <c r="I2" i="170"/>
  <c r="I95" i="170" s="1"/>
  <c r="Q25" i="170"/>
  <c r="Q48" i="170" s="1"/>
  <c r="Q70" i="170"/>
  <c r="Q78" i="170" s="1"/>
  <c r="F78" i="170"/>
  <c r="R78" i="170" s="1"/>
  <c r="G2" i="170"/>
  <c r="G95" i="170" s="1"/>
  <c r="G91" i="170" s="1"/>
  <c r="N2" i="170"/>
  <c r="R25" i="170"/>
  <c r="L91" i="170"/>
  <c r="I91" i="170"/>
  <c r="K78" i="170"/>
  <c r="F48" i="170"/>
  <c r="F2" i="170" s="1"/>
  <c r="J87" i="169"/>
  <c r="J109" i="169"/>
  <c r="R78" i="169"/>
  <c r="G87" i="169"/>
  <c r="G109" i="169"/>
  <c r="H87" i="169"/>
  <c r="H109" i="169"/>
  <c r="P87" i="169"/>
  <c r="P109" i="169"/>
  <c r="L109" i="169"/>
  <c r="I33" i="239" s="1"/>
  <c r="L87" i="169"/>
  <c r="Q70" i="169"/>
  <c r="Q78" i="169" s="1"/>
  <c r="O2" i="169"/>
  <c r="O95" i="169" s="1"/>
  <c r="O91" i="169" s="1"/>
  <c r="I2" i="169"/>
  <c r="I95" i="169" s="1"/>
  <c r="I91" i="169" s="1"/>
  <c r="R70" i="169"/>
  <c r="F2" i="169"/>
  <c r="M91" i="169"/>
  <c r="Q37" i="169"/>
  <c r="N91" i="169"/>
  <c r="R15" i="169"/>
  <c r="R37" i="169"/>
  <c r="R76" i="169"/>
  <c r="K87" i="169"/>
  <c r="K109" i="169"/>
  <c r="Q25" i="169"/>
  <c r="R25" i="169" s="1"/>
  <c r="R48" i="169" s="1"/>
  <c r="R92" i="169"/>
  <c r="J109" i="168"/>
  <c r="J87" i="168"/>
  <c r="R92" i="168"/>
  <c r="R37" i="168"/>
  <c r="P109" i="168"/>
  <c r="P87" i="168"/>
  <c r="G48" i="168"/>
  <c r="G2" i="168" s="1"/>
  <c r="G95" i="168" s="1"/>
  <c r="G91" i="168" s="1"/>
  <c r="K2" i="168"/>
  <c r="K95" i="168" s="1"/>
  <c r="K91" i="168" s="1"/>
  <c r="K78" i="168"/>
  <c r="N48" i="168"/>
  <c r="N2" i="168" s="1"/>
  <c r="N95" i="168" s="1"/>
  <c r="O48" i="168"/>
  <c r="L78" i="168"/>
  <c r="M2" i="168"/>
  <c r="M95" i="168" s="1"/>
  <c r="R88" i="168"/>
  <c r="H78" i="168"/>
  <c r="M78" i="168"/>
  <c r="N92" i="168"/>
  <c r="I2" i="168"/>
  <c r="I95" i="168" s="1"/>
  <c r="I91" i="168" s="1"/>
  <c r="H48" i="168"/>
  <c r="H2" i="168" s="1"/>
  <c r="H95" i="168" s="1"/>
  <c r="H91" i="168" s="1"/>
  <c r="O70" i="168"/>
  <c r="F48" i="168"/>
  <c r="F2" i="168" s="1"/>
  <c r="O76" i="168"/>
  <c r="O78" i="168" s="1"/>
  <c r="N78" i="168"/>
  <c r="M91" i="168"/>
  <c r="L2" i="168"/>
  <c r="L95" i="168" s="1"/>
  <c r="L91" i="168" s="1"/>
  <c r="L109" i="168" s="1"/>
  <c r="I32" i="239" s="1"/>
  <c r="Q25" i="168"/>
  <c r="F95" i="167"/>
  <c r="J87" i="167"/>
  <c r="J109" i="167"/>
  <c r="I109" i="167"/>
  <c r="I87" i="167"/>
  <c r="R37" i="167"/>
  <c r="H87" i="167"/>
  <c r="H109" i="167"/>
  <c r="K87" i="167"/>
  <c r="K109" i="167"/>
  <c r="R92" i="167"/>
  <c r="Q37" i="167"/>
  <c r="N2" i="167"/>
  <c r="N95" i="167" s="1"/>
  <c r="N91" i="167" s="1"/>
  <c r="O76" i="167"/>
  <c r="O78" i="167" s="1"/>
  <c r="P91" i="167"/>
  <c r="M91" i="167"/>
  <c r="R93" i="167"/>
  <c r="G48" i="167"/>
  <c r="G2" i="167" s="1"/>
  <c r="G95" i="167" s="1"/>
  <c r="G91" i="167" s="1"/>
  <c r="I78" i="167"/>
  <c r="R49" i="167"/>
  <c r="G78" i="167"/>
  <c r="Q25" i="167"/>
  <c r="F78" i="167"/>
  <c r="L78" i="167"/>
  <c r="Q70" i="167"/>
  <c r="K78" i="167"/>
  <c r="I109" i="166"/>
  <c r="I87" i="166"/>
  <c r="J87" i="166"/>
  <c r="J109" i="166"/>
  <c r="K87" i="166"/>
  <c r="K109" i="166"/>
  <c r="G87" i="166"/>
  <c r="G109" i="166"/>
  <c r="N91" i="166"/>
  <c r="R92" i="166"/>
  <c r="Q25" i="166"/>
  <c r="Q48" i="166" s="1"/>
  <c r="F95" i="166"/>
  <c r="H87" i="166"/>
  <c r="H109" i="166"/>
  <c r="R25" i="166"/>
  <c r="R48" i="166" s="1"/>
  <c r="M91" i="166"/>
  <c r="O2" i="166"/>
  <c r="O95" i="166" s="1"/>
  <c r="O91" i="166" s="1"/>
  <c r="R76" i="166"/>
  <c r="Q70" i="166"/>
  <c r="Q78" i="166" s="1"/>
  <c r="R78" i="166" s="1"/>
  <c r="R88" i="166"/>
  <c r="P2" i="166"/>
  <c r="P95" i="166" s="1"/>
  <c r="P91" i="166" s="1"/>
  <c r="N2" i="166"/>
  <c r="N95" i="166" s="1"/>
  <c r="J2" i="165"/>
  <c r="J95" i="165" s="1"/>
  <c r="J91" i="165" s="1"/>
  <c r="I78" i="165"/>
  <c r="K48" i="165"/>
  <c r="K2" i="165" s="1"/>
  <c r="K95" i="165" s="1"/>
  <c r="K91" i="165" s="1"/>
  <c r="N48" i="165"/>
  <c r="N2" i="165" s="1"/>
  <c r="F78" i="165"/>
  <c r="P91" i="165"/>
  <c r="M48" i="165"/>
  <c r="M2" i="165" s="1"/>
  <c r="M95" i="165" s="1"/>
  <c r="H91" i="165"/>
  <c r="R25" i="165"/>
  <c r="R48" i="165" s="1"/>
  <c r="O76" i="165"/>
  <c r="G91" i="165"/>
  <c r="Q25" i="165"/>
  <c r="Q48" i="165" s="1"/>
  <c r="Q2" i="165" s="1"/>
  <c r="Q95" i="165" s="1"/>
  <c r="Q91" i="165" s="1"/>
  <c r="F2" i="165"/>
  <c r="I48" i="165"/>
  <c r="I2" i="165" s="1"/>
  <c r="I95" i="165" s="1"/>
  <c r="I91" i="165" s="1"/>
  <c r="M92" i="165"/>
  <c r="R37" i="164"/>
  <c r="J87" i="164"/>
  <c r="J109" i="164"/>
  <c r="I87" i="164"/>
  <c r="I109" i="164"/>
  <c r="G109" i="164"/>
  <c r="G87" i="164"/>
  <c r="M78" i="164"/>
  <c r="H48" i="164"/>
  <c r="H2" i="164" s="1"/>
  <c r="H95" i="164" s="1"/>
  <c r="H91" i="164" s="1"/>
  <c r="F48" i="164"/>
  <c r="F2" i="164" s="1"/>
  <c r="R25" i="164"/>
  <c r="R48" i="164" s="1"/>
  <c r="Q25" i="164"/>
  <c r="Q48" i="164" s="1"/>
  <c r="F78" i="164"/>
  <c r="J78" i="164"/>
  <c r="O76" i="164"/>
  <c r="N78" i="164"/>
  <c r="K2" i="164"/>
  <c r="K95" i="164" s="1"/>
  <c r="K91" i="164" s="1"/>
  <c r="P48" i="164"/>
  <c r="P2" i="164" s="1"/>
  <c r="P95" i="164" s="1"/>
  <c r="P91" i="164" s="1"/>
  <c r="N91" i="164"/>
  <c r="M91" i="164"/>
  <c r="O70" i="164"/>
  <c r="O48" i="164"/>
  <c r="R88" i="164"/>
  <c r="L48" i="163"/>
  <c r="L2" i="163" s="1"/>
  <c r="L95" i="163" s="1"/>
  <c r="L91" i="163" s="1"/>
  <c r="L109" i="163" s="1"/>
  <c r="I27" i="239" s="1"/>
  <c r="R92" i="163"/>
  <c r="R76" i="163"/>
  <c r="F2" i="163"/>
  <c r="K91" i="163"/>
  <c r="I91" i="163"/>
  <c r="R49" i="163"/>
  <c r="O76" i="163"/>
  <c r="O78" i="163" s="1"/>
  <c r="I48" i="163"/>
  <c r="I2" i="163" s="1"/>
  <c r="I95" i="163" s="1"/>
  <c r="G91" i="163"/>
  <c r="R24" i="163"/>
  <c r="H78" i="163"/>
  <c r="M48" i="163"/>
  <c r="M2" i="163" s="1"/>
  <c r="M95" i="163" s="1"/>
  <c r="M91" i="163" s="1"/>
  <c r="N70" i="163"/>
  <c r="N78" i="163" s="1"/>
  <c r="J91" i="163"/>
  <c r="H91" i="163"/>
  <c r="P2" i="163"/>
  <c r="P95" i="163" s="1"/>
  <c r="P91" i="163" s="1"/>
  <c r="Q25" i="163"/>
  <c r="Q48" i="163" s="1"/>
  <c r="N92" i="163"/>
  <c r="M95" i="162"/>
  <c r="M92" i="162"/>
  <c r="O70" i="162"/>
  <c r="Q70" i="162" s="1"/>
  <c r="J2" i="162"/>
  <c r="J95" i="162" s="1"/>
  <c r="J91" i="162" s="1"/>
  <c r="O76" i="162"/>
  <c r="M78" i="162"/>
  <c r="G91" i="162"/>
  <c r="H2" i="162"/>
  <c r="H95" i="162" s="1"/>
  <c r="H91" i="162" s="1"/>
  <c r="L78" i="162"/>
  <c r="I91" i="162"/>
  <c r="F95" i="162"/>
  <c r="F91" i="162" s="1"/>
  <c r="P2" i="162"/>
  <c r="P95" i="162" s="1"/>
  <c r="P91" i="162" s="1"/>
  <c r="Q37" i="162"/>
  <c r="R37" i="162" s="1"/>
  <c r="R48" i="162" s="1"/>
  <c r="R94" i="162"/>
  <c r="Q48" i="162"/>
  <c r="K2" i="162"/>
  <c r="K95" i="162" s="1"/>
  <c r="K91" i="162" s="1"/>
  <c r="N2" i="162"/>
  <c r="R70" i="161"/>
  <c r="N92" i="161"/>
  <c r="O2" i="161"/>
  <c r="O95" i="161" s="1"/>
  <c r="O91" i="161" s="1"/>
  <c r="M95" i="161"/>
  <c r="M92" i="161"/>
  <c r="J78" i="161"/>
  <c r="R78" i="161" s="1"/>
  <c r="H2" i="161"/>
  <c r="H95" i="161" s="1"/>
  <c r="H91" i="161" s="1"/>
  <c r="R49" i="161"/>
  <c r="K91" i="161"/>
  <c r="J91" i="161"/>
  <c r="I91" i="161"/>
  <c r="Q37" i="161"/>
  <c r="R37" i="161" s="1"/>
  <c r="O76" i="161"/>
  <c r="O78" i="161" s="1"/>
  <c r="L2" i="161"/>
  <c r="L95" i="161" s="1"/>
  <c r="L91" i="161" s="1"/>
  <c r="L109" i="161" s="1"/>
  <c r="I25" i="239" s="1"/>
  <c r="R92" i="161"/>
  <c r="F48" i="161"/>
  <c r="F2" i="161" s="1"/>
  <c r="R25" i="161"/>
  <c r="Q25" i="161"/>
  <c r="R76" i="161"/>
  <c r="G2" i="161"/>
  <c r="G95" i="161" s="1"/>
  <c r="G91" i="161" s="1"/>
  <c r="P2" i="161"/>
  <c r="P95" i="161" s="1"/>
  <c r="P91" i="161" s="1"/>
  <c r="R88" i="161"/>
  <c r="L48" i="160"/>
  <c r="L2" i="160" s="1"/>
  <c r="L95" i="160" s="1"/>
  <c r="L91" i="160" s="1"/>
  <c r="L109" i="160" s="1"/>
  <c r="I24" i="239" s="1"/>
  <c r="Q25" i="160"/>
  <c r="Q48" i="160" s="1"/>
  <c r="Q2" i="160" s="1"/>
  <c r="Q95" i="160" s="1"/>
  <c r="Q91" i="160" s="1"/>
  <c r="R25" i="160"/>
  <c r="R48" i="160" s="1"/>
  <c r="M95" i="160"/>
  <c r="M91" i="160" s="1"/>
  <c r="I95" i="160"/>
  <c r="G91" i="160"/>
  <c r="N48" i="160"/>
  <c r="N2" i="160" s="1"/>
  <c r="N95" i="160" s="1"/>
  <c r="R49" i="160"/>
  <c r="R15" i="160"/>
  <c r="N92" i="160"/>
  <c r="Q70" i="160"/>
  <c r="Q78" i="160" s="1"/>
  <c r="R92" i="160"/>
  <c r="H2" i="160"/>
  <c r="H95" i="160" s="1"/>
  <c r="H91" i="160" s="1"/>
  <c r="R37" i="160"/>
  <c r="O76" i="160"/>
  <c r="O78" i="160" s="1"/>
  <c r="R88" i="160"/>
  <c r="I91" i="160"/>
  <c r="G48" i="160"/>
  <c r="G2" i="160" s="1"/>
  <c r="G95" i="160" s="1"/>
  <c r="F48" i="160"/>
  <c r="F2" i="160" s="1"/>
  <c r="R93" i="160"/>
  <c r="G78" i="160"/>
  <c r="R78" i="160"/>
  <c r="O2" i="160"/>
  <c r="O95" i="160" s="1"/>
  <c r="O91" i="160" s="1"/>
  <c r="J91" i="160"/>
  <c r="P2" i="160"/>
  <c r="P95" i="160" s="1"/>
  <c r="P91" i="160" s="1"/>
  <c r="K95" i="160"/>
  <c r="K91" i="160" s="1"/>
  <c r="J48" i="160"/>
  <c r="J2" i="160" s="1"/>
  <c r="J95" i="160" s="1"/>
  <c r="R76" i="160"/>
  <c r="R37" i="159"/>
  <c r="L109" i="159"/>
  <c r="I23" i="239" s="1"/>
  <c r="L87" i="159"/>
  <c r="I2" i="159"/>
  <c r="I95" i="159" s="1"/>
  <c r="I91" i="159" s="1"/>
  <c r="G78" i="159"/>
  <c r="N95" i="159"/>
  <c r="L78" i="159"/>
  <c r="I78" i="159"/>
  <c r="R92" i="159"/>
  <c r="J48" i="159"/>
  <c r="J2" i="159" s="1"/>
  <c r="J95" i="159" s="1"/>
  <c r="J91" i="159" s="1"/>
  <c r="O70" i="159"/>
  <c r="R70" i="159" s="1"/>
  <c r="F48" i="159"/>
  <c r="F2" i="159" s="1"/>
  <c r="O76" i="159"/>
  <c r="M2" i="159"/>
  <c r="M95" i="159" s="1"/>
  <c r="M91" i="159" s="1"/>
  <c r="J78" i="159"/>
  <c r="Q70" i="159"/>
  <c r="Q78" i="159" s="1"/>
  <c r="H48" i="159"/>
  <c r="H2" i="159" s="1"/>
  <c r="H95" i="159" s="1"/>
  <c r="H91" i="159" s="1"/>
  <c r="G48" i="159"/>
  <c r="G2" i="159" s="1"/>
  <c r="G95" i="159" s="1"/>
  <c r="G91" i="159" s="1"/>
  <c r="K95" i="159"/>
  <c r="K91" i="159" s="1"/>
  <c r="M78" i="159"/>
  <c r="H78" i="159"/>
  <c r="Q25" i="159"/>
  <c r="Q48" i="159" s="1"/>
  <c r="Q2" i="159" s="1"/>
  <c r="Q95" i="159" s="1"/>
  <c r="Q91" i="159" s="1"/>
  <c r="N92" i="159"/>
  <c r="F78" i="159"/>
  <c r="P91" i="159"/>
  <c r="R37" i="158"/>
  <c r="P109" i="158"/>
  <c r="P87" i="158"/>
  <c r="N95" i="158"/>
  <c r="M91" i="158"/>
  <c r="Q48" i="158"/>
  <c r="G48" i="158"/>
  <c r="G2" i="158" s="1"/>
  <c r="G95" i="158" s="1"/>
  <c r="G91" i="158" s="1"/>
  <c r="J78" i="158"/>
  <c r="J91" i="158"/>
  <c r="R25" i="158"/>
  <c r="R48" i="158" s="1"/>
  <c r="G78" i="158"/>
  <c r="K78" i="158"/>
  <c r="K91" i="158"/>
  <c r="O76" i="158"/>
  <c r="R76" i="158" s="1"/>
  <c r="F48" i="158"/>
  <c r="F2" i="158" s="1"/>
  <c r="O70" i="158"/>
  <c r="Q70" i="158" s="1"/>
  <c r="Q78" i="158" s="1"/>
  <c r="N92" i="158"/>
  <c r="O48" i="158"/>
  <c r="H2" i="158"/>
  <c r="H95" i="158" s="1"/>
  <c r="H91" i="158" s="1"/>
  <c r="H78" i="158"/>
  <c r="L91" i="158"/>
  <c r="I91" i="158"/>
  <c r="R76" i="157"/>
  <c r="P48" i="157"/>
  <c r="P2" i="157" s="1"/>
  <c r="P95" i="157" s="1"/>
  <c r="I48" i="157"/>
  <c r="I2" i="157" s="1"/>
  <c r="I95" i="157" s="1"/>
  <c r="I91" i="157" s="1"/>
  <c r="R49" i="157"/>
  <c r="O76" i="157"/>
  <c r="O78" i="157" s="1"/>
  <c r="Q25" i="157"/>
  <c r="Q48" i="157" s="1"/>
  <c r="Q2" i="157" s="1"/>
  <c r="Q95" i="157" s="1"/>
  <c r="Q91" i="157" s="1"/>
  <c r="L91" i="157"/>
  <c r="R78" i="157"/>
  <c r="R93" i="157"/>
  <c r="G91" i="157"/>
  <c r="P91" i="157"/>
  <c r="M92" i="157"/>
  <c r="N92" i="157" s="1"/>
  <c r="K91" i="157"/>
  <c r="M48" i="157"/>
  <c r="M2" i="157" s="1"/>
  <c r="G78" i="157"/>
  <c r="K95" i="157"/>
  <c r="O2" i="157"/>
  <c r="O95" i="157" s="1"/>
  <c r="O91" i="157" s="1"/>
  <c r="F2" i="157"/>
  <c r="J2" i="157"/>
  <c r="J95" i="157" s="1"/>
  <c r="J91" i="157" s="1"/>
  <c r="H95" i="157"/>
  <c r="H91" i="157" s="1"/>
  <c r="R37" i="156"/>
  <c r="H91" i="156"/>
  <c r="O70" i="156"/>
  <c r="R70" i="156" s="1"/>
  <c r="M48" i="156"/>
  <c r="M2" i="156" s="1"/>
  <c r="M95" i="156" s="1"/>
  <c r="F2" i="156"/>
  <c r="N48" i="156"/>
  <c r="N2" i="156" s="1"/>
  <c r="H95" i="156"/>
  <c r="I78" i="156"/>
  <c r="R78" i="156" s="1"/>
  <c r="K91" i="156"/>
  <c r="P2" i="156"/>
  <c r="P95" i="156" s="1"/>
  <c r="P91" i="156" s="1"/>
  <c r="J2" i="156"/>
  <c r="J95" i="156" s="1"/>
  <c r="J91" i="156" s="1"/>
  <c r="Q70" i="156"/>
  <c r="Q78" i="156" s="1"/>
  <c r="I91" i="156"/>
  <c r="Q25" i="156"/>
  <c r="Q48" i="156" s="1"/>
  <c r="M78" i="156"/>
  <c r="L78" i="156"/>
  <c r="O78" i="156"/>
  <c r="R88" i="156"/>
  <c r="R76" i="156"/>
  <c r="G48" i="156"/>
  <c r="G2" i="156" s="1"/>
  <c r="G95" i="156" s="1"/>
  <c r="G91" i="156" s="1"/>
  <c r="I2" i="156"/>
  <c r="I95" i="156" s="1"/>
  <c r="R93" i="156"/>
  <c r="M92" i="156"/>
  <c r="R25" i="156"/>
  <c r="R48" i="156" s="1"/>
  <c r="O2" i="156"/>
  <c r="O95" i="156" s="1"/>
  <c r="O91" i="156" s="1"/>
  <c r="R70" i="155"/>
  <c r="M95" i="155"/>
  <c r="J48" i="155"/>
  <c r="J2" i="155" s="1"/>
  <c r="J95" i="155" s="1"/>
  <c r="J91" i="155" s="1"/>
  <c r="F78" i="155"/>
  <c r="P48" i="155"/>
  <c r="P2" i="155" s="1"/>
  <c r="P95" i="155" s="1"/>
  <c r="P91" i="155" s="1"/>
  <c r="Q37" i="155"/>
  <c r="R37" i="155" s="1"/>
  <c r="H91" i="155"/>
  <c r="G91" i="155"/>
  <c r="I48" i="155"/>
  <c r="I2" i="155" s="1"/>
  <c r="I95" i="155" s="1"/>
  <c r="Q70" i="155"/>
  <c r="Q78" i="155" s="1"/>
  <c r="R25" i="155"/>
  <c r="M92" i="155"/>
  <c r="N48" i="155"/>
  <c r="N2" i="155" s="1"/>
  <c r="Q25" i="155"/>
  <c r="Q48" i="155" s="1"/>
  <c r="N92" i="155"/>
  <c r="R92" i="155" s="1"/>
  <c r="I91" i="155"/>
  <c r="K2" i="155"/>
  <c r="K95" i="155" s="1"/>
  <c r="K91" i="155" s="1"/>
  <c r="O76" i="155"/>
  <c r="O78" i="155" s="1"/>
  <c r="R78" i="155" s="1"/>
  <c r="F48" i="155"/>
  <c r="F2" i="155" s="1"/>
  <c r="P109" i="154"/>
  <c r="P87" i="154"/>
  <c r="Q37" i="154"/>
  <c r="H87" i="154"/>
  <c r="H109" i="154"/>
  <c r="K109" i="154"/>
  <c r="K87" i="154"/>
  <c r="J109" i="154"/>
  <c r="J87" i="154"/>
  <c r="N70" i="154"/>
  <c r="N2" i="154" s="1"/>
  <c r="N95" i="154" s="1"/>
  <c r="N91" i="154" s="1"/>
  <c r="G2" i="154"/>
  <c r="G95" i="154" s="1"/>
  <c r="G91" i="154" s="1"/>
  <c r="Q70" i="154"/>
  <c r="Q78" i="154" s="1"/>
  <c r="N78" i="154"/>
  <c r="Q25" i="154"/>
  <c r="L78" i="154"/>
  <c r="L37" i="154"/>
  <c r="F95" i="154"/>
  <c r="R88" i="154"/>
  <c r="M2" i="154"/>
  <c r="M95" i="154" s="1"/>
  <c r="M91" i="154" s="1"/>
  <c r="G78" i="154"/>
  <c r="R78" i="154" s="1"/>
  <c r="K78" i="154"/>
  <c r="I87" i="154"/>
  <c r="I109" i="154"/>
  <c r="O76" i="154"/>
  <c r="O78" i="154" s="1"/>
  <c r="L109" i="153"/>
  <c r="L87" i="153"/>
  <c r="J109" i="153"/>
  <c r="J87" i="153"/>
  <c r="I91" i="153"/>
  <c r="M91" i="153"/>
  <c r="K87" i="153"/>
  <c r="K109" i="153"/>
  <c r="N95" i="153"/>
  <c r="N91" i="153" s="1"/>
  <c r="M78" i="153"/>
  <c r="P91" i="153"/>
  <c r="I2" i="153"/>
  <c r="I95" i="153" s="1"/>
  <c r="Q25" i="153"/>
  <c r="Q48" i="153" s="1"/>
  <c r="O76" i="153"/>
  <c r="O78" i="153" s="1"/>
  <c r="G48" i="153"/>
  <c r="G2" i="153" s="1"/>
  <c r="G95" i="153" s="1"/>
  <c r="G91" i="153" s="1"/>
  <c r="R25" i="153"/>
  <c r="O70" i="153"/>
  <c r="O2" i="153" s="1"/>
  <c r="O95" i="153" s="1"/>
  <c r="O91" i="153" s="1"/>
  <c r="R49" i="153"/>
  <c r="R93" i="153"/>
  <c r="H2" i="153"/>
  <c r="H95" i="153" s="1"/>
  <c r="H91" i="153" s="1"/>
  <c r="F48" i="153"/>
  <c r="F2" i="153" s="1"/>
  <c r="Q37" i="153"/>
  <c r="R37" i="153" s="1"/>
  <c r="P2" i="153"/>
  <c r="P95" i="153" s="1"/>
  <c r="G91" i="152"/>
  <c r="K91" i="152"/>
  <c r="O48" i="152"/>
  <c r="O2" i="152" s="1"/>
  <c r="O95" i="152" s="1"/>
  <c r="O91" i="152" s="1"/>
  <c r="F78" i="152"/>
  <c r="K78" i="152"/>
  <c r="J91" i="152"/>
  <c r="Q93" i="152"/>
  <c r="G48" i="152"/>
  <c r="G2" i="152" s="1"/>
  <c r="G95" i="152" s="1"/>
  <c r="F48" i="152"/>
  <c r="F2" i="152" s="1"/>
  <c r="N92" i="152"/>
  <c r="R92" i="152" s="1"/>
  <c r="I2" i="152"/>
  <c r="I95" i="152" s="1"/>
  <c r="I91" i="152" s="1"/>
  <c r="N78" i="152"/>
  <c r="O78" i="152"/>
  <c r="J78" i="152"/>
  <c r="R78" i="152" s="1"/>
  <c r="H2" i="152"/>
  <c r="H95" i="152" s="1"/>
  <c r="H91" i="152" s="1"/>
  <c r="L91" i="152"/>
  <c r="R70" i="152"/>
  <c r="P91" i="152"/>
  <c r="Q25" i="152"/>
  <c r="Q48" i="152" s="1"/>
  <c r="Q2" i="152" s="1"/>
  <c r="Q95" i="152" s="1"/>
  <c r="M78" i="152"/>
  <c r="K48" i="152"/>
  <c r="K2" i="152" s="1"/>
  <c r="K95" i="152" s="1"/>
  <c r="N48" i="152"/>
  <c r="N2" i="152" s="1"/>
  <c r="M92" i="152"/>
  <c r="M95" i="152" s="1"/>
  <c r="L78" i="152"/>
  <c r="M95" i="151"/>
  <c r="M91" i="151" s="1"/>
  <c r="P109" i="151"/>
  <c r="P87" i="151"/>
  <c r="I48" i="151"/>
  <c r="I2" i="151" s="1"/>
  <c r="I95" i="151" s="1"/>
  <c r="I91" i="151" s="1"/>
  <c r="R37" i="151"/>
  <c r="G48" i="151"/>
  <c r="G2" i="151" s="1"/>
  <c r="G95" i="151" s="1"/>
  <c r="G91" i="151" s="1"/>
  <c r="H48" i="151"/>
  <c r="H2" i="151" s="1"/>
  <c r="H95" i="151" s="1"/>
  <c r="R76" i="151"/>
  <c r="F2" i="151"/>
  <c r="N48" i="151"/>
  <c r="N2" i="151" s="1"/>
  <c r="K91" i="151"/>
  <c r="O70" i="151"/>
  <c r="R49" i="151"/>
  <c r="H91" i="151"/>
  <c r="K78" i="151"/>
  <c r="Q25" i="151"/>
  <c r="Q48" i="151" s="1"/>
  <c r="F78" i="151"/>
  <c r="M78" i="151"/>
  <c r="J91" i="151"/>
  <c r="N92" i="151"/>
  <c r="J91" i="150"/>
  <c r="M95" i="150"/>
  <c r="Q70" i="150"/>
  <c r="Q78" i="150" s="1"/>
  <c r="L70" i="150"/>
  <c r="L78" i="150" s="1"/>
  <c r="Q37" i="150"/>
  <c r="R37" i="150" s="1"/>
  <c r="R92" i="150"/>
  <c r="K48" i="150"/>
  <c r="K2" i="150" s="1"/>
  <c r="K95" i="150" s="1"/>
  <c r="K91" i="150" s="1"/>
  <c r="L48" i="150"/>
  <c r="L2" i="150" s="1"/>
  <c r="L95" i="150" s="1"/>
  <c r="L91" i="150" s="1"/>
  <c r="H78" i="150"/>
  <c r="P95" i="150"/>
  <c r="P91" i="150" s="1"/>
  <c r="M92" i="150"/>
  <c r="N48" i="150"/>
  <c r="N2" i="150" s="1"/>
  <c r="J78" i="150"/>
  <c r="I48" i="150"/>
  <c r="I2" i="150" s="1"/>
  <c r="I95" i="150" s="1"/>
  <c r="I91" i="150" s="1"/>
  <c r="G48" i="150"/>
  <c r="G2" i="150" s="1"/>
  <c r="G95" i="150" s="1"/>
  <c r="Q25" i="150"/>
  <c r="Q48" i="150" s="1"/>
  <c r="O76" i="150"/>
  <c r="N92" i="150"/>
  <c r="O70" i="150"/>
  <c r="R49" i="150"/>
  <c r="G91" i="150"/>
  <c r="H91" i="150"/>
  <c r="O48" i="150"/>
  <c r="O2" i="150" s="1"/>
  <c r="O95" i="150" s="1"/>
  <c r="O91" i="150" s="1"/>
  <c r="R25" i="150"/>
  <c r="F2" i="150"/>
  <c r="R37" i="149"/>
  <c r="R93" i="149"/>
  <c r="R70" i="149"/>
  <c r="J91" i="149"/>
  <c r="N2" i="149"/>
  <c r="O76" i="149"/>
  <c r="O78" i="149" s="1"/>
  <c r="M48" i="149"/>
  <c r="M2" i="149" s="1"/>
  <c r="M95" i="149" s="1"/>
  <c r="M91" i="149" s="1"/>
  <c r="R76" i="149"/>
  <c r="G91" i="149"/>
  <c r="H48" i="149"/>
  <c r="H2" i="149" s="1"/>
  <c r="H95" i="149" s="1"/>
  <c r="H91" i="149" s="1"/>
  <c r="J78" i="149"/>
  <c r="R78" i="149" s="1"/>
  <c r="I91" i="149"/>
  <c r="O48" i="149"/>
  <c r="O2" i="149" s="1"/>
  <c r="O95" i="149" s="1"/>
  <c r="O91" i="149" s="1"/>
  <c r="Q25" i="149"/>
  <c r="Q48" i="149" s="1"/>
  <c r="Q2" i="149" s="1"/>
  <c r="Q95" i="149" s="1"/>
  <c r="Q91" i="149" s="1"/>
  <c r="J95" i="149"/>
  <c r="R25" i="149"/>
  <c r="R48" i="149" s="1"/>
  <c r="M78" i="149"/>
  <c r="K91" i="149"/>
  <c r="R49" i="149"/>
  <c r="F95" i="149"/>
  <c r="P48" i="149"/>
  <c r="P2" i="149" s="1"/>
  <c r="P95" i="149" s="1"/>
  <c r="P91" i="149" s="1"/>
  <c r="N92" i="149"/>
  <c r="M91" i="148"/>
  <c r="N92" i="148"/>
  <c r="R92" i="148"/>
  <c r="P109" i="148"/>
  <c r="P87" i="148"/>
  <c r="Q25" i="148"/>
  <c r="Q48" i="148" s="1"/>
  <c r="M95" i="148"/>
  <c r="O76" i="148"/>
  <c r="O78" i="148" s="1"/>
  <c r="I2" i="148"/>
  <c r="I95" i="148" s="1"/>
  <c r="R88" i="148"/>
  <c r="H2" i="148"/>
  <c r="H95" i="148" s="1"/>
  <c r="H91" i="148" s="1"/>
  <c r="O70" i="148"/>
  <c r="F2" i="148"/>
  <c r="J91" i="148"/>
  <c r="F78" i="148"/>
  <c r="N78" i="148"/>
  <c r="L78" i="148"/>
  <c r="K78" i="148"/>
  <c r="N95" i="148"/>
  <c r="G48" i="148"/>
  <c r="G2" i="148" s="1"/>
  <c r="G95" i="148" s="1"/>
  <c r="G91" i="148" s="1"/>
  <c r="K91" i="148"/>
  <c r="I91" i="148"/>
  <c r="R37" i="147"/>
  <c r="L109" i="147"/>
  <c r="L87" i="147"/>
  <c r="F95" i="147"/>
  <c r="J48" i="147"/>
  <c r="J2" i="147" s="1"/>
  <c r="J95" i="147" s="1"/>
  <c r="J91" i="147" s="1"/>
  <c r="H78" i="147"/>
  <c r="O76" i="147"/>
  <c r="O78" i="147" s="1"/>
  <c r="R78" i="147" s="1"/>
  <c r="J78" i="147"/>
  <c r="I48" i="147"/>
  <c r="I2" i="147" s="1"/>
  <c r="I95" i="147" s="1"/>
  <c r="I91" i="147" s="1"/>
  <c r="G48" i="147"/>
  <c r="G2" i="147" s="1"/>
  <c r="G95" i="147" s="1"/>
  <c r="G91" i="147" s="1"/>
  <c r="Q25" i="147"/>
  <c r="Q48" i="147" s="1"/>
  <c r="H2" i="147"/>
  <c r="H95" i="147" s="1"/>
  <c r="H91" i="147" s="1"/>
  <c r="K48" i="147"/>
  <c r="K2" i="147" s="1"/>
  <c r="K95" i="147" s="1"/>
  <c r="K91" i="147" s="1"/>
  <c r="P2" i="147"/>
  <c r="P95" i="147" s="1"/>
  <c r="P91" i="147" s="1"/>
  <c r="O70" i="147"/>
  <c r="Q70" i="147" s="1"/>
  <c r="Q78" i="147" s="1"/>
  <c r="R25" i="147"/>
  <c r="R48" i="147" s="1"/>
  <c r="M48" i="147"/>
  <c r="M2" i="147" s="1"/>
  <c r="M95" i="147" s="1"/>
  <c r="M91" i="147" s="1"/>
  <c r="N95" i="147"/>
  <c r="N91" i="147" s="1"/>
  <c r="R92" i="147"/>
  <c r="R93" i="146"/>
  <c r="R37" i="146"/>
  <c r="F95" i="146"/>
  <c r="F91" i="146" s="1"/>
  <c r="I48" i="146"/>
  <c r="I2" i="146" s="1"/>
  <c r="I95" i="146" s="1"/>
  <c r="M78" i="146"/>
  <c r="G91" i="146"/>
  <c r="I78" i="146"/>
  <c r="N70" i="146"/>
  <c r="N78" i="146" s="1"/>
  <c r="R25" i="146"/>
  <c r="R48" i="146" s="1"/>
  <c r="I91" i="146"/>
  <c r="G2" i="146"/>
  <c r="G95" i="146" s="1"/>
  <c r="M2" i="146"/>
  <c r="M95" i="146" s="1"/>
  <c r="M91" i="146" s="1"/>
  <c r="F78" i="146"/>
  <c r="N92" i="146"/>
  <c r="K2" i="146"/>
  <c r="K95" i="146" s="1"/>
  <c r="K91" i="146" s="1"/>
  <c r="O70" i="146"/>
  <c r="H48" i="146"/>
  <c r="H2" i="146" s="1"/>
  <c r="H95" i="146" s="1"/>
  <c r="N48" i="146"/>
  <c r="N2" i="146" s="1"/>
  <c r="P48" i="146"/>
  <c r="P2" i="146" s="1"/>
  <c r="P95" i="146" s="1"/>
  <c r="P91" i="146" s="1"/>
  <c r="H91" i="146"/>
  <c r="Q25" i="146"/>
  <c r="Q48" i="146" s="1"/>
  <c r="O76" i="146"/>
  <c r="L48" i="146"/>
  <c r="L2" i="146" s="1"/>
  <c r="L95" i="146" s="1"/>
  <c r="L91" i="146" s="1"/>
  <c r="J48" i="146"/>
  <c r="J2" i="146" s="1"/>
  <c r="J95" i="146" s="1"/>
  <c r="J91" i="146" s="1"/>
  <c r="R49" i="146"/>
  <c r="O2" i="145"/>
  <c r="O95" i="145" s="1"/>
  <c r="O91" i="145" s="1"/>
  <c r="P87" i="145"/>
  <c r="P109" i="145"/>
  <c r="R37" i="145"/>
  <c r="R25" i="145"/>
  <c r="R48" i="145" s="1"/>
  <c r="K91" i="145"/>
  <c r="H78" i="145"/>
  <c r="Q25" i="145"/>
  <c r="Q48" i="145" s="1"/>
  <c r="Q2" i="145" s="1"/>
  <c r="Q95" i="145" s="1"/>
  <c r="Q91" i="145" s="1"/>
  <c r="I78" i="145"/>
  <c r="L48" i="145"/>
  <c r="L2" i="145" s="1"/>
  <c r="L95" i="145" s="1"/>
  <c r="L91" i="145" s="1"/>
  <c r="R49" i="145"/>
  <c r="N78" i="145"/>
  <c r="L70" i="145"/>
  <c r="Q70" i="145" s="1"/>
  <c r="Q78" i="145" s="1"/>
  <c r="R12" i="145"/>
  <c r="I91" i="145"/>
  <c r="J91" i="145"/>
  <c r="M2" i="145"/>
  <c r="Q37" i="145"/>
  <c r="H48" i="145"/>
  <c r="H2" i="145" s="1"/>
  <c r="H95" i="145" s="1"/>
  <c r="H91" i="145" s="1"/>
  <c r="R36" i="145"/>
  <c r="K48" i="145"/>
  <c r="K2" i="145" s="1"/>
  <c r="K95" i="145" s="1"/>
  <c r="G48" i="145"/>
  <c r="G2" i="145" s="1"/>
  <c r="G95" i="145" s="1"/>
  <c r="G91" i="145" s="1"/>
  <c r="O76" i="145"/>
  <c r="O78" i="145" s="1"/>
  <c r="F78" i="145"/>
  <c r="F48" i="145"/>
  <c r="F2" i="145" s="1"/>
  <c r="M92" i="145"/>
  <c r="N91" i="144"/>
  <c r="P109" i="144"/>
  <c r="P87" i="144"/>
  <c r="J2" i="144"/>
  <c r="J95" i="144" s="1"/>
  <c r="J91" i="144" s="1"/>
  <c r="Q25" i="144"/>
  <c r="Q48" i="144" s="1"/>
  <c r="F2" i="144"/>
  <c r="K78" i="144"/>
  <c r="Q70" i="144"/>
  <c r="Q78" i="144" s="1"/>
  <c r="R92" i="144"/>
  <c r="M48" i="144"/>
  <c r="M2" i="144" s="1"/>
  <c r="M95" i="144" s="1"/>
  <c r="M91" i="144" s="1"/>
  <c r="I48" i="144"/>
  <c r="I2" i="144" s="1"/>
  <c r="I95" i="144" s="1"/>
  <c r="R25" i="144"/>
  <c r="R48" i="144" s="1"/>
  <c r="H78" i="144"/>
  <c r="G78" i="144"/>
  <c r="N2" i="144"/>
  <c r="N95" i="144" s="1"/>
  <c r="G91" i="144"/>
  <c r="K48" i="144"/>
  <c r="K2" i="144" s="1"/>
  <c r="K95" i="144" s="1"/>
  <c r="K91" i="144" s="1"/>
  <c r="R49" i="144"/>
  <c r="I91" i="144"/>
  <c r="H48" i="144"/>
  <c r="H2" i="144" s="1"/>
  <c r="H95" i="144" s="1"/>
  <c r="H91" i="144" s="1"/>
  <c r="L48" i="144"/>
  <c r="L2" i="144" s="1"/>
  <c r="L95" i="144" s="1"/>
  <c r="L91" i="144" s="1"/>
  <c r="O76" i="144"/>
  <c r="O78" i="144" s="1"/>
  <c r="R78" i="144" s="1"/>
  <c r="N92" i="143"/>
  <c r="M78" i="143"/>
  <c r="H91" i="143"/>
  <c r="G2" i="143"/>
  <c r="G95" i="143" s="1"/>
  <c r="K78" i="143"/>
  <c r="N2" i="143"/>
  <c r="N95" i="143" s="1"/>
  <c r="O76" i="143"/>
  <c r="M2" i="143"/>
  <c r="M95" i="143" s="1"/>
  <c r="M91" i="143" s="1"/>
  <c r="I78" i="143"/>
  <c r="Q25" i="143"/>
  <c r="Q48" i="143" s="1"/>
  <c r="G91" i="143"/>
  <c r="J2" i="143"/>
  <c r="J95" i="143" s="1"/>
  <c r="J91" i="143" s="1"/>
  <c r="O2" i="143"/>
  <c r="O95" i="143" s="1"/>
  <c r="O91" i="143" s="1"/>
  <c r="R76" i="143"/>
  <c r="L2" i="143"/>
  <c r="L95" i="143" s="1"/>
  <c r="L91" i="143" s="1"/>
  <c r="L109" i="143" s="1"/>
  <c r="H78" i="143"/>
  <c r="F2" i="143"/>
  <c r="I91" i="143"/>
  <c r="R25" i="143"/>
  <c r="R48" i="143" s="1"/>
  <c r="P2" i="143"/>
  <c r="P95" i="143" s="1"/>
  <c r="P91" i="143" s="1"/>
  <c r="O70" i="143"/>
  <c r="Q70" i="143" s="1"/>
  <c r="K2" i="143"/>
  <c r="K95" i="143" s="1"/>
  <c r="K91" i="143" s="1"/>
  <c r="J78" i="143"/>
  <c r="R92" i="143"/>
  <c r="H109" i="142"/>
  <c r="H87" i="142"/>
  <c r="O48" i="142"/>
  <c r="O2" i="142" s="1"/>
  <c r="O95" i="142" s="1"/>
  <c r="O91" i="142" s="1"/>
  <c r="J91" i="142"/>
  <c r="K87" i="142"/>
  <c r="K109" i="142"/>
  <c r="I95" i="142"/>
  <c r="I91" i="142" s="1"/>
  <c r="Q93" i="142"/>
  <c r="N78" i="142"/>
  <c r="M2" i="142"/>
  <c r="M95" i="142" s="1"/>
  <c r="M91" i="142" s="1"/>
  <c r="O76" i="142"/>
  <c r="G95" i="142"/>
  <c r="G91" i="142" s="1"/>
  <c r="M78" i="142"/>
  <c r="R92" i="142"/>
  <c r="L78" i="142"/>
  <c r="P95" i="142"/>
  <c r="P91" i="142" s="1"/>
  <c r="N2" i="142"/>
  <c r="N95" i="142" s="1"/>
  <c r="F2" i="142"/>
  <c r="R88" i="142"/>
  <c r="F78" i="142"/>
  <c r="N92" i="142"/>
  <c r="L95" i="142"/>
  <c r="L91" i="142" s="1"/>
  <c r="O70" i="142"/>
  <c r="Q25" i="142"/>
  <c r="Q48" i="142" s="1"/>
  <c r="H78" i="142"/>
  <c r="N95" i="141"/>
  <c r="J87" i="141"/>
  <c r="J109" i="141"/>
  <c r="G87" i="141"/>
  <c r="G109" i="141"/>
  <c r="R48" i="141"/>
  <c r="K91" i="141"/>
  <c r="F2" i="141"/>
  <c r="R37" i="141"/>
  <c r="P91" i="141"/>
  <c r="H2" i="141"/>
  <c r="H95" i="141" s="1"/>
  <c r="H91" i="141" s="1"/>
  <c r="P95" i="141"/>
  <c r="M2" i="141"/>
  <c r="M95" i="141" s="1"/>
  <c r="M91" i="141" s="1"/>
  <c r="Q48" i="141"/>
  <c r="Q2" i="141" s="1"/>
  <c r="Q95" i="141" s="1"/>
  <c r="Q91" i="141" s="1"/>
  <c r="R88" i="141"/>
  <c r="I2" i="141"/>
  <c r="I95" i="141" s="1"/>
  <c r="I91" i="141" s="1"/>
  <c r="R70" i="141"/>
  <c r="N78" i="141"/>
  <c r="O76" i="141"/>
  <c r="O78" i="141" s="1"/>
  <c r="I78" i="141"/>
  <c r="R78" i="141" s="1"/>
  <c r="L78" i="141"/>
  <c r="N92" i="141"/>
  <c r="J109" i="140"/>
  <c r="J87" i="140"/>
  <c r="G87" i="140"/>
  <c r="G109" i="140"/>
  <c r="K2" i="140"/>
  <c r="K95" i="140" s="1"/>
  <c r="K91" i="140" s="1"/>
  <c r="M95" i="140"/>
  <c r="M91" i="140" s="1"/>
  <c r="I2" i="140"/>
  <c r="I95" i="140" s="1"/>
  <c r="I91" i="140" s="1"/>
  <c r="I78" i="140"/>
  <c r="F78" i="140"/>
  <c r="F2" i="140"/>
  <c r="Q25" i="140"/>
  <c r="Q48" i="140" s="1"/>
  <c r="N92" i="140"/>
  <c r="O76" i="140"/>
  <c r="L78" i="140"/>
  <c r="N78" i="140"/>
  <c r="O70" i="140"/>
  <c r="O2" i="140" s="1"/>
  <c r="O95" i="140" s="1"/>
  <c r="O91" i="140" s="1"/>
  <c r="P48" i="140"/>
  <c r="P2" i="140" s="1"/>
  <c r="P95" i="140" s="1"/>
  <c r="P91" i="140" s="1"/>
  <c r="N48" i="140"/>
  <c r="N2" i="140" s="1"/>
  <c r="N95" i="140" s="1"/>
  <c r="H2" i="140"/>
  <c r="H95" i="140" s="1"/>
  <c r="H91" i="140" s="1"/>
  <c r="M78" i="140"/>
  <c r="O76" i="139"/>
  <c r="O78" i="139" s="1"/>
  <c r="I95" i="139"/>
  <c r="I91" i="139" s="1"/>
  <c r="J78" i="139"/>
  <c r="G78" i="139"/>
  <c r="G2" i="139"/>
  <c r="G95" i="139" s="1"/>
  <c r="G91" i="139"/>
  <c r="R76" i="139"/>
  <c r="Q37" i="139"/>
  <c r="R37" i="139" s="1"/>
  <c r="Q70" i="139"/>
  <c r="Q78" i="139" s="1"/>
  <c r="N78" i="139"/>
  <c r="N2" i="139"/>
  <c r="I78" i="139"/>
  <c r="M92" i="139"/>
  <c r="L78" i="139"/>
  <c r="R78" i="139" s="1"/>
  <c r="F78" i="139"/>
  <c r="F95" i="139"/>
  <c r="K2" i="139"/>
  <c r="K95" i="139" s="1"/>
  <c r="K91" i="139" s="1"/>
  <c r="R25" i="139"/>
  <c r="R93" i="139"/>
  <c r="J2" i="139"/>
  <c r="J95" i="139" s="1"/>
  <c r="J91" i="139" s="1"/>
  <c r="P91" i="139"/>
  <c r="Q25" i="139"/>
  <c r="Q48" i="139" s="1"/>
  <c r="H2" i="139"/>
  <c r="H95" i="139" s="1"/>
  <c r="H91" i="139" s="1"/>
  <c r="P109" i="138"/>
  <c r="P87" i="138"/>
  <c r="F95" i="138"/>
  <c r="L2" i="138"/>
  <c r="L95" i="138" s="1"/>
  <c r="L91" i="138" s="1"/>
  <c r="I2" i="138"/>
  <c r="I95" i="138" s="1"/>
  <c r="O2" i="138"/>
  <c r="O95" i="138" s="1"/>
  <c r="O91" i="138" s="1"/>
  <c r="M95" i="138"/>
  <c r="K2" i="138"/>
  <c r="K95" i="138" s="1"/>
  <c r="K91" i="138"/>
  <c r="N70" i="138"/>
  <c r="N78" i="138" s="1"/>
  <c r="H91" i="138"/>
  <c r="G91" i="138"/>
  <c r="J91" i="138"/>
  <c r="R25" i="138"/>
  <c r="Q37" i="138"/>
  <c r="Q48" i="138" s="1"/>
  <c r="O76" i="138"/>
  <c r="O78" i="138" s="1"/>
  <c r="R49" i="138"/>
  <c r="R76" i="138"/>
  <c r="I91" i="138"/>
  <c r="M92" i="138"/>
  <c r="I78" i="138"/>
  <c r="L109" i="140" l="1"/>
  <c r="L87" i="141"/>
  <c r="L87" i="164"/>
  <c r="L87" i="166"/>
  <c r="L109" i="155"/>
  <c r="I19" i="239" s="1"/>
  <c r="L87" i="155"/>
  <c r="L109" i="149"/>
  <c r="L87" i="149"/>
  <c r="L109" i="150"/>
  <c r="L87" i="150"/>
  <c r="L87" i="148"/>
  <c r="L87" i="156"/>
  <c r="L87" i="165"/>
  <c r="L87" i="172"/>
  <c r="L87" i="167"/>
  <c r="N87" i="172"/>
  <c r="N109" i="172"/>
  <c r="Q109" i="172"/>
  <c r="N36" i="239" s="1"/>
  <c r="Q87" i="172"/>
  <c r="F95" i="172"/>
  <c r="R2" i="172"/>
  <c r="R76" i="172"/>
  <c r="O2" i="172"/>
  <c r="O95" i="172" s="1"/>
  <c r="O91" i="172" s="1"/>
  <c r="J109" i="171"/>
  <c r="J87" i="171"/>
  <c r="G87" i="171"/>
  <c r="G109" i="171"/>
  <c r="M87" i="171"/>
  <c r="M109" i="171"/>
  <c r="R76" i="171"/>
  <c r="O2" i="171"/>
  <c r="O95" i="171" s="1"/>
  <c r="O91" i="171" s="1"/>
  <c r="H87" i="171"/>
  <c r="H109" i="171"/>
  <c r="L109" i="171"/>
  <c r="I35" i="239" s="1"/>
  <c r="L87" i="171"/>
  <c r="Q25" i="171"/>
  <c r="N95" i="171"/>
  <c r="N91" i="171" s="1"/>
  <c r="F95" i="171"/>
  <c r="I87" i="171"/>
  <c r="I109" i="171"/>
  <c r="K109" i="171"/>
  <c r="K87" i="171"/>
  <c r="J109" i="170"/>
  <c r="J87" i="170"/>
  <c r="G87" i="170"/>
  <c r="G109" i="170"/>
  <c r="K109" i="170"/>
  <c r="K87" i="170"/>
  <c r="O87" i="170"/>
  <c r="O109" i="170"/>
  <c r="L109" i="170"/>
  <c r="I34" i="239" s="1"/>
  <c r="L87" i="170"/>
  <c r="R48" i="170"/>
  <c r="Q2" i="170"/>
  <c r="Q95" i="170" s="1"/>
  <c r="Q91" i="170" s="1"/>
  <c r="N95" i="170"/>
  <c r="F95" i="170"/>
  <c r="H87" i="170"/>
  <c r="H109" i="170"/>
  <c r="M91" i="170"/>
  <c r="R70" i="170"/>
  <c r="N92" i="170"/>
  <c r="M95" i="170"/>
  <c r="I87" i="170"/>
  <c r="I109" i="170"/>
  <c r="M87" i="169"/>
  <c r="M109" i="169"/>
  <c r="F95" i="169"/>
  <c r="Q48" i="169"/>
  <c r="Q2" i="169" s="1"/>
  <c r="Q95" i="169" s="1"/>
  <c r="Q91" i="169" s="1"/>
  <c r="I109" i="169"/>
  <c r="I87" i="169"/>
  <c r="N87" i="169"/>
  <c r="N109" i="169"/>
  <c r="O109" i="169"/>
  <c r="O87" i="169"/>
  <c r="R70" i="168"/>
  <c r="R76" i="168"/>
  <c r="H87" i="168"/>
  <c r="H109" i="168"/>
  <c r="L87" i="168"/>
  <c r="K109" i="168"/>
  <c r="K87" i="168"/>
  <c r="M87" i="168"/>
  <c r="M109" i="168"/>
  <c r="I87" i="168"/>
  <c r="I109" i="168"/>
  <c r="G87" i="168"/>
  <c r="G109" i="168"/>
  <c r="Q70" i="168"/>
  <c r="Q78" i="168" s="1"/>
  <c r="R78" i="168" s="1"/>
  <c r="N91" i="168"/>
  <c r="O2" i="168"/>
  <c r="O95" i="168" s="1"/>
  <c r="O91" i="168" s="1"/>
  <c r="Q48" i="168"/>
  <c r="Q2" i="168" s="1"/>
  <c r="Q95" i="168" s="1"/>
  <c r="Q91" i="168" s="1"/>
  <c r="R25" i="168"/>
  <c r="R48" i="168" s="1"/>
  <c r="F95" i="168"/>
  <c r="R78" i="167"/>
  <c r="N109" i="167"/>
  <c r="N87" i="167"/>
  <c r="G109" i="167"/>
  <c r="G87" i="167"/>
  <c r="Q48" i="167"/>
  <c r="Q2" i="167" s="1"/>
  <c r="Q95" i="167" s="1"/>
  <c r="Q91" i="167" s="1"/>
  <c r="R25" i="167"/>
  <c r="R48" i="167" s="1"/>
  <c r="R76" i="167"/>
  <c r="M109" i="167"/>
  <c r="M87" i="167"/>
  <c r="Q78" i="167"/>
  <c r="R70" i="167"/>
  <c r="P87" i="167"/>
  <c r="P109" i="167"/>
  <c r="O2" i="167"/>
  <c r="O95" i="167" s="1"/>
  <c r="O91" i="167" s="1"/>
  <c r="F91" i="167"/>
  <c r="M87" i="166"/>
  <c r="M109" i="166"/>
  <c r="Q2" i="166"/>
  <c r="Q95" i="166" s="1"/>
  <c r="Q91" i="166" s="1"/>
  <c r="F91" i="166"/>
  <c r="N109" i="166"/>
  <c r="N87" i="166"/>
  <c r="P109" i="166"/>
  <c r="P87" i="166"/>
  <c r="R70" i="166"/>
  <c r="O109" i="166"/>
  <c r="O87" i="166"/>
  <c r="R2" i="166"/>
  <c r="J87" i="165"/>
  <c r="J109" i="165"/>
  <c r="I109" i="165"/>
  <c r="I87" i="165"/>
  <c r="K87" i="165"/>
  <c r="K109" i="165"/>
  <c r="F95" i="165"/>
  <c r="M91" i="165"/>
  <c r="R92" i="165"/>
  <c r="H87" i="165"/>
  <c r="H109" i="165"/>
  <c r="O78" i="165"/>
  <c r="R78" i="165" s="1"/>
  <c r="R76" i="165"/>
  <c r="P87" i="165"/>
  <c r="P109" i="165"/>
  <c r="O2" i="165"/>
  <c r="O95" i="165" s="1"/>
  <c r="O91" i="165" s="1"/>
  <c r="Q109" i="165"/>
  <c r="N29" i="239" s="1"/>
  <c r="Q87" i="165"/>
  <c r="N92" i="165"/>
  <c r="N95" i="165" s="1"/>
  <c r="G109" i="165"/>
  <c r="G87" i="165"/>
  <c r="R70" i="164"/>
  <c r="R78" i="164"/>
  <c r="M109" i="164"/>
  <c r="M87" i="164"/>
  <c r="O78" i="164"/>
  <c r="R76" i="164"/>
  <c r="N109" i="164"/>
  <c r="N87" i="164"/>
  <c r="H109" i="164"/>
  <c r="H87" i="164"/>
  <c r="Q70" i="164"/>
  <c r="Q78" i="164" s="1"/>
  <c r="O2" i="164"/>
  <c r="O95" i="164" s="1"/>
  <c r="O91" i="164" s="1"/>
  <c r="P109" i="164"/>
  <c r="P87" i="164"/>
  <c r="Q2" i="164"/>
  <c r="Q95" i="164" s="1"/>
  <c r="Q91" i="164" s="1"/>
  <c r="K109" i="164"/>
  <c r="K87" i="164"/>
  <c r="F95" i="164"/>
  <c r="P109" i="163"/>
  <c r="P87" i="163"/>
  <c r="R78" i="163"/>
  <c r="M87" i="163"/>
  <c r="M109" i="163"/>
  <c r="Q2" i="163"/>
  <c r="Q95" i="163" s="1"/>
  <c r="Q91" i="163" s="1"/>
  <c r="G87" i="163"/>
  <c r="G109" i="163"/>
  <c r="N91" i="163"/>
  <c r="J87" i="163"/>
  <c r="J109" i="163"/>
  <c r="R25" i="163"/>
  <c r="R48" i="163" s="1"/>
  <c r="Q70" i="163"/>
  <c r="Q78" i="163" s="1"/>
  <c r="I109" i="163"/>
  <c r="I87" i="163"/>
  <c r="H109" i="163"/>
  <c r="H87" i="163"/>
  <c r="K87" i="163"/>
  <c r="K109" i="163"/>
  <c r="N2" i="163"/>
  <c r="N95" i="163" s="1"/>
  <c r="O2" i="163"/>
  <c r="O95" i="163" s="1"/>
  <c r="O91" i="163" s="1"/>
  <c r="L87" i="163"/>
  <c r="F95" i="163"/>
  <c r="H87" i="162"/>
  <c r="H109" i="162"/>
  <c r="K109" i="162"/>
  <c r="K87" i="162"/>
  <c r="Q78" i="162"/>
  <c r="R70" i="162"/>
  <c r="R78" i="162"/>
  <c r="J109" i="162"/>
  <c r="J87" i="162"/>
  <c r="P109" i="162"/>
  <c r="P87" i="162"/>
  <c r="F109" i="162"/>
  <c r="C26" i="239" s="1"/>
  <c r="F87" i="162"/>
  <c r="M91" i="162"/>
  <c r="N92" i="162"/>
  <c r="I109" i="162"/>
  <c r="I87" i="162"/>
  <c r="N95" i="162"/>
  <c r="L109" i="162"/>
  <c r="I26" i="239" s="1"/>
  <c r="L87" i="162"/>
  <c r="O78" i="162"/>
  <c r="R76" i="162"/>
  <c r="Q2" i="162"/>
  <c r="Q95" i="162" s="1"/>
  <c r="Q91" i="162" s="1"/>
  <c r="O2" i="162"/>
  <c r="O95" i="162" s="1"/>
  <c r="O91" i="162" s="1"/>
  <c r="G109" i="162"/>
  <c r="G87" i="162"/>
  <c r="G109" i="161"/>
  <c r="G87" i="161"/>
  <c r="H109" i="161"/>
  <c r="H87" i="161"/>
  <c r="F95" i="161"/>
  <c r="R2" i="161"/>
  <c r="K87" i="161"/>
  <c r="K109" i="161"/>
  <c r="P87" i="161"/>
  <c r="P109" i="161"/>
  <c r="I109" i="161"/>
  <c r="I87" i="161"/>
  <c r="O109" i="161"/>
  <c r="O87" i="161"/>
  <c r="L87" i="161"/>
  <c r="Q48" i="161"/>
  <c r="Q2" i="161" s="1"/>
  <c r="Q95" i="161" s="1"/>
  <c r="Q91" i="161" s="1"/>
  <c r="J87" i="161"/>
  <c r="J109" i="161"/>
  <c r="M91" i="161"/>
  <c r="R48" i="161"/>
  <c r="N95" i="161"/>
  <c r="N91" i="161" s="1"/>
  <c r="K109" i="160"/>
  <c r="K87" i="160"/>
  <c r="P109" i="160"/>
  <c r="P87" i="160"/>
  <c r="M109" i="160"/>
  <c r="M87" i="160"/>
  <c r="H109" i="160"/>
  <c r="H87" i="160"/>
  <c r="O109" i="160"/>
  <c r="O87" i="160"/>
  <c r="Q109" i="160"/>
  <c r="N24" i="239" s="1"/>
  <c r="Q87" i="160"/>
  <c r="G87" i="160"/>
  <c r="G109" i="160"/>
  <c r="J87" i="160"/>
  <c r="J109" i="160"/>
  <c r="L87" i="160"/>
  <c r="F95" i="160"/>
  <c r="R2" i="160"/>
  <c r="N91" i="160"/>
  <c r="R70" i="160"/>
  <c r="I109" i="160"/>
  <c r="I87" i="160"/>
  <c r="G87" i="159"/>
  <c r="G109" i="159"/>
  <c r="Q109" i="159"/>
  <c r="N23" i="239" s="1"/>
  <c r="Q87" i="159"/>
  <c r="M87" i="159"/>
  <c r="M109" i="159"/>
  <c r="K87" i="159"/>
  <c r="K109" i="159"/>
  <c r="H109" i="159"/>
  <c r="H87" i="159"/>
  <c r="F95" i="159"/>
  <c r="P109" i="159"/>
  <c r="P87" i="159"/>
  <c r="J87" i="159"/>
  <c r="J109" i="159"/>
  <c r="O2" i="159"/>
  <c r="O95" i="159" s="1"/>
  <c r="O91" i="159" s="1"/>
  <c r="R25" i="159"/>
  <c r="R48" i="159" s="1"/>
  <c r="I109" i="159"/>
  <c r="I87" i="159"/>
  <c r="N91" i="159"/>
  <c r="O78" i="159"/>
  <c r="R78" i="159" s="1"/>
  <c r="R76" i="159"/>
  <c r="G87" i="158"/>
  <c r="G109" i="158"/>
  <c r="R78" i="158"/>
  <c r="H87" i="158"/>
  <c r="H109" i="158"/>
  <c r="F95" i="158"/>
  <c r="R2" i="158"/>
  <c r="M87" i="158"/>
  <c r="M109" i="158"/>
  <c r="O2" i="158"/>
  <c r="O95" i="158" s="1"/>
  <c r="O91" i="158" s="1"/>
  <c r="I109" i="158"/>
  <c r="I87" i="158"/>
  <c r="R70" i="158"/>
  <c r="K109" i="158"/>
  <c r="K87" i="158"/>
  <c r="Q2" i="158"/>
  <c r="Q95" i="158" s="1"/>
  <c r="Q91" i="158" s="1"/>
  <c r="O78" i="158"/>
  <c r="J109" i="158"/>
  <c r="J87" i="158"/>
  <c r="L109" i="158"/>
  <c r="I22" i="239" s="1"/>
  <c r="L87" i="158"/>
  <c r="N91" i="158"/>
  <c r="R92" i="158"/>
  <c r="H87" i="157"/>
  <c r="H109" i="157"/>
  <c r="O87" i="157"/>
  <c r="O109" i="157"/>
  <c r="I87" i="157"/>
  <c r="I109" i="157"/>
  <c r="J109" i="157"/>
  <c r="J87" i="157"/>
  <c r="N91" i="157"/>
  <c r="N95" i="157"/>
  <c r="Q109" i="157"/>
  <c r="N21" i="239" s="1"/>
  <c r="Q87" i="157"/>
  <c r="P109" i="157"/>
  <c r="P87" i="157"/>
  <c r="G87" i="157"/>
  <c r="G109" i="157"/>
  <c r="R25" i="157"/>
  <c r="R48" i="157" s="1"/>
  <c r="K109" i="157"/>
  <c r="K87" i="157"/>
  <c r="R92" i="157"/>
  <c r="L109" i="157"/>
  <c r="I21" i="239" s="1"/>
  <c r="L87" i="157"/>
  <c r="F95" i="157"/>
  <c r="R2" i="157"/>
  <c r="M95" i="157"/>
  <c r="M91" i="157" s="1"/>
  <c r="J87" i="156"/>
  <c r="J109" i="156"/>
  <c r="G109" i="156"/>
  <c r="G87" i="156"/>
  <c r="Q2" i="156"/>
  <c r="Q95" i="156" s="1"/>
  <c r="Q91" i="156" s="1"/>
  <c r="K87" i="156"/>
  <c r="K109" i="156"/>
  <c r="O109" i="156"/>
  <c r="O87" i="156"/>
  <c r="I109" i="156"/>
  <c r="I87" i="156"/>
  <c r="H109" i="156"/>
  <c r="H87" i="156"/>
  <c r="P109" i="156"/>
  <c r="P87" i="156"/>
  <c r="M91" i="156"/>
  <c r="N92" i="156"/>
  <c r="R92" i="156" s="1"/>
  <c r="F95" i="156"/>
  <c r="K109" i="155"/>
  <c r="K87" i="155"/>
  <c r="J87" i="155"/>
  <c r="J109" i="155"/>
  <c r="I109" i="155"/>
  <c r="I87" i="155"/>
  <c r="R48" i="155"/>
  <c r="H87" i="155"/>
  <c r="H109" i="155"/>
  <c r="O2" i="155"/>
  <c r="O95" i="155" s="1"/>
  <c r="O91" i="155" s="1"/>
  <c r="Q2" i="155"/>
  <c r="Q95" i="155" s="1"/>
  <c r="Q91" i="155" s="1"/>
  <c r="G87" i="155"/>
  <c r="G109" i="155"/>
  <c r="N91" i="155"/>
  <c r="F95" i="155"/>
  <c r="R2" i="155"/>
  <c r="N95" i="155"/>
  <c r="P87" i="155"/>
  <c r="P109" i="155"/>
  <c r="R76" i="155"/>
  <c r="M91" i="155"/>
  <c r="M87" i="154"/>
  <c r="M109" i="154"/>
  <c r="N87" i="154"/>
  <c r="N109" i="154"/>
  <c r="Q48" i="154"/>
  <c r="Q2" i="154" s="1"/>
  <c r="Q95" i="154" s="1"/>
  <c r="Q91" i="154" s="1"/>
  <c r="R25" i="154"/>
  <c r="R76" i="154"/>
  <c r="F91" i="154"/>
  <c r="G87" i="154"/>
  <c r="G109" i="154"/>
  <c r="O2" i="154"/>
  <c r="O95" i="154" s="1"/>
  <c r="O91" i="154" s="1"/>
  <c r="L48" i="154"/>
  <c r="L2" i="154" s="1"/>
  <c r="R37" i="154"/>
  <c r="R70" i="154"/>
  <c r="O109" i="153"/>
  <c r="O87" i="153"/>
  <c r="N87" i="153"/>
  <c r="N109" i="153"/>
  <c r="G109" i="153"/>
  <c r="G87" i="153"/>
  <c r="R48" i="153"/>
  <c r="I87" i="153"/>
  <c r="I109" i="153"/>
  <c r="R76" i="153"/>
  <c r="Q2" i="153"/>
  <c r="Q95" i="153" s="1"/>
  <c r="Q91" i="153" s="1"/>
  <c r="M109" i="153"/>
  <c r="M87" i="153"/>
  <c r="P109" i="153"/>
  <c r="P87" i="153"/>
  <c r="Q70" i="153"/>
  <c r="F95" i="153"/>
  <c r="H87" i="153"/>
  <c r="H109" i="153"/>
  <c r="I109" i="152"/>
  <c r="I87" i="152"/>
  <c r="H109" i="152"/>
  <c r="H87" i="152"/>
  <c r="O109" i="152"/>
  <c r="O87" i="152"/>
  <c r="G87" i="152"/>
  <c r="G109" i="152"/>
  <c r="N95" i="152"/>
  <c r="Q91" i="152"/>
  <c r="K109" i="152"/>
  <c r="K87" i="152"/>
  <c r="L109" i="152"/>
  <c r="L87" i="152"/>
  <c r="J87" i="152"/>
  <c r="J109" i="152"/>
  <c r="P109" i="152"/>
  <c r="P87" i="152"/>
  <c r="F95" i="152"/>
  <c r="R2" i="152"/>
  <c r="R93" i="152"/>
  <c r="N91" i="152"/>
  <c r="M91" i="152"/>
  <c r="R25" i="152"/>
  <c r="R48" i="152" s="1"/>
  <c r="G109" i="151"/>
  <c r="G87" i="151"/>
  <c r="I109" i="151"/>
  <c r="I87" i="151"/>
  <c r="R70" i="151"/>
  <c r="M87" i="151"/>
  <c r="M109" i="151"/>
  <c r="H109" i="151"/>
  <c r="H87" i="151"/>
  <c r="L109" i="151"/>
  <c r="L87" i="151"/>
  <c r="O78" i="151"/>
  <c r="R78" i="151" s="1"/>
  <c r="Q70" i="151"/>
  <c r="Q78" i="151" s="1"/>
  <c r="N91" i="151"/>
  <c r="K109" i="151"/>
  <c r="K87" i="151"/>
  <c r="R25" i="151"/>
  <c r="R48" i="151" s="1"/>
  <c r="R92" i="151"/>
  <c r="F95" i="151"/>
  <c r="O2" i="151"/>
  <c r="O95" i="151" s="1"/>
  <c r="O91" i="151" s="1"/>
  <c r="J87" i="151"/>
  <c r="J109" i="151"/>
  <c r="N95" i="151"/>
  <c r="P109" i="150"/>
  <c r="P87" i="150"/>
  <c r="I109" i="150"/>
  <c r="I87" i="150"/>
  <c r="R78" i="150"/>
  <c r="O109" i="150"/>
  <c r="O87" i="150"/>
  <c r="K109" i="150"/>
  <c r="K87" i="150"/>
  <c r="N91" i="150"/>
  <c r="H109" i="150"/>
  <c r="H87" i="150"/>
  <c r="N95" i="150"/>
  <c r="J87" i="150"/>
  <c r="J109" i="150"/>
  <c r="R48" i="150"/>
  <c r="G109" i="150"/>
  <c r="G87" i="150"/>
  <c r="O78" i="150"/>
  <c r="R76" i="150"/>
  <c r="Q2" i="150"/>
  <c r="Q95" i="150" s="1"/>
  <c r="Q91" i="150" s="1"/>
  <c r="R70" i="150"/>
  <c r="F95" i="150"/>
  <c r="R2" i="150"/>
  <c r="M91" i="150"/>
  <c r="P87" i="149"/>
  <c r="P109" i="149"/>
  <c r="H109" i="149"/>
  <c r="H87" i="149"/>
  <c r="Q109" i="149"/>
  <c r="Q87" i="149"/>
  <c r="O87" i="149"/>
  <c r="O109" i="149"/>
  <c r="M109" i="149"/>
  <c r="M87" i="149"/>
  <c r="I109" i="149"/>
  <c r="I87" i="149"/>
  <c r="K87" i="149"/>
  <c r="K109" i="149"/>
  <c r="R2" i="149"/>
  <c r="F91" i="149"/>
  <c r="J109" i="149"/>
  <c r="J87" i="149"/>
  <c r="R92" i="149"/>
  <c r="G109" i="149"/>
  <c r="G87" i="149"/>
  <c r="N95" i="149"/>
  <c r="N91" i="149" s="1"/>
  <c r="H87" i="148"/>
  <c r="H109" i="148"/>
  <c r="R78" i="148"/>
  <c r="G87" i="148"/>
  <c r="G109" i="148"/>
  <c r="Q2" i="148"/>
  <c r="Q95" i="148" s="1"/>
  <c r="Q91" i="148" s="1"/>
  <c r="Q70" i="148"/>
  <c r="Q78" i="148" s="1"/>
  <c r="R76" i="148"/>
  <c r="K87" i="148"/>
  <c r="K109" i="148"/>
  <c r="F95" i="148"/>
  <c r="O2" i="148"/>
  <c r="O95" i="148" s="1"/>
  <c r="O91" i="148" s="1"/>
  <c r="R25" i="148"/>
  <c r="R48" i="148" s="1"/>
  <c r="I109" i="148"/>
  <c r="I87" i="148"/>
  <c r="J109" i="148"/>
  <c r="J87" i="148"/>
  <c r="N91" i="148"/>
  <c r="M87" i="148"/>
  <c r="M109" i="148"/>
  <c r="N109" i="147"/>
  <c r="N87" i="147"/>
  <c r="M87" i="147"/>
  <c r="M109" i="147"/>
  <c r="O2" i="147"/>
  <c r="O95" i="147" s="1"/>
  <c r="O91" i="147" s="1"/>
  <c r="R70" i="147"/>
  <c r="F91" i="147"/>
  <c r="H109" i="147"/>
  <c r="H87" i="147"/>
  <c r="P109" i="147"/>
  <c r="P87" i="147"/>
  <c r="G87" i="147"/>
  <c r="G109" i="147"/>
  <c r="J87" i="147"/>
  <c r="J109" i="147"/>
  <c r="Q2" i="147"/>
  <c r="Q95" i="147" s="1"/>
  <c r="Q91" i="147" s="1"/>
  <c r="R76" i="147"/>
  <c r="K87" i="147"/>
  <c r="K109" i="147"/>
  <c r="I109" i="147"/>
  <c r="I87" i="147"/>
  <c r="R2" i="147"/>
  <c r="M109" i="146"/>
  <c r="M87" i="146"/>
  <c r="R70" i="146"/>
  <c r="J109" i="146"/>
  <c r="J87" i="146"/>
  <c r="L109" i="146"/>
  <c r="L87" i="146"/>
  <c r="K87" i="146"/>
  <c r="K109" i="146"/>
  <c r="P109" i="146"/>
  <c r="P87" i="146"/>
  <c r="N91" i="146"/>
  <c r="O78" i="146"/>
  <c r="R78" i="146" s="1"/>
  <c r="R76" i="146"/>
  <c r="N95" i="146"/>
  <c r="Q2" i="146"/>
  <c r="Q95" i="146" s="1"/>
  <c r="Q91" i="146" s="1"/>
  <c r="O2" i="146"/>
  <c r="O95" i="146" s="1"/>
  <c r="O91" i="146" s="1"/>
  <c r="Q70" i="146"/>
  <c r="Q78" i="146" s="1"/>
  <c r="H87" i="146"/>
  <c r="H109" i="146"/>
  <c r="I109" i="146"/>
  <c r="I87" i="146"/>
  <c r="G109" i="146"/>
  <c r="G87" i="146"/>
  <c r="F109" i="146"/>
  <c r="F87" i="146"/>
  <c r="R92" i="146"/>
  <c r="R2" i="146"/>
  <c r="G109" i="145"/>
  <c r="G87" i="145"/>
  <c r="H109" i="145"/>
  <c r="H87" i="145"/>
  <c r="L109" i="145"/>
  <c r="L87" i="145"/>
  <c r="J109" i="145"/>
  <c r="J87" i="145"/>
  <c r="N92" i="145"/>
  <c r="R92" i="145" s="1"/>
  <c r="R76" i="145"/>
  <c r="L78" i="145"/>
  <c r="R78" i="145" s="1"/>
  <c r="R70" i="145"/>
  <c r="K109" i="145"/>
  <c r="K87" i="145"/>
  <c r="I109" i="145"/>
  <c r="I87" i="145"/>
  <c r="O87" i="145"/>
  <c r="O109" i="145"/>
  <c r="F95" i="145"/>
  <c r="R2" i="145"/>
  <c r="Q109" i="145"/>
  <c r="Q87" i="145"/>
  <c r="M95" i="145"/>
  <c r="M91" i="145" s="1"/>
  <c r="H109" i="144"/>
  <c r="H87" i="144"/>
  <c r="K109" i="144"/>
  <c r="K87" i="144"/>
  <c r="M109" i="144"/>
  <c r="M87" i="144"/>
  <c r="J87" i="144"/>
  <c r="J109" i="144"/>
  <c r="L109" i="144"/>
  <c r="L87" i="144"/>
  <c r="G109" i="144"/>
  <c r="G87" i="144"/>
  <c r="N109" i="144"/>
  <c r="N87" i="144"/>
  <c r="R76" i="144"/>
  <c r="F95" i="144"/>
  <c r="O2" i="144"/>
  <c r="O95" i="144" s="1"/>
  <c r="O91" i="144" s="1"/>
  <c r="Q2" i="144"/>
  <c r="Q95" i="144" s="1"/>
  <c r="Q91" i="144" s="1"/>
  <c r="R70" i="144"/>
  <c r="I109" i="144"/>
  <c r="I87" i="144"/>
  <c r="K109" i="143"/>
  <c r="K87" i="143"/>
  <c r="M87" i="143"/>
  <c r="M109" i="143"/>
  <c r="J109" i="143"/>
  <c r="J87" i="143"/>
  <c r="Q78" i="143"/>
  <c r="R70" i="143"/>
  <c r="I87" i="143"/>
  <c r="I109" i="143"/>
  <c r="O87" i="143"/>
  <c r="O109" i="143"/>
  <c r="O78" i="143"/>
  <c r="R78" i="143" s="1"/>
  <c r="F95" i="143"/>
  <c r="L87" i="143"/>
  <c r="G87" i="143"/>
  <c r="G109" i="143"/>
  <c r="H87" i="143"/>
  <c r="H109" i="143"/>
  <c r="P109" i="143"/>
  <c r="P87" i="143"/>
  <c r="Q2" i="143"/>
  <c r="Q95" i="143" s="1"/>
  <c r="Q91" i="143" s="1"/>
  <c r="N91" i="143"/>
  <c r="P109" i="142"/>
  <c r="P87" i="142"/>
  <c r="R78" i="142"/>
  <c r="L109" i="142"/>
  <c r="L87" i="142"/>
  <c r="M87" i="142"/>
  <c r="M109" i="142"/>
  <c r="O109" i="142"/>
  <c r="O87" i="142"/>
  <c r="I109" i="142"/>
  <c r="I87" i="142"/>
  <c r="F95" i="142"/>
  <c r="G87" i="142"/>
  <c r="G109" i="142"/>
  <c r="O78" i="142"/>
  <c r="R76" i="142"/>
  <c r="J87" i="142"/>
  <c r="J109" i="142"/>
  <c r="Q70" i="142"/>
  <c r="Q78" i="142" s="1"/>
  <c r="N91" i="142"/>
  <c r="R93" i="142"/>
  <c r="R25" i="142"/>
  <c r="R48" i="142" s="1"/>
  <c r="M87" i="141"/>
  <c r="M109" i="141"/>
  <c r="Q109" i="141"/>
  <c r="Q87" i="141"/>
  <c r="K109" i="141"/>
  <c r="K87" i="141"/>
  <c r="H109" i="141"/>
  <c r="H87" i="141"/>
  <c r="P109" i="141"/>
  <c r="P87" i="141"/>
  <c r="N91" i="141"/>
  <c r="R92" i="141"/>
  <c r="R76" i="141"/>
  <c r="O2" i="141"/>
  <c r="O95" i="141" s="1"/>
  <c r="O91" i="141" s="1"/>
  <c r="I109" i="141"/>
  <c r="I87" i="141"/>
  <c r="F95" i="141"/>
  <c r="O87" i="140"/>
  <c r="O109" i="140"/>
  <c r="M87" i="140"/>
  <c r="M109" i="140"/>
  <c r="H87" i="140"/>
  <c r="H109" i="140"/>
  <c r="F95" i="140"/>
  <c r="R25" i="140"/>
  <c r="R48" i="140" s="1"/>
  <c r="O78" i="140"/>
  <c r="R76" i="140"/>
  <c r="I87" i="140"/>
  <c r="I109" i="140"/>
  <c r="N91" i="140"/>
  <c r="R92" i="140"/>
  <c r="Q70" i="140"/>
  <c r="K109" i="140"/>
  <c r="K87" i="140"/>
  <c r="P109" i="140"/>
  <c r="P87" i="140"/>
  <c r="K109" i="139"/>
  <c r="K87" i="139"/>
  <c r="I87" i="139"/>
  <c r="I109" i="139"/>
  <c r="H87" i="139"/>
  <c r="H109" i="139"/>
  <c r="J109" i="139"/>
  <c r="J87" i="139"/>
  <c r="R48" i="139"/>
  <c r="Q2" i="139"/>
  <c r="Q95" i="139" s="1"/>
  <c r="Q91" i="139" s="1"/>
  <c r="G109" i="139"/>
  <c r="G87" i="139"/>
  <c r="R70" i="139"/>
  <c r="P109" i="139"/>
  <c r="P87" i="139"/>
  <c r="M95" i="139"/>
  <c r="M91" i="139" s="1"/>
  <c r="N95" i="139"/>
  <c r="O2" i="139"/>
  <c r="O95" i="139" s="1"/>
  <c r="O91" i="139" s="1"/>
  <c r="N92" i="139"/>
  <c r="L87" i="139"/>
  <c r="F91" i="139"/>
  <c r="L109" i="138"/>
  <c r="L87" i="138"/>
  <c r="Q2" i="138"/>
  <c r="Q95" i="138" s="1"/>
  <c r="Q91" i="138" s="1"/>
  <c r="O109" i="138"/>
  <c r="O87" i="138"/>
  <c r="Q70" i="138"/>
  <c r="Q78" i="138" s="1"/>
  <c r="R78" i="138" s="1"/>
  <c r="R70" i="138"/>
  <c r="I87" i="138"/>
  <c r="I109" i="138"/>
  <c r="H87" i="138"/>
  <c r="H109" i="138"/>
  <c r="R37" i="138"/>
  <c r="R48" i="138" s="1"/>
  <c r="J109" i="138"/>
  <c r="J87" i="138"/>
  <c r="K87" i="138"/>
  <c r="K109" i="138"/>
  <c r="M91" i="138"/>
  <c r="G109" i="138"/>
  <c r="G87" i="138"/>
  <c r="F91" i="138"/>
  <c r="N2" i="138"/>
  <c r="N92" i="138"/>
  <c r="R95" i="162" l="1"/>
  <c r="R95" i="166"/>
  <c r="R95" i="146"/>
  <c r="R95" i="172"/>
  <c r="F91" i="172"/>
  <c r="O109" i="172"/>
  <c r="O87" i="172"/>
  <c r="N87" i="171"/>
  <c r="N109" i="171"/>
  <c r="F91" i="171"/>
  <c r="O87" i="171"/>
  <c r="O109" i="171"/>
  <c r="Q48" i="171"/>
  <c r="Q2" i="171" s="1"/>
  <c r="Q95" i="171" s="1"/>
  <c r="Q91" i="171" s="1"/>
  <c r="R25" i="171"/>
  <c r="R48" i="171" s="1"/>
  <c r="M87" i="170"/>
  <c r="M109" i="170"/>
  <c r="Q109" i="170"/>
  <c r="N34" i="239" s="1"/>
  <c r="Q87" i="170"/>
  <c r="R2" i="170"/>
  <c r="N91" i="170"/>
  <c r="R92" i="170"/>
  <c r="R95" i="170"/>
  <c r="F91" i="170"/>
  <c r="R95" i="169"/>
  <c r="F91" i="169"/>
  <c r="Q109" i="169"/>
  <c r="N33" i="239" s="1"/>
  <c r="Q87" i="169"/>
  <c r="R2" i="169"/>
  <c r="O87" i="168"/>
  <c r="O109" i="168"/>
  <c r="N87" i="168"/>
  <c r="N109" i="168"/>
  <c r="Q109" i="168"/>
  <c r="N32" i="239" s="1"/>
  <c r="Q87" i="168"/>
  <c r="R2" i="168"/>
  <c r="R95" i="168"/>
  <c r="F91" i="168"/>
  <c r="Q109" i="167"/>
  <c r="N31" i="239" s="1"/>
  <c r="Q87" i="167"/>
  <c r="R95" i="167"/>
  <c r="F109" i="167"/>
  <c r="C31" i="239" s="1"/>
  <c r="R91" i="167"/>
  <c r="F87" i="167"/>
  <c r="R2" i="167"/>
  <c r="O87" i="167"/>
  <c r="O109" i="167"/>
  <c r="F109" i="166"/>
  <c r="C30" i="239" s="1"/>
  <c r="R91" i="166"/>
  <c r="F87" i="166"/>
  <c r="Q109" i="166"/>
  <c r="N30" i="239" s="1"/>
  <c r="Q87" i="166"/>
  <c r="R95" i="165"/>
  <c r="F91" i="165"/>
  <c r="O109" i="165"/>
  <c r="O87" i="165"/>
  <c r="N91" i="165"/>
  <c r="M109" i="165"/>
  <c r="M87" i="165"/>
  <c r="R2" i="165"/>
  <c r="R2" i="164"/>
  <c r="R95" i="164"/>
  <c r="F91" i="164"/>
  <c r="O87" i="164"/>
  <c r="O109" i="164"/>
  <c r="Q109" i="164"/>
  <c r="N28" i="239" s="1"/>
  <c r="Q87" i="164"/>
  <c r="Q109" i="163"/>
  <c r="N27" i="239" s="1"/>
  <c r="Q87" i="163"/>
  <c r="N109" i="163"/>
  <c r="N87" i="163"/>
  <c r="R95" i="163"/>
  <c r="F91" i="163"/>
  <c r="O109" i="163"/>
  <c r="O87" i="163"/>
  <c r="R2" i="163"/>
  <c r="R70" i="163"/>
  <c r="M109" i="162"/>
  <c r="M87" i="162"/>
  <c r="O87" i="162"/>
  <c r="O109" i="162"/>
  <c r="R2" i="162"/>
  <c r="R91" i="162"/>
  <c r="Q109" i="162"/>
  <c r="N26" i="239" s="1"/>
  <c r="Q87" i="162"/>
  <c r="N91" i="162"/>
  <c r="R92" i="162"/>
  <c r="N109" i="161"/>
  <c r="N87" i="161"/>
  <c r="R95" i="161"/>
  <c r="F91" i="161"/>
  <c r="M87" i="161"/>
  <c r="M109" i="161"/>
  <c r="Q109" i="161"/>
  <c r="N25" i="239" s="1"/>
  <c r="Q87" i="161"/>
  <c r="R95" i="160"/>
  <c r="F91" i="160"/>
  <c r="N109" i="160"/>
  <c r="N87" i="160"/>
  <c r="O109" i="159"/>
  <c r="O87" i="159"/>
  <c r="R95" i="159"/>
  <c r="F91" i="159"/>
  <c r="N109" i="159"/>
  <c r="N87" i="159"/>
  <c r="R2" i="159"/>
  <c r="R95" i="158"/>
  <c r="F91" i="158"/>
  <c r="N87" i="158"/>
  <c r="N109" i="158"/>
  <c r="Q109" i="158"/>
  <c r="N22" i="239" s="1"/>
  <c r="Q87" i="158"/>
  <c r="O109" i="158"/>
  <c r="O87" i="158"/>
  <c r="M87" i="157"/>
  <c r="M109" i="157"/>
  <c r="N87" i="157"/>
  <c r="N109" i="157"/>
  <c r="R95" i="157"/>
  <c r="F91" i="157"/>
  <c r="Q109" i="156"/>
  <c r="N20" i="239" s="1"/>
  <c r="Q87" i="156"/>
  <c r="N95" i="156"/>
  <c r="R95" i="156" s="1"/>
  <c r="M109" i="156"/>
  <c r="M87" i="156"/>
  <c r="R2" i="156"/>
  <c r="F91" i="156"/>
  <c r="Q109" i="155"/>
  <c r="N19" i="239" s="1"/>
  <c r="Q87" i="155"/>
  <c r="O109" i="155"/>
  <c r="O87" i="155"/>
  <c r="N109" i="155"/>
  <c r="N87" i="155"/>
  <c r="M87" i="155"/>
  <c r="M109" i="155"/>
  <c r="R95" i="155"/>
  <c r="F91" i="155"/>
  <c r="L95" i="154"/>
  <c r="R2" i="154"/>
  <c r="O87" i="154"/>
  <c r="O109" i="154"/>
  <c r="R48" i="154"/>
  <c r="Q109" i="154"/>
  <c r="Q87" i="154"/>
  <c r="F109" i="154"/>
  <c r="F87" i="154"/>
  <c r="Q109" i="153"/>
  <c r="Q87" i="153"/>
  <c r="Q78" i="153"/>
  <c r="R78" i="153" s="1"/>
  <c r="R70" i="153"/>
  <c r="R95" i="153"/>
  <c r="F91" i="153"/>
  <c r="R2" i="153"/>
  <c r="M87" i="152"/>
  <c r="M109" i="152"/>
  <c r="N109" i="152"/>
  <c r="N87" i="152"/>
  <c r="Q109" i="152"/>
  <c r="Q87" i="152"/>
  <c r="R95" i="152"/>
  <c r="F91" i="152"/>
  <c r="O109" i="151"/>
  <c r="O87" i="151"/>
  <c r="F91" i="151"/>
  <c r="N109" i="151"/>
  <c r="N87" i="151"/>
  <c r="Q2" i="151"/>
  <c r="R95" i="150"/>
  <c r="F91" i="150"/>
  <c r="N109" i="150"/>
  <c r="N87" i="150"/>
  <c r="Q109" i="150"/>
  <c r="Q87" i="150"/>
  <c r="M109" i="150"/>
  <c r="M87" i="150"/>
  <c r="N109" i="149"/>
  <c r="N87" i="149"/>
  <c r="R95" i="149"/>
  <c r="F109" i="149"/>
  <c r="R91" i="149"/>
  <c r="F87" i="149"/>
  <c r="R87" i="149" s="1"/>
  <c r="Q109" i="148"/>
  <c r="Q87" i="148"/>
  <c r="R95" i="148"/>
  <c r="F91" i="148"/>
  <c r="N87" i="148"/>
  <c r="N109" i="148"/>
  <c r="O109" i="148"/>
  <c r="O87" i="148"/>
  <c r="R2" i="148"/>
  <c r="R70" i="148"/>
  <c r="Q109" i="147"/>
  <c r="Q87" i="147"/>
  <c r="O109" i="147"/>
  <c r="O87" i="147"/>
  <c r="F109" i="147"/>
  <c r="R91" i="147"/>
  <c r="F87" i="147"/>
  <c r="R95" i="147"/>
  <c r="N109" i="146"/>
  <c r="N87" i="146"/>
  <c r="R91" i="146"/>
  <c r="O109" i="146"/>
  <c r="O87" i="146"/>
  <c r="Q109" i="146"/>
  <c r="Q87" i="146"/>
  <c r="M109" i="145"/>
  <c r="M87" i="145"/>
  <c r="F91" i="145"/>
  <c r="N95" i="145"/>
  <c r="R95" i="145" s="1"/>
  <c r="O87" i="144"/>
  <c r="O109" i="144"/>
  <c r="R95" i="144"/>
  <c r="F91" i="144"/>
  <c r="R2" i="144"/>
  <c r="Q109" i="144"/>
  <c r="Q87" i="144"/>
  <c r="Q109" i="143"/>
  <c r="Q87" i="143"/>
  <c r="R2" i="143"/>
  <c r="N87" i="143"/>
  <c r="N109" i="143"/>
  <c r="R95" i="143"/>
  <c r="F91" i="143"/>
  <c r="N109" i="142"/>
  <c r="N87" i="142"/>
  <c r="F91" i="142"/>
  <c r="Q2" i="142"/>
  <c r="R70" i="142"/>
  <c r="R2" i="141"/>
  <c r="R95" i="141"/>
  <c r="F91" i="141"/>
  <c r="N109" i="141"/>
  <c r="N87" i="141"/>
  <c r="O109" i="141"/>
  <c r="O87" i="141"/>
  <c r="Q78" i="140"/>
  <c r="R78" i="140" s="1"/>
  <c r="R70" i="140"/>
  <c r="Q2" i="140"/>
  <c r="N87" i="140"/>
  <c r="N109" i="140"/>
  <c r="F91" i="140"/>
  <c r="M109" i="139"/>
  <c r="M87" i="139"/>
  <c r="N91" i="139"/>
  <c r="R92" i="139"/>
  <c r="Q109" i="139"/>
  <c r="Q87" i="139"/>
  <c r="F109" i="139"/>
  <c r="R91" i="139"/>
  <c r="F87" i="139"/>
  <c r="R95" i="139"/>
  <c r="R2" i="139"/>
  <c r="O87" i="139"/>
  <c r="O109" i="139"/>
  <c r="N95" i="138"/>
  <c r="R95" i="138" s="1"/>
  <c r="R2" i="138"/>
  <c r="F109" i="138"/>
  <c r="F87" i="138"/>
  <c r="M109" i="138"/>
  <c r="M87" i="138"/>
  <c r="Q109" i="138"/>
  <c r="Q87" i="138"/>
  <c r="N91" i="138"/>
  <c r="R91" i="138" s="1"/>
  <c r="R92" i="138"/>
  <c r="R87" i="146" l="1"/>
  <c r="R86" i="146" s="1"/>
  <c r="R86" i="149"/>
  <c r="R87" i="147"/>
  <c r="R86" i="147" s="1"/>
  <c r="F109" i="172"/>
  <c r="C36" i="239" s="1"/>
  <c r="R91" i="172"/>
  <c r="F87" i="172"/>
  <c r="R87" i="172" s="1"/>
  <c r="Q109" i="171"/>
  <c r="N35" i="239" s="1"/>
  <c r="Q87" i="171"/>
  <c r="F109" i="171"/>
  <c r="C35" i="239" s="1"/>
  <c r="R91" i="171"/>
  <c r="F87" i="171"/>
  <c r="R2" i="171"/>
  <c r="R95" i="171"/>
  <c r="N87" i="170"/>
  <c r="N109" i="170"/>
  <c r="F109" i="170"/>
  <c r="C34" i="239" s="1"/>
  <c r="R91" i="170"/>
  <c r="F87" i="170"/>
  <c r="F109" i="169"/>
  <c r="C33" i="239" s="1"/>
  <c r="R91" i="169"/>
  <c r="F87" i="169"/>
  <c r="R87" i="169" s="1"/>
  <c r="F109" i="168"/>
  <c r="C32" i="239" s="1"/>
  <c r="R91" i="168"/>
  <c r="F87" i="168"/>
  <c r="R87" i="168" s="1"/>
  <c r="R87" i="167"/>
  <c r="R86" i="167" s="1"/>
  <c r="R87" i="166"/>
  <c r="R86" i="166" s="1"/>
  <c r="F109" i="165"/>
  <c r="C29" i="239" s="1"/>
  <c r="R91" i="165"/>
  <c r="F87" i="165"/>
  <c r="R87" i="165" s="1"/>
  <c r="N109" i="165"/>
  <c r="N87" i="165"/>
  <c r="F109" i="164"/>
  <c r="C28" i="239" s="1"/>
  <c r="R91" i="164"/>
  <c r="F87" i="164"/>
  <c r="R87" i="164" s="1"/>
  <c r="F109" i="163"/>
  <c r="C27" i="239" s="1"/>
  <c r="R91" i="163"/>
  <c r="F87" i="163"/>
  <c r="R87" i="163" s="1"/>
  <c r="N87" i="162"/>
  <c r="R87" i="162" s="1"/>
  <c r="R86" i="162" s="1"/>
  <c r="N109" i="162"/>
  <c r="F109" i="161"/>
  <c r="C25" i="239" s="1"/>
  <c r="R91" i="161"/>
  <c r="F87" i="161"/>
  <c r="R87" i="161" s="1"/>
  <c r="F109" i="160"/>
  <c r="C24" i="239" s="1"/>
  <c r="R91" i="160"/>
  <c r="F87" i="160"/>
  <c r="R87" i="160" s="1"/>
  <c r="F109" i="159"/>
  <c r="C23" i="239" s="1"/>
  <c r="R91" i="159"/>
  <c r="F87" i="159"/>
  <c r="R87" i="159" s="1"/>
  <c r="F109" i="158"/>
  <c r="C22" i="239" s="1"/>
  <c r="R91" i="158"/>
  <c r="F87" i="158"/>
  <c r="R87" i="158" s="1"/>
  <c r="F109" i="157"/>
  <c r="C21" i="239" s="1"/>
  <c r="R91" i="157"/>
  <c r="F87" i="157"/>
  <c r="R87" i="157" s="1"/>
  <c r="N91" i="156"/>
  <c r="F109" i="156"/>
  <c r="C20" i="239" s="1"/>
  <c r="R91" i="156"/>
  <c r="F87" i="156"/>
  <c r="F109" i="155"/>
  <c r="C19" i="239" s="1"/>
  <c r="R91" i="155"/>
  <c r="F87" i="155"/>
  <c r="R87" i="155" s="1"/>
  <c r="L91" i="154"/>
  <c r="R95" i="154"/>
  <c r="F109" i="153"/>
  <c r="F87" i="153"/>
  <c r="R87" i="153" s="1"/>
  <c r="R91" i="153"/>
  <c r="F109" i="152"/>
  <c r="R91" i="152"/>
  <c r="F87" i="152"/>
  <c r="R87" i="152" s="1"/>
  <c r="F109" i="151"/>
  <c r="F87" i="151"/>
  <c r="Q95" i="151"/>
  <c r="R2" i="151"/>
  <c r="F109" i="150"/>
  <c r="R91" i="150"/>
  <c r="F87" i="150"/>
  <c r="R87" i="150" s="1"/>
  <c r="F109" i="148"/>
  <c r="R91" i="148"/>
  <c r="F87" i="148"/>
  <c r="R87" i="148" s="1"/>
  <c r="N91" i="145"/>
  <c r="F109" i="145"/>
  <c r="F87" i="145"/>
  <c r="F109" i="144"/>
  <c r="R91" i="144"/>
  <c r="F87" i="144"/>
  <c r="R87" i="144" s="1"/>
  <c r="F109" i="143"/>
  <c r="R91" i="143"/>
  <c r="F87" i="143"/>
  <c r="R87" i="143" s="1"/>
  <c r="Q95" i="142"/>
  <c r="R2" i="142"/>
  <c r="F109" i="142"/>
  <c r="F87" i="142"/>
  <c r="F109" i="141"/>
  <c r="R91" i="141"/>
  <c r="F87" i="141"/>
  <c r="R87" i="141" s="1"/>
  <c r="Q95" i="140"/>
  <c r="R2" i="140"/>
  <c r="F109" i="140"/>
  <c r="F87" i="140"/>
  <c r="N87" i="139"/>
  <c r="R87" i="139" s="1"/>
  <c r="R86" i="139" s="1"/>
  <c r="N109" i="139"/>
  <c r="N87" i="138"/>
  <c r="N109" i="138"/>
  <c r="R87" i="138"/>
  <c r="R86" i="138" s="1"/>
  <c r="R86" i="152" l="1"/>
  <c r="R86" i="158"/>
  <c r="R86" i="160"/>
  <c r="R86" i="169"/>
  <c r="R86" i="172"/>
  <c r="R86" i="157"/>
  <c r="R86" i="159"/>
  <c r="R86" i="161"/>
  <c r="R86" i="168"/>
  <c r="R86" i="165"/>
  <c r="R86" i="150"/>
  <c r="R86" i="164"/>
  <c r="R86" i="144"/>
  <c r="R86" i="148"/>
  <c r="R86" i="163"/>
  <c r="R87" i="171"/>
  <c r="R86" i="171" s="1"/>
  <c r="R87" i="170"/>
  <c r="R86" i="170" s="1"/>
  <c r="R87" i="156"/>
  <c r="R86" i="156" s="1"/>
  <c r="N109" i="156"/>
  <c r="N87" i="156"/>
  <c r="R86" i="155"/>
  <c r="L109" i="154"/>
  <c r="L87" i="154"/>
  <c r="R87" i="154" s="1"/>
  <c r="R91" i="154"/>
  <c r="R86" i="153"/>
  <c r="Q91" i="151"/>
  <c r="R95" i="151"/>
  <c r="N109" i="145"/>
  <c r="N87" i="145"/>
  <c r="R87" i="145" s="1"/>
  <c r="R91" i="145"/>
  <c r="R86" i="143"/>
  <c r="Q91" i="142"/>
  <c r="R95" i="142"/>
  <c r="R86" i="141"/>
  <c r="Q91" i="140"/>
  <c r="R95" i="140"/>
  <c r="R86" i="145" l="1"/>
  <c r="R86" i="154"/>
  <c r="Q109" i="151"/>
  <c r="Q87" i="151"/>
  <c r="R87" i="151" s="1"/>
  <c r="R91" i="151"/>
  <c r="Q109" i="142"/>
  <c r="Q87" i="142"/>
  <c r="R87" i="142" s="1"/>
  <c r="R91" i="142"/>
  <c r="Q109" i="140"/>
  <c r="Q87" i="140"/>
  <c r="R87" i="140" s="1"/>
  <c r="R91" i="140"/>
  <c r="R86" i="142" l="1"/>
  <c r="R86" i="151"/>
  <c r="R86" i="140"/>
  <c r="D18" i="240" l="1"/>
  <c r="E18" i="240"/>
  <c r="F18" i="240"/>
  <c r="G18" i="240"/>
  <c r="H18" i="240"/>
  <c r="I18" i="240"/>
  <c r="J18" i="240"/>
  <c r="K18" i="240"/>
  <c r="L18" i="240"/>
  <c r="M18" i="240"/>
  <c r="N18" i="240"/>
  <c r="C18" i="240"/>
  <c r="D18" i="239"/>
  <c r="E18" i="239"/>
  <c r="F18" i="239"/>
  <c r="G18" i="239"/>
  <c r="H18" i="239"/>
  <c r="J18" i="239"/>
  <c r="K18" i="239"/>
  <c r="L18" i="239"/>
  <c r="M18" i="239"/>
  <c r="D17" i="240"/>
  <c r="E17" i="240"/>
  <c r="F17" i="240"/>
  <c r="G17" i="240"/>
  <c r="H17" i="240"/>
  <c r="I17" i="240"/>
  <c r="J17" i="240"/>
  <c r="K17" i="240"/>
  <c r="L17" i="240"/>
  <c r="M17" i="240"/>
  <c r="N17" i="240"/>
  <c r="C17" i="240"/>
  <c r="D17" i="239"/>
  <c r="E17" i="239"/>
  <c r="F17" i="239"/>
  <c r="G17" i="239"/>
  <c r="H17" i="239"/>
  <c r="J17" i="239"/>
  <c r="K17" i="239"/>
  <c r="L17" i="239"/>
  <c r="M17" i="239"/>
  <c r="D16" i="240"/>
  <c r="E16" i="240"/>
  <c r="F16" i="240"/>
  <c r="G16" i="240"/>
  <c r="H16" i="240"/>
  <c r="I16" i="240"/>
  <c r="J16" i="240"/>
  <c r="K16" i="240"/>
  <c r="L16" i="240"/>
  <c r="M16" i="240"/>
  <c r="N16" i="240"/>
  <c r="C16" i="240"/>
  <c r="D16" i="239"/>
  <c r="E16" i="239"/>
  <c r="F16" i="239"/>
  <c r="G16" i="239"/>
  <c r="H16" i="239"/>
  <c r="J16" i="239"/>
  <c r="K16" i="239"/>
  <c r="L16" i="239"/>
  <c r="M16" i="239"/>
  <c r="D15" i="240"/>
  <c r="E15" i="240"/>
  <c r="F15" i="240"/>
  <c r="G15" i="240"/>
  <c r="H15" i="240"/>
  <c r="I15" i="240"/>
  <c r="J15" i="240"/>
  <c r="K15" i="240"/>
  <c r="L15" i="240"/>
  <c r="M15" i="240"/>
  <c r="N15" i="240"/>
  <c r="C15" i="240"/>
  <c r="D15" i="239"/>
  <c r="E15" i="239"/>
  <c r="F15" i="239"/>
  <c r="G15" i="239"/>
  <c r="H15" i="239"/>
  <c r="J15" i="239"/>
  <c r="K15" i="239"/>
  <c r="L15" i="239"/>
  <c r="M15" i="239"/>
  <c r="D14" i="240"/>
  <c r="E14" i="240"/>
  <c r="F14" i="240"/>
  <c r="G14" i="240"/>
  <c r="H14" i="240"/>
  <c r="I14" i="240"/>
  <c r="J14" i="240"/>
  <c r="K14" i="240"/>
  <c r="L14" i="240"/>
  <c r="M14" i="240"/>
  <c r="N14" i="240"/>
  <c r="C14" i="240"/>
  <c r="D14" i="239"/>
  <c r="E14" i="239"/>
  <c r="F14" i="239"/>
  <c r="G14" i="239"/>
  <c r="H14" i="239"/>
  <c r="J14" i="239"/>
  <c r="K14" i="239"/>
  <c r="L14" i="239"/>
  <c r="M14" i="239"/>
  <c r="D13" i="240"/>
  <c r="E13" i="240"/>
  <c r="F13" i="240"/>
  <c r="G13" i="240"/>
  <c r="H13" i="240"/>
  <c r="I13" i="240"/>
  <c r="J13" i="240"/>
  <c r="K13" i="240"/>
  <c r="L13" i="240"/>
  <c r="M13" i="240"/>
  <c r="N13" i="240"/>
  <c r="C13" i="240"/>
  <c r="D13" i="239"/>
  <c r="E13" i="239"/>
  <c r="F13" i="239"/>
  <c r="G13" i="239"/>
  <c r="H13" i="239"/>
  <c r="J13" i="239"/>
  <c r="K13" i="239"/>
  <c r="L13" i="239"/>
  <c r="M13" i="239"/>
  <c r="D12" i="240"/>
  <c r="E12" i="240"/>
  <c r="F12" i="240"/>
  <c r="G12" i="240"/>
  <c r="H12" i="240"/>
  <c r="I12" i="240"/>
  <c r="J12" i="240"/>
  <c r="K12" i="240"/>
  <c r="L12" i="240"/>
  <c r="M12" i="240"/>
  <c r="N12" i="240"/>
  <c r="C12" i="240"/>
  <c r="D12" i="239"/>
  <c r="E12" i="239"/>
  <c r="F12" i="239"/>
  <c r="G12" i="239"/>
  <c r="H12" i="239"/>
  <c r="J12" i="239"/>
  <c r="K12" i="239"/>
  <c r="L12" i="239"/>
  <c r="M12" i="239"/>
  <c r="D11" i="240"/>
  <c r="E11" i="240"/>
  <c r="F11" i="240"/>
  <c r="G11" i="240"/>
  <c r="H11" i="240"/>
  <c r="I11" i="240"/>
  <c r="J11" i="240"/>
  <c r="K11" i="240"/>
  <c r="L11" i="240"/>
  <c r="M11" i="240"/>
  <c r="N11" i="240"/>
  <c r="C11" i="240"/>
  <c r="D11" i="239"/>
  <c r="E11" i="239"/>
  <c r="F11" i="239"/>
  <c r="G11" i="239"/>
  <c r="H11" i="239"/>
  <c r="J11" i="239"/>
  <c r="K11" i="239"/>
  <c r="L11" i="239"/>
  <c r="M11" i="239"/>
  <c r="D10" i="240"/>
  <c r="E10" i="240"/>
  <c r="F10" i="240"/>
  <c r="G10" i="240"/>
  <c r="H10" i="240"/>
  <c r="I10" i="240"/>
  <c r="J10" i="240"/>
  <c r="K10" i="240"/>
  <c r="L10" i="240"/>
  <c r="M10" i="240"/>
  <c r="N10" i="240"/>
  <c r="C10" i="240"/>
  <c r="D10" i="239"/>
  <c r="E10" i="239"/>
  <c r="F10" i="239"/>
  <c r="G10" i="239"/>
  <c r="H10" i="239"/>
  <c r="J10" i="239"/>
  <c r="K10" i="239"/>
  <c r="L10" i="239"/>
  <c r="M10" i="239"/>
  <c r="M9" i="240"/>
  <c r="N9" i="240"/>
  <c r="D9" i="240"/>
  <c r="E9" i="240"/>
  <c r="F9" i="240"/>
  <c r="G9" i="240"/>
  <c r="H9" i="240"/>
  <c r="I9" i="240"/>
  <c r="J9" i="240"/>
  <c r="K9" i="240"/>
  <c r="L9" i="240"/>
  <c r="C9" i="240"/>
  <c r="D9" i="239"/>
  <c r="E9" i="239"/>
  <c r="F9" i="239"/>
  <c r="G9" i="239"/>
  <c r="H9" i="239"/>
  <c r="J9" i="239"/>
  <c r="K9" i="239"/>
  <c r="L9" i="239"/>
  <c r="M9" i="239"/>
  <c r="K8" i="240"/>
  <c r="L8" i="240"/>
  <c r="M8" i="240"/>
  <c r="N8" i="240"/>
  <c r="D8" i="240"/>
  <c r="E8" i="240"/>
  <c r="F8" i="240"/>
  <c r="G8" i="240"/>
  <c r="H8" i="240"/>
  <c r="I8" i="240"/>
  <c r="J8" i="240"/>
  <c r="C8" i="240"/>
  <c r="D8" i="239"/>
  <c r="E8" i="239"/>
  <c r="F8" i="239"/>
  <c r="G8" i="239"/>
  <c r="H8" i="239"/>
  <c r="J8" i="239"/>
  <c r="K8" i="239"/>
  <c r="L8" i="239"/>
  <c r="M8" i="239"/>
  <c r="D7" i="240"/>
  <c r="E7" i="240"/>
  <c r="F7" i="240"/>
  <c r="G7" i="240"/>
  <c r="H7" i="240"/>
  <c r="I7" i="240"/>
  <c r="J7" i="240"/>
  <c r="K7" i="240"/>
  <c r="L7" i="240"/>
  <c r="M7" i="240"/>
  <c r="N7" i="240"/>
  <c r="C7" i="240"/>
  <c r="D7" i="239"/>
  <c r="E7" i="239"/>
  <c r="F7" i="239"/>
  <c r="G7" i="239"/>
  <c r="H7" i="239"/>
  <c r="J7" i="239"/>
  <c r="K7" i="239"/>
  <c r="L7" i="239"/>
  <c r="M7" i="239"/>
  <c r="D6" i="240"/>
  <c r="E6" i="240"/>
  <c r="F6" i="240"/>
  <c r="G6" i="240"/>
  <c r="H6" i="240"/>
  <c r="I6" i="240"/>
  <c r="J6" i="240"/>
  <c r="K6" i="240"/>
  <c r="L6" i="240"/>
  <c r="M6" i="240"/>
  <c r="N6" i="240"/>
  <c r="C6" i="240"/>
  <c r="D6" i="239"/>
  <c r="E6" i="239"/>
  <c r="F6" i="239"/>
  <c r="G6" i="239"/>
  <c r="H6" i="239"/>
  <c r="J6" i="239"/>
  <c r="K6" i="239"/>
  <c r="L6" i="239"/>
  <c r="M6" i="239"/>
  <c r="D5" i="239"/>
  <c r="E5" i="239"/>
  <c r="F5" i="239"/>
  <c r="G5" i="239"/>
  <c r="H5" i="239"/>
  <c r="J5" i="239"/>
  <c r="K5" i="239"/>
  <c r="L5" i="239"/>
  <c r="M5" i="239"/>
  <c r="D5" i="240"/>
  <c r="E5" i="240"/>
  <c r="F5" i="240"/>
  <c r="G5" i="240"/>
  <c r="H5" i="240"/>
  <c r="I5" i="240"/>
  <c r="J5" i="240"/>
  <c r="K5" i="240"/>
  <c r="L5" i="240"/>
  <c r="M5" i="240"/>
  <c r="N5" i="240"/>
  <c r="C5" i="240"/>
  <c r="D4" i="239" l="1"/>
  <c r="E4" i="239"/>
  <c r="F4" i="239"/>
  <c r="G4" i="239"/>
  <c r="H4" i="239"/>
  <c r="J4" i="239"/>
  <c r="K4" i="239"/>
  <c r="L4" i="239"/>
  <c r="M4" i="239"/>
  <c r="D4" i="240"/>
  <c r="E4" i="240"/>
  <c r="F4" i="240"/>
  <c r="G4" i="240"/>
  <c r="H4" i="240"/>
  <c r="I4" i="240"/>
  <c r="J4" i="240"/>
  <c r="K4" i="240"/>
  <c r="L4" i="240"/>
  <c r="M4" i="240"/>
  <c r="N4" i="240"/>
  <c r="C4" i="240"/>
  <c r="D3" i="239" l="1"/>
  <c r="E3" i="239"/>
  <c r="F3" i="239"/>
  <c r="G3" i="239"/>
  <c r="H3" i="239"/>
  <c r="J3" i="239"/>
  <c r="K3" i="239"/>
  <c r="L3" i="239"/>
  <c r="M3" i="239"/>
  <c r="D3" i="240"/>
  <c r="E3" i="240"/>
  <c r="F3" i="240"/>
  <c r="G3" i="240"/>
  <c r="H3" i="240"/>
  <c r="I3" i="240"/>
  <c r="J3" i="240"/>
  <c r="K3" i="240"/>
  <c r="L3" i="240"/>
  <c r="M3" i="240"/>
  <c r="N3" i="240"/>
  <c r="C3" i="240"/>
  <c r="I16" i="239" l="1"/>
  <c r="I14" i="239"/>
  <c r="I11" i="239"/>
  <c r="I10" i="239"/>
  <c r="I18" i="239"/>
  <c r="I12" i="239"/>
  <c r="I9" i="239"/>
  <c r="I8" i="239"/>
  <c r="I6" i="239"/>
  <c r="I5" i="239"/>
  <c r="D2" i="240"/>
  <c r="E2" i="240"/>
  <c r="F2" i="240"/>
  <c r="G2" i="240"/>
  <c r="H2" i="240"/>
  <c r="I2" i="240"/>
  <c r="J2" i="240"/>
  <c r="K2" i="240"/>
  <c r="L2" i="240"/>
  <c r="M2" i="240"/>
  <c r="N2" i="240"/>
  <c r="C2" i="240"/>
  <c r="D2" i="239"/>
  <c r="E2" i="239"/>
  <c r="F2" i="239"/>
  <c r="G2" i="239"/>
  <c r="H2" i="239"/>
  <c r="J2" i="239"/>
  <c r="K2" i="239"/>
  <c r="L2" i="239"/>
  <c r="M2" i="239"/>
  <c r="I17" i="239" l="1"/>
  <c r="C17" i="239"/>
  <c r="I15" i="239"/>
  <c r="N14" i="239"/>
  <c r="I13" i="239"/>
  <c r="N12" i="239"/>
  <c r="N9" i="239"/>
  <c r="I7" i="239"/>
  <c r="I4" i="239"/>
  <c r="G86" i="16"/>
  <c r="C18" i="239" l="1"/>
  <c r="N17" i="239"/>
  <c r="C16" i="239"/>
  <c r="N16" i="239"/>
  <c r="N15" i="239"/>
  <c r="C12" i="239"/>
  <c r="N11" i="239"/>
  <c r="C10" i="239"/>
  <c r="N10" i="239"/>
  <c r="N8" i="239"/>
  <c r="N7" i="239"/>
  <c r="C7" i="239"/>
  <c r="C6" i="239"/>
  <c r="N6" i="239"/>
  <c r="N5" i="239"/>
  <c r="F13" i="4"/>
  <c r="H13" i="4"/>
  <c r="J13" i="4"/>
  <c r="K13" i="4"/>
  <c r="N13" i="4"/>
  <c r="P13" i="4"/>
  <c r="Q13" i="4"/>
  <c r="X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R13" i="4"/>
  <c r="AV13" i="4"/>
  <c r="AW13" i="4"/>
  <c r="AX13" i="4"/>
  <c r="AY13" i="4"/>
  <c r="AZ13" i="4"/>
  <c r="BA13" i="4"/>
  <c r="BB13" i="4"/>
  <c r="BC13" i="4"/>
  <c r="BD13" i="4"/>
  <c r="BG13" i="4"/>
  <c r="BH13" i="4"/>
  <c r="BK13" i="4"/>
  <c r="BM13" i="4"/>
  <c r="BP13" i="4"/>
  <c r="BQ13" i="4"/>
  <c r="BR13" i="4"/>
  <c r="BS13" i="4"/>
  <c r="BT13" i="4"/>
  <c r="BV13" i="4"/>
  <c r="BX13" i="4"/>
  <c r="BY13" i="4"/>
  <c r="BZ13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CN13" i="4"/>
  <c r="CO13" i="4"/>
  <c r="CP13" i="4"/>
  <c r="CQ13" i="4"/>
  <c r="CR13" i="4"/>
  <c r="CS13" i="4"/>
  <c r="CT13" i="4"/>
  <c r="CU13" i="4"/>
  <c r="CV13" i="4"/>
  <c r="CW13" i="4"/>
  <c r="CX13" i="4"/>
  <c r="CY13" i="4"/>
  <c r="DA13" i="4"/>
  <c r="E13" i="4"/>
  <c r="C15" i="239" l="1"/>
  <c r="C14" i="239"/>
  <c r="N13" i="239"/>
  <c r="C13" i="239"/>
  <c r="C11" i="239"/>
  <c r="C9" i="239"/>
  <c r="C8" i="239"/>
  <c r="C5" i="239"/>
  <c r="I3" i="239"/>
  <c r="N3" i="239"/>
  <c r="D77" i="16"/>
  <c r="F68" i="4"/>
  <c r="G68" i="4"/>
  <c r="H68" i="4"/>
  <c r="I68" i="4"/>
  <c r="J68" i="4"/>
  <c r="K68" i="4"/>
  <c r="L68" i="4"/>
  <c r="M68" i="4"/>
  <c r="N68" i="4"/>
  <c r="O68" i="4"/>
  <c r="O13" i="4" s="1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BV68" i="4"/>
  <c r="BW68" i="4"/>
  <c r="BX68" i="4"/>
  <c r="BY68" i="4"/>
  <c r="BZ68" i="4"/>
  <c r="CA68" i="4"/>
  <c r="CB68" i="4"/>
  <c r="CC68" i="4"/>
  <c r="CD68" i="4"/>
  <c r="CE68" i="4"/>
  <c r="CF68" i="4"/>
  <c r="CG68" i="4"/>
  <c r="CH68" i="4"/>
  <c r="CI68" i="4"/>
  <c r="CJ68" i="4"/>
  <c r="CK68" i="4"/>
  <c r="CL68" i="4"/>
  <c r="CM68" i="4"/>
  <c r="CN68" i="4"/>
  <c r="CO68" i="4"/>
  <c r="CP68" i="4"/>
  <c r="CQ68" i="4"/>
  <c r="CR68" i="4"/>
  <c r="CS68" i="4"/>
  <c r="CT68" i="4"/>
  <c r="CU68" i="4"/>
  <c r="CV68" i="4"/>
  <c r="CW68" i="4"/>
  <c r="CX68" i="4"/>
  <c r="CY68" i="4"/>
  <c r="CZ68" i="4"/>
  <c r="DA68" i="4"/>
  <c r="E68" i="4"/>
  <c r="D59" i="16"/>
  <c r="G59" i="16" s="1"/>
  <c r="D58" i="16"/>
  <c r="G58" i="16" s="1"/>
  <c r="D57" i="16"/>
  <c r="G57" i="16" s="1"/>
  <c r="D56" i="16"/>
  <c r="G56" i="16" s="1"/>
  <c r="D55" i="16"/>
  <c r="G55" i="16" s="1"/>
  <c r="D54" i="16"/>
  <c r="G54" i="16" s="1"/>
  <c r="D53" i="16"/>
  <c r="D52" i="16"/>
  <c r="D51" i="16"/>
  <c r="D50" i="16"/>
  <c r="D49" i="16"/>
  <c r="D60" i="16"/>
  <c r="D58" i="4"/>
  <c r="D75" i="4"/>
  <c r="D76" i="4"/>
  <c r="C4" i="239" l="1"/>
  <c r="N2" i="239"/>
  <c r="I2" i="239"/>
  <c r="N49" i="16"/>
  <c r="J49" i="16"/>
  <c r="F49" i="16"/>
  <c r="M49" i="16"/>
  <c r="I49" i="16"/>
  <c r="L49" i="16"/>
  <c r="H49" i="16"/>
  <c r="K49" i="16"/>
  <c r="G49" i="16"/>
  <c r="G53" i="16"/>
  <c r="K53" i="16"/>
  <c r="H53" i="16"/>
  <c r="L53" i="16"/>
  <c r="I53" i="16"/>
  <c r="M53" i="16"/>
  <c r="F53" i="16"/>
  <c r="J53" i="16"/>
  <c r="N53" i="16"/>
  <c r="H50" i="16"/>
  <c r="L50" i="16"/>
  <c r="I50" i="16"/>
  <c r="M50" i="16"/>
  <c r="F50" i="16"/>
  <c r="J50" i="16"/>
  <c r="N50" i="16"/>
  <c r="G50" i="16"/>
  <c r="K50" i="16"/>
  <c r="F51" i="16"/>
  <c r="J51" i="16"/>
  <c r="N51" i="16"/>
  <c r="G51" i="16"/>
  <c r="K51" i="16"/>
  <c r="H51" i="16"/>
  <c r="L51" i="16"/>
  <c r="I51" i="16"/>
  <c r="M51" i="16"/>
  <c r="H77" i="16"/>
  <c r="N77" i="16" s="1"/>
  <c r="F60" i="16"/>
  <c r="R60" i="16" s="1"/>
  <c r="I52" i="16"/>
  <c r="M52" i="16"/>
  <c r="F52" i="16"/>
  <c r="J52" i="16"/>
  <c r="N52" i="16"/>
  <c r="G52" i="16"/>
  <c r="K52" i="16"/>
  <c r="L52" i="16"/>
  <c r="H52" i="16"/>
  <c r="N18" i="239" l="1"/>
  <c r="C3" i="239"/>
  <c r="O50" i="16"/>
  <c r="O52" i="16"/>
  <c r="R77" i="16"/>
  <c r="O53" i="16"/>
  <c r="O51" i="16"/>
  <c r="O49" i="16"/>
  <c r="N4" i="239" l="1"/>
  <c r="C2" i="239"/>
  <c r="N68" i="240" l="1"/>
  <c r="N53" i="240" l="1"/>
  <c r="N41" i="240"/>
  <c r="M103" i="240"/>
  <c r="N103" i="240" l="1"/>
  <c r="D29" i="4" l="1"/>
  <c r="D30" i="4"/>
  <c r="D31" i="4"/>
  <c r="D32" i="4"/>
  <c r="D33" i="4"/>
  <c r="D34" i="4"/>
  <c r="D35" i="4"/>
  <c r="D36" i="4"/>
  <c r="D37" i="4"/>
  <c r="D38" i="4"/>
  <c r="D39" i="4"/>
  <c r="D40" i="4"/>
  <c r="G16" i="134" l="1"/>
  <c r="B27" i="131" l="1"/>
  <c r="CX27" i="131" l="1"/>
  <c r="CW27" i="131"/>
  <c r="CV27" i="131"/>
  <c r="CU27" i="131"/>
  <c r="CT27" i="131"/>
  <c r="CS27" i="131"/>
  <c r="CR27" i="131"/>
  <c r="CQ27" i="131"/>
  <c r="CP27" i="131"/>
  <c r="CO27" i="131"/>
  <c r="CN27" i="131"/>
  <c r="CM27" i="131"/>
  <c r="CL27" i="131"/>
  <c r="CK27" i="131"/>
  <c r="CJ27" i="131"/>
  <c r="CI27" i="131"/>
  <c r="CH27" i="131"/>
  <c r="CG27" i="131"/>
  <c r="CF27" i="131"/>
  <c r="CE27" i="131"/>
  <c r="CD27" i="131"/>
  <c r="CC27" i="131"/>
  <c r="CB27" i="131"/>
  <c r="CA27" i="131"/>
  <c r="BZ27" i="131"/>
  <c r="BY27" i="131"/>
  <c r="BX27" i="131"/>
  <c r="BW27" i="131"/>
  <c r="BV27" i="131"/>
  <c r="BU27" i="131"/>
  <c r="BT27" i="131"/>
  <c r="BS27" i="131"/>
  <c r="BR27" i="131"/>
  <c r="BQ27" i="131"/>
  <c r="BP27" i="131"/>
  <c r="BO27" i="131"/>
  <c r="BN27" i="131"/>
  <c r="BM27" i="131"/>
  <c r="BL27" i="131"/>
  <c r="BK27" i="131"/>
  <c r="BJ27" i="131"/>
  <c r="BI27" i="131"/>
  <c r="BH27" i="131"/>
  <c r="BG27" i="131"/>
  <c r="BF27" i="131"/>
  <c r="BE27" i="131"/>
  <c r="BD27" i="131"/>
  <c r="BC27" i="131"/>
  <c r="BB27" i="131"/>
  <c r="BA27" i="131"/>
  <c r="AZ27" i="131"/>
  <c r="AY27" i="131"/>
  <c r="AX27" i="131"/>
  <c r="AW27" i="131"/>
  <c r="AV27" i="131"/>
  <c r="AU27" i="131"/>
  <c r="AT27" i="131"/>
  <c r="AS27" i="131"/>
  <c r="AR27" i="131"/>
  <c r="AQ27" i="131"/>
  <c r="AP27" i="131"/>
  <c r="AO27" i="131"/>
  <c r="AN27" i="131"/>
  <c r="AM27" i="131"/>
  <c r="AL27" i="131"/>
  <c r="AK27" i="131"/>
  <c r="AJ27" i="131"/>
  <c r="AI27" i="131"/>
  <c r="AH27" i="131"/>
  <c r="AG27" i="131"/>
  <c r="AF27" i="131"/>
  <c r="AE27" i="131"/>
  <c r="AD27" i="131"/>
  <c r="AC27" i="131"/>
  <c r="AB27" i="131"/>
  <c r="AA27" i="131"/>
  <c r="Z27" i="131"/>
  <c r="Y27" i="131"/>
  <c r="X27" i="131"/>
  <c r="W27" i="131"/>
  <c r="V27" i="131"/>
  <c r="U27" i="131"/>
  <c r="T27" i="131"/>
  <c r="S27" i="131"/>
  <c r="R27" i="131"/>
  <c r="Q27" i="131"/>
  <c r="P27" i="131"/>
  <c r="O27" i="131"/>
  <c r="N27" i="131"/>
  <c r="M27" i="131"/>
  <c r="L27" i="131"/>
  <c r="K27" i="131"/>
  <c r="J27" i="131"/>
  <c r="I27" i="131"/>
  <c r="H27" i="131"/>
  <c r="G27" i="131"/>
  <c r="F27" i="131"/>
  <c r="E27" i="131"/>
  <c r="D27" i="131"/>
  <c r="C27" i="131"/>
  <c r="M103" i="239" l="1"/>
  <c r="G10" i="134"/>
  <c r="G15" i="134" l="1"/>
  <c r="D48" i="4" l="1"/>
  <c r="D47" i="4"/>
  <c r="R41" i="16"/>
  <c r="R39" i="16"/>
  <c r="R38" i="16"/>
  <c r="G40" i="16"/>
  <c r="H40" i="16"/>
  <c r="I40" i="16"/>
  <c r="J40" i="16"/>
  <c r="K40" i="16"/>
  <c r="L40" i="16"/>
  <c r="M40" i="16"/>
  <c r="N40" i="16"/>
  <c r="O40" i="16"/>
  <c r="P40" i="16"/>
  <c r="Q40" i="16"/>
  <c r="F40" i="16"/>
  <c r="G21" i="134"/>
  <c r="G20" i="134"/>
  <c r="G19" i="134"/>
  <c r="G18" i="134"/>
  <c r="G17" i="134"/>
  <c r="G14" i="134"/>
  <c r="G13" i="134"/>
  <c r="G12" i="134"/>
  <c r="G11" i="134"/>
  <c r="G9" i="134"/>
  <c r="G8" i="134"/>
  <c r="G7" i="134"/>
  <c r="G6" i="134"/>
  <c r="G5" i="134"/>
  <c r="G4" i="134"/>
  <c r="G3" i="134"/>
  <c r="G2" i="134"/>
  <c r="G83" i="16"/>
  <c r="H83" i="16"/>
  <c r="I83" i="16"/>
  <c r="J83" i="16"/>
  <c r="K83" i="16"/>
  <c r="M83" i="16"/>
  <c r="N83" i="16"/>
  <c r="O83" i="16"/>
  <c r="P83" i="16"/>
  <c r="Q83" i="16"/>
  <c r="P47" i="16"/>
  <c r="O47" i="16"/>
  <c r="M47" i="16"/>
  <c r="L47" i="16"/>
  <c r="J47" i="16"/>
  <c r="I47" i="16"/>
  <c r="H47" i="16"/>
  <c r="G47" i="16"/>
  <c r="P45" i="16"/>
  <c r="O45" i="16"/>
  <c r="N45" i="16"/>
  <c r="M45" i="16"/>
  <c r="K45" i="16"/>
  <c r="J45" i="16"/>
  <c r="H45" i="16"/>
  <c r="G45" i="16"/>
  <c r="P76" i="16"/>
  <c r="Q76" i="16"/>
  <c r="D23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BV78" i="4"/>
  <c r="BW78" i="4"/>
  <c r="BX78" i="4"/>
  <c r="BY78" i="4"/>
  <c r="BZ78" i="4"/>
  <c r="CA78" i="4"/>
  <c r="CB78" i="4"/>
  <c r="CC78" i="4"/>
  <c r="CD78" i="4"/>
  <c r="CE78" i="4"/>
  <c r="CF78" i="4"/>
  <c r="CG78" i="4"/>
  <c r="CH78" i="4"/>
  <c r="CI78" i="4"/>
  <c r="CJ78" i="4"/>
  <c r="CK78" i="4"/>
  <c r="CL78" i="4"/>
  <c r="CM78" i="4"/>
  <c r="CN78" i="4"/>
  <c r="CO78" i="4"/>
  <c r="CP78" i="4"/>
  <c r="CQ78" i="4"/>
  <c r="CR78" i="4"/>
  <c r="CS78" i="4"/>
  <c r="CT78" i="4"/>
  <c r="CU78" i="4"/>
  <c r="CV78" i="4"/>
  <c r="CW78" i="4"/>
  <c r="CX78" i="4"/>
  <c r="CY78" i="4"/>
  <c r="CZ78" i="4"/>
  <c r="DA78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J13" i="4" s="1"/>
  <c r="BK74" i="4"/>
  <c r="BL74" i="4"/>
  <c r="BM74" i="4"/>
  <c r="BN74" i="4"/>
  <c r="BO74" i="4"/>
  <c r="BP74" i="4"/>
  <c r="BQ74" i="4"/>
  <c r="BR74" i="4"/>
  <c r="BS74" i="4"/>
  <c r="BT74" i="4"/>
  <c r="BU74" i="4"/>
  <c r="BV74" i="4"/>
  <c r="BW74" i="4"/>
  <c r="BX74" i="4"/>
  <c r="BY74" i="4"/>
  <c r="BZ74" i="4"/>
  <c r="CA74" i="4"/>
  <c r="CB74" i="4"/>
  <c r="CC74" i="4"/>
  <c r="CD74" i="4"/>
  <c r="CE74" i="4"/>
  <c r="CF74" i="4"/>
  <c r="CG74" i="4"/>
  <c r="CH74" i="4"/>
  <c r="CI74" i="4"/>
  <c r="CJ74" i="4"/>
  <c r="CK74" i="4"/>
  <c r="CL74" i="4"/>
  <c r="CM74" i="4"/>
  <c r="CN74" i="4"/>
  <c r="CO74" i="4"/>
  <c r="CP74" i="4"/>
  <c r="CQ74" i="4"/>
  <c r="CR74" i="4"/>
  <c r="CS74" i="4"/>
  <c r="CT74" i="4"/>
  <c r="CU74" i="4"/>
  <c r="CV74" i="4"/>
  <c r="CW74" i="4"/>
  <c r="CX74" i="4"/>
  <c r="CY74" i="4"/>
  <c r="CZ74" i="4"/>
  <c r="DA74" i="4"/>
  <c r="E46" i="4"/>
  <c r="F46" i="4"/>
  <c r="G46" i="4"/>
  <c r="G13" i="4" s="1"/>
  <c r="H46" i="4"/>
  <c r="I46" i="4"/>
  <c r="I13" i="4" s="1"/>
  <c r="J46" i="4"/>
  <c r="K46" i="4"/>
  <c r="L46" i="4"/>
  <c r="M46" i="4"/>
  <c r="M13" i="4" s="1"/>
  <c r="N46" i="4"/>
  <c r="O46" i="4"/>
  <c r="P46" i="4"/>
  <c r="Q46" i="4"/>
  <c r="R46" i="4"/>
  <c r="S46" i="4"/>
  <c r="T46" i="4"/>
  <c r="T13" i="4" s="1"/>
  <c r="U46" i="4"/>
  <c r="V46" i="4"/>
  <c r="V13" i="4" s="1"/>
  <c r="W46" i="4"/>
  <c r="W13" i="4" s="1"/>
  <c r="X46" i="4"/>
  <c r="Y46" i="4"/>
  <c r="Y13" i="4" s="1"/>
  <c r="Z46" i="4"/>
  <c r="Z13" i="4" s="1"/>
  <c r="AA46" i="4"/>
  <c r="AA13" i="4" s="1"/>
  <c r="AB46" i="4"/>
  <c r="AB13" i="4" s="1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Q13" i="4" s="1"/>
  <c r="AR46" i="4"/>
  <c r="AS46" i="4"/>
  <c r="AT46" i="4"/>
  <c r="AT13" i="4" s="1"/>
  <c r="AU46" i="4"/>
  <c r="AU13" i="4" s="1"/>
  <c r="AV46" i="4"/>
  <c r="AW46" i="4"/>
  <c r="AX46" i="4"/>
  <c r="AY46" i="4"/>
  <c r="AZ46" i="4"/>
  <c r="BA46" i="4"/>
  <c r="BB46" i="4"/>
  <c r="BC46" i="4"/>
  <c r="BD46" i="4"/>
  <c r="BE46" i="4"/>
  <c r="BE13" i="4" s="1"/>
  <c r="BF46" i="4"/>
  <c r="BG46" i="4"/>
  <c r="BH46" i="4"/>
  <c r="BI46" i="4"/>
  <c r="BI13" i="4" s="1"/>
  <c r="BJ46" i="4"/>
  <c r="BK46" i="4"/>
  <c r="BL46" i="4"/>
  <c r="BM46" i="4"/>
  <c r="BN46" i="4"/>
  <c r="BO46" i="4"/>
  <c r="BO13" i="4" s="1"/>
  <c r="BP46" i="4"/>
  <c r="BQ46" i="4"/>
  <c r="BR46" i="4"/>
  <c r="BS46" i="4"/>
  <c r="BT46" i="4"/>
  <c r="BU46" i="4"/>
  <c r="BU13" i="4" s="1"/>
  <c r="BV46" i="4"/>
  <c r="BW46" i="4"/>
  <c r="BX46" i="4"/>
  <c r="BY46" i="4"/>
  <c r="BZ46" i="4"/>
  <c r="CA46" i="4"/>
  <c r="CA13" i="4" s="1"/>
  <c r="CB46" i="4"/>
  <c r="CC46" i="4"/>
  <c r="CD46" i="4"/>
  <c r="CE46" i="4"/>
  <c r="CF46" i="4"/>
  <c r="CG46" i="4"/>
  <c r="CH46" i="4"/>
  <c r="CI46" i="4"/>
  <c r="CJ46" i="4"/>
  <c r="CK46" i="4"/>
  <c r="CL46" i="4"/>
  <c r="CM46" i="4"/>
  <c r="CN46" i="4"/>
  <c r="CO46" i="4"/>
  <c r="CP46" i="4"/>
  <c r="CQ46" i="4"/>
  <c r="CR46" i="4"/>
  <c r="CS46" i="4"/>
  <c r="CT46" i="4"/>
  <c r="CU46" i="4"/>
  <c r="CV46" i="4"/>
  <c r="CW46" i="4"/>
  <c r="CX46" i="4"/>
  <c r="CY46" i="4"/>
  <c r="CZ46" i="4"/>
  <c r="CZ13" i="4" s="1"/>
  <c r="DA46" i="4"/>
  <c r="D67" i="4"/>
  <c r="D65" i="4"/>
  <c r="D66" i="4"/>
  <c r="D64" i="4"/>
  <c r="D63" i="4"/>
  <c r="D62" i="4"/>
  <c r="D61" i="4"/>
  <c r="D60" i="4"/>
  <c r="D59" i="4"/>
  <c r="D57" i="4"/>
  <c r="D56" i="4"/>
  <c r="D55" i="4"/>
  <c r="D54" i="4"/>
  <c r="D53" i="4"/>
  <c r="D52" i="4"/>
  <c r="D51" i="4"/>
  <c r="D50" i="4"/>
  <c r="D49" i="4"/>
  <c r="D77" i="4"/>
  <c r="D70" i="4"/>
  <c r="D71" i="4"/>
  <c r="D72" i="4"/>
  <c r="D73" i="4"/>
  <c r="D69" i="4"/>
  <c r="D15" i="4"/>
  <c r="D16" i="4"/>
  <c r="D17" i="4"/>
  <c r="D18" i="4"/>
  <c r="D19" i="4"/>
  <c r="D20" i="4"/>
  <c r="D21" i="4"/>
  <c r="D22" i="4"/>
  <c r="D24" i="4"/>
  <c r="D25" i="4"/>
  <c r="D26" i="4"/>
  <c r="D27" i="4"/>
  <c r="D28" i="4"/>
  <c r="D41" i="4"/>
  <c r="D42" i="4"/>
  <c r="D43" i="4"/>
  <c r="D44" i="4"/>
  <c r="D45" i="4"/>
  <c r="D14" i="4"/>
  <c r="BW13" i="4" l="1"/>
  <c r="BN13" i="4"/>
  <c r="BL13" i="4"/>
  <c r="BF13" i="4"/>
  <c r="AS13" i="4"/>
  <c r="U13" i="4"/>
  <c r="S13" i="4"/>
  <c r="R13" i="4"/>
  <c r="L13" i="4"/>
  <c r="D6" i="16"/>
  <c r="H6" i="16" s="1"/>
  <c r="O54" i="240"/>
  <c r="D91" i="16"/>
  <c r="D42" i="16"/>
  <c r="I42" i="16" s="1"/>
  <c r="R42" i="16" s="1"/>
  <c r="D30" i="16"/>
  <c r="I30" i="16" s="1"/>
  <c r="D26" i="16"/>
  <c r="P26" i="16" s="1"/>
  <c r="D32" i="16"/>
  <c r="N32" i="16" s="1"/>
  <c r="D43" i="16"/>
  <c r="F43" i="16" s="1"/>
  <c r="R43" i="16" s="1"/>
  <c r="D27" i="16"/>
  <c r="N27" i="16" s="1"/>
  <c r="D46" i="16"/>
  <c r="D47" i="16" s="1"/>
  <c r="D33" i="16"/>
  <c r="I33" i="16" s="1"/>
  <c r="D29" i="16"/>
  <c r="O29" i="16" s="1"/>
  <c r="D44" i="16"/>
  <c r="L44" i="16" s="1"/>
  <c r="R44" i="16" s="1"/>
  <c r="D28" i="16"/>
  <c r="M28" i="16" s="1"/>
  <c r="D31" i="16"/>
  <c r="P31" i="16" s="1"/>
  <c r="D24" i="16"/>
  <c r="D10" i="16"/>
  <c r="I10" i="16" s="1"/>
  <c r="D3" i="16"/>
  <c r="P3" i="16" s="1"/>
  <c r="D4" i="16"/>
  <c r="O4" i="16" s="1"/>
  <c r="D11" i="16"/>
  <c r="F11" i="16" s="1"/>
  <c r="R11" i="16" s="1"/>
  <c r="D12" i="16"/>
  <c r="F12" i="16" s="1"/>
  <c r="I58" i="16"/>
  <c r="D107" i="16"/>
  <c r="D95" i="16" s="1"/>
  <c r="D103" i="16"/>
  <c r="D106" i="16"/>
  <c r="D102" i="16"/>
  <c r="D105" i="16"/>
  <c r="D101" i="16"/>
  <c r="D104" i="16"/>
  <c r="D94" i="16" s="1"/>
  <c r="H94" i="16" s="1"/>
  <c r="D75" i="16"/>
  <c r="D7" i="16"/>
  <c r="F7" i="16" s="1"/>
  <c r="D15" i="16"/>
  <c r="F15" i="16" s="1"/>
  <c r="L15" i="16" s="1"/>
  <c r="R15" i="16" s="1"/>
  <c r="D79" i="16"/>
  <c r="F79" i="16" s="1"/>
  <c r="D8" i="16"/>
  <c r="P8" i="16" s="1"/>
  <c r="D16" i="16"/>
  <c r="L16" i="16" s="1"/>
  <c r="D82" i="16"/>
  <c r="F82" i="16" s="1"/>
  <c r="D5" i="16"/>
  <c r="M5" i="16" s="1"/>
  <c r="D9" i="16"/>
  <c r="G9" i="16" s="1"/>
  <c r="D13" i="16"/>
  <c r="P13" i="16" s="1"/>
  <c r="D17" i="16"/>
  <c r="N17" i="16" s="1"/>
  <c r="D36" i="16"/>
  <c r="F36" i="16" s="1"/>
  <c r="L36" i="16" s="1"/>
  <c r="D14" i="16"/>
  <c r="J14" i="16" s="1"/>
  <c r="D80" i="16"/>
  <c r="F80" i="16" s="1"/>
  <c r="D73" i="16"/>
  <c r="D100" i="16"/>
  <c r="D68" i="16"/>
  <c r="F68" i="16" s="1"/>
  <c r="R68" i="16" s="1"/>
  <c r="D81" i="16"/>
  <c r="F81" i="16" s="1"/>
  <c r="D74" i="16"/>
  <c r="R40" i="16"/>
  <c r="D88" i="16"/>
  <c r="F88" i="16" s="1"/>
  <c r="D64" i="16"/>
  <c r="D63" i="16"/>
  <c r="F63" i="16" s="1"/>
  <c r="R63" i="16" s="1"/>
  <c r="D97" i="16"/>
  <c r="F57" i="16"/>
  <c r="D74" i="4"/>
  <c r="D69" i="16"/>
  <c r="F69" i="16" s="1"/>
  <c r="L69" i="16" s="1"/>
  <c r="R69" i="16" s="1"/>
  <c r="D78" i="4"/>
  <c r="D68" i="4"/>
  <c r="D46" i="4"/>
  <c r="D98" i="16"/>
  <c r="D90" i="16"/>
  <c r="D89" i="16"/>
  <c r="D62" i="16"/>
  <c r="D67" i="16"/>
  <c r="D72" i="16"/>
  <c r="D61" i="16"/>
  <c r="D99" i="16"/>
  <c r="D66" i="16"/>
  <c r="D71" i="16"/>
  <c r="D65" i="16"/>
  <c r="D13" i="4" l="1"/>
  <c r="D76" i="16"/>
  <c r="D109" i="16" s="1"/>
  <c r="H65" i="16"/>
  <c r="L65" i="16"/>
  <c r="I65" i="16"/>
  <c r="M65" i="16"/>
  <c r="F65" i="16"/>
  <c r="J65" i="16"/>
  <c r="N65" i="16"/>
  <c r="G65" i="16"/>
  <c r="K65" i="16"/>
  <c r="K64" i="16"/>
  <c r="G64" i="16"/>
  <c r="N64" i="16"/>
  <c r="J64" i="16"/>
  <c r="F64" i="16"/>
  <c r="M64" i="16"/>
  <c r="I64" i="16"/>
  <c r="L64" i="16"/>
  <c r="H64" i="16"/>
  <c r="F66" i="16"/>
  <c r="J66" i="16"/>
  <c r="N66" i="16"/>
  <c r="G66" i="16"/>
  <c r="K66" i="16"/>
  <c r="H66" i="16"/>
  <c r="L66" i="16"/>
  <c r="I66" i="16"/>
  <c r="M66" i="16"/>
  <c r="G75" i="16"/>
  <c r="G74" i="16"/>
  <c r="N73" i="16"/>
  <c r="D70" i="16"/>
  <c r="R79" i="16"/>
  <c r="D83" i="16"/>
  <c r="F27" i="16"/>
  <c r="L27" i="16"/>
  <c r="P27" i="16"/>
  <c r="J27" i="16"/>
  <c r="I27" i="16"/>
  <c r="H27" i="16"/>
  <c r="K27" i="16"/>
  <c r="O27" i="16"/>
  <c r="M27" i="16"/>
  <c r="G27" i="16"/>
  <c r="G4" i="16"/>
  <c r="P4" i="16"/>
  <c r="O7" i="16"/>
  <c r="H3" i="16"/>
  <c r="F4" i="16"/>
  <c r="M4" i="16"/>
  <c r="G33" i="16"/>
  <c r="L4" i="16"/>
  <c r="K4" i="16"/>
  <c r="N4" i="16"/>
  <c r="H4" i="16"/>
  <c r="I4" i="16"/>
  <c r="L33" i="16"/>
  <c r="N9" i="16"/>
  <c r="J5" i="16"/>
  <c r="G31" i="16"/>
  <c r="G3" i="16"/>
  <c r="P9" i="16"/>
  <c r="P30" i="16"/>
  <c r="N33" i="16"/>
  <c r="N10" i="16"/>
  <c r="J4" i="16"/>
  <c r="K73" i="16"/>
  <c r="M73" i="16"/>
  <c r="I8" i="16"/>
  <c r="J3" i="16"/>
  <c r="F33" i="16"/>
  <c r="M3" i="16"/>
  <c r="H16" i="16"/>
  <c r="P16" i="16"/>
  <c r="K7" i="16"/>
  <c r="K3" i="16"/>
  <c r="O3" i="16"/>
  <c r="I3" i="16"/>
  <c r="I75" i="16"/>
  <c r="F8" i="16"/>
  <c r="F3" i="16"/>
  <c r="K75" i="16"/>
  <c r="I29" i="16"/>
  <c r="G10" i="16"/>
  <c r="K10" i="16"/>
  <c r="J6" i="16"/>
  <c r="N3" i="16"/>
  <c r="P10" i="16"/>
  <c r="L3" i="16"/>
  <c r="O10" i="16"/>
  <c r="H8" i="16"/>
  <c r="N7" i="16"/>
  <c r="K30" i="16"/>
  <c r="M7" i="16"/>
  <c r="M14" i="16"/>
  <c r="M6" i="16"/>
  <c r="P7" i="16"/>
  <c r="L7" i="16"/>
  <c r="M29" i="16"/>
  <c r="H12" i="16"/>
  <c r="F45" i="16"/>
  <c r="N31" i="16"/>
  <c r="K16" i="16"/>
  <c r="G7" i="16"/>
  <c r="N28" i="16"/>
  <c r="M30" i="16"/>
  <c r="H7" i="16"/>
  <c r="I6" i="16"/>
  <c r="K8" i="16"/>
  <c r="L12" i="16"/>
  <c r="F28" i="16"/>
  <c r="O9" i="16"/>
  <c r="L28" i="16"/>
  <c r="K13" i="16"/>
  <c r="O58" i="16"/>
  <c r="H5" i="16"/>
  <c r="N5" i="16"/>
  <c r="P5" i="16"/>
  <c r="J12" i="16"/>
  <c r="L45" i="16"/>
  <c r="I13" i="16"/>
  <c r="K9" i="16"/>
  <c r="F30" i="16"/>
  <c r="J29" i="16"/>
  <c r="K6" i="16"/>
  <c r="N12" i="16"/>
  <c r="M8" i="16"/>
  <c r="O28" i="16"/>
  <c r="N8" i="16"/>
  <c r="I12" i="16"/>
  <c r="I45" i="16"/>
  <c r="I9" i="16"/>
  <c r="K28" i="16"/>
  <c r="G6" i="16"/>
  <c r="I5" i="16"/>
  <c r="O5" i="16"/>
  <c r="K5" i="16"/>
  <c r="G12" i="16"/>
  <c r="O8" i="16"/>
  <c r="G5" i="16"/>
  <c r="K12" i="16"/>
  <c r="H28" i="16"/>
  <c r="I28" i="16"/>
  <c r="N6" i="16"/>
  <c r="N30" i="16"/>
  <c r="F6" i="16"/>
  <c r="F5" i="16"/>
  <c r="L6" i="16"/>
  <c r="M12" i="16"/>
  <c r="L8" i="16"/>
  <c r="J8" i="16"/>
  <c r="G8" i="16"/>
  <c r="J28" i="16"/>
  <c r="L5" i="16"/>
  <c r="G28" i="16"/>
  <c r="K29" i="16"/>
  <c r="L30" i="16"/>
  <c r="P28" i="16"/>
  <c r="I14" i="16"/>
  <c r="J7" i="16"/>
  <c r="H30" i="16"/>
  <c r="P32" i="16"/>
  <c r="L75" i="16"/>
  <c r="F58" i="16"/>
  <c r="J75" i="16"/>
  <c r="I17" i="16"/>
  <c r="H13" i="16"/>
  <c r="H75" i="16"/>
  <c r="D25" i="16"/>
  <c r="P58" i="16"/>
  <c r="J58" i="16"/>
  <c r="F26" i="16"/>
  <c r="M58" i="16"/>
  <c r="K32" i="16"/>
  <c r="F75" i="16"/>
  <c r="M75" i="16"/>
  <c r="I32" i="16"/>
  <c r="N75" i="16"/>
  <c r="N58" i="16"/>
  <c r="J32" i="16"/>
  <c r="N26" i="16"/>
  <c r="O14" i="16"/>
  <c r="K17" i="16"/>
  <c r="H32" i="16"/>
  <c r="K58" i="16"/>
  <c r="L58" i="16"/>
  <c r="H58" i="16"/>
  <c r="D2" i="16"/>
  <c r="P57" i="16"/>
  <c r="M31" i="16"/>
  <c r="F31" i="16"/>
  <c r="G13" i="16"/>
  <c r="F14" i="16"/>
  <c r="K46" i="16"/>
  <c r="K47" i="16" s="1"/>
  <c r="K31" i="16"/>
  <c r="O16" i="16"/>
  <c r="F9" i="16"/>
  <c r="N57" i="16"/>
  <c r="K57" i="16"/>
  <c r="F13" i="16"/>
  <c r="L32" i="16"/>
  <c r="J13" i="16"/>
  <c r="H14" i="16"/>
  <c r="H33" i="16"/>
  <c r="J10" i="16"/>
  <c r="G14" i="16"/>
  <c r="M33" i="16"/>
  <c r="N46" i="16"/>
  <c r="N47" i="16" s="1"/>
  <c r="M32" i="16"/>
  <c r="N14" i="16"/>
  <c r="M10" i="16"/>
  <c r="H10" i="16"/>
  <c r="O31" i="16"/>
  <c r="G32" i="16"/>
  <c r="O32" i="16"/>
  <c r="O13" i="16"/>
  <c r="O57" i="16"/>
  <c r="J57" i="16"/>
  <c r="I57" i="16"/>
  <c r="K14" i="16"/>
  <c r="P14" i="16"/>
  <c r="G16" i="16"/>
  <c r="M16" i="16"/>
  <c r="M9" i="16"/>
  <c r="J16" i="16"/>
  <c r="F16" i="16"/>
  <c r="I31" i="16"/>
  <c r="I16" i="16"/>
  <c r="L31" i="16"/>
  <c r="N16" i="16"/>
  <c r="H31" i="16"/>
  <c r="D45" i="16"/>
  <c r="J31" i="16"/>
  <c r="M13" i="16"/>
  <c r="M57" i="16"/>
  <c r="H9" i="16"/>
  <c r="N13" i="16"/>
  <c r="F32" i="16"/>
  <c r="O30" i="16"/>
  <c r="P6" i="16"/>
  <c r="N29" i="16"/>
  <c r="K33" i="16"/>
  <c r="P29" i="16"/>
  <c r="O6" i="16"/>
  <c r="L13" i="16"/>
  <c r="G30" i="16"/>
  <c r="F46" i="16"/>
  <c r="F47" i="16" s="1"/>
  <c r="L14" i="16"/>
  <c r="L10" i="16"/>
  <c r="J30" i="16"/>
  <c r="F10" i="16"/>
  <c r="I7" i="16"/>
  <c r="D93" i="16"/>
  <c r="N93" i="16" s="1"/>
  <c r="O94" i="16"/>
  <c r="R94" i="16" s="1"/>
  <c r="F24" i="16"/>
  <c r="L24" i="16" s="1"/>
  <c r="R36" i="16"/>
  <c r="R81" i="16"/>
  <c r="D37" i="16"/>
  <c r="J26" i="16"/>
  <c r="K26" i="16"/>
  <c r="H17" i="16"/>
  <c r="M17" i="16"/>
  <c r="F17" i="16"/>
  <c r="I26" i="16"/>
  <c r="J17" i="16"/>
  <c r="G17" i="16"/>
  <c r="O17" i="16"/>
  <c r="M26" i="16"/>
  <c r="P33" i="16"/>
  <c r="J33" i="16"/>
  <c r="O33" i="16"/>
  <c r="J9" i="16"/>
  <c r="L9" i="16"/>
  <c r="O26" i="16"/>
  <c r="P17" i="16"/>
  <c r="L17" i="16"/>
  <c r="H26" i="16"/>
  <c r="H29" i="16"/>
  <c r="L29" i="16"/>
  <c r="G29" i="16"/>
  <c r="F29" i="16"/>
  <c r="I74" i="16"/>
  <c r="F74" i="16"/>
  <c r="K74" i="16"/>
  <c r="H74" i="16"/>
  <c r="M74" i="16"/>
  <c r="L73" i="16"/>
  <c r="J73" i="16"/>
  <c r="F73" i="16"/>
  <c r="G73" i="16"/>
  <c r="I73" i="16"/>
  <c r="H73" i="16"/>
  <c r="N74" i="16"/>
  <c r="L74" i="16"/>
  <c r="J74" i="16"/>
  <c r="H57" i="16"/>
  <c r="L57" i="16"/>
  <c r="D92" i="16"/>
  <c r="J56" i="16"/>
  <c r="L56" i="16"/>
  <c r="K56" i="16"/>
  <c r="I56" i="16"/>
  <c r="M56" i="16"/>
  <c r="H56" i="16"/>
  <c r="F56" i="16"/>
  <c r="O56" i="16"/>
  <c r="N56" i="16"/>
  <c r="P56" i="16"/>
  <c r="R80" i="16"/>
  <c r="F71" i="16"/>
  <c r="R71" i="16" s="1"/>
  <c r="P59" i="16"/>
  <c r="K59" i="16"/>
  <c r="I59" i="16"/>
  <c r="L59" i="16"/>
  <c r="M59" i="16"/>
  <c r="H59" i="16"/>
  <c r="N59" i="16"/>
  <c r="F59" i="16"/>
  <c r="O59" i="16"/>
  <c r="J59" i="16"/>
  <c r="H72" i="16"/>
  <c r="I72" i="16"/>
  <c r="M72" i="16"/>
  <c r="N72" i="16"/>
  <c r="K72" i="16"/>
  <c r="J72" i="16"/>
  <c r="L72" i="16"/>
  <c r="G72" i="16"/>
  <c r="F72" i="16"/>
  <c r="I62" i="16"/>
  <c r="N62" i="16" s="1"/>
  <c r="R62" i="16" s="1"/>
  <c r="F89" i="16"/>
  <c r="Q90" i="16"/>
  <c r="L90" i="16" s="1"/>
  <c r="R90" i="16" s="1"/>
  <c r="L88" i="16"/>
  <c r="R88" i="16" s="1"/>
  <c r="P55" i="16"/>
  <c r="K55" i="16"/>
  <c r="M55" i="16"/>
  <c r="L55" i="16"/>
  <c r="I55" i="16"/>
  <c r="H55" i="16"/>
  <c r="N55" i="16"/>
  <c r="F55" i="16"/>
  <c r="O55" i="16"/>
  <c r="J55" i="16"/>
  <c r="N54" i="16"/>
  <c r="P54" i="16"/>
  <c r="M54" i="16"/>
  <c r="I54" i="16"/>
  <c r="K54" i="16"/>
  <c r="L54" i="16"/>
  <c r="F54" i="16"/>
  <c r="J54" i="16"/>
  <c r="O54" i="16"/>
  <c r="H54" i="16"/>
  <c r="H67" i="16"/>
  <c r="R67" i="16" s="1"/>
  <c r="I61" i="16"/>
  <c r="H61" i="16"/>
  <c r="F61" i="16"/>
  <c r="N61" i="16"/>
  <c r="P61" i="16"/>
  <c r="K61" i="16"/>
  <c r="J61" i="16"/>
  <c r="G61" i="16"/>
  <c r="L61" i="16"/>
  <c r="M61" i="16"/>
  <c r="O61" i="16"/>
  <c r="R82" i="16"/>
  <c r="D87" i="16"/>
  <c r="D78" i="16" l="1"/>
  <c r="O65" i="16"/>
  <c r="R65" i="16" s="1"/>
  <c r="O64" i="16"/>
  <c r="R64" i="16" s="1"/>
  <c r="O66" i="16"/>
  <c r="R66" i="16" s="1"/>
  <c r="D48" i="16"/>
  <c r="H92" i="16"/>
  <c r="G92" i="16"/>
  <c r="L92" i="16"/>
  <c r="F92" i="16"/>
  <c r="K92" i="16"/>
  <c r="J92" i="16"/>
  <c r="I92" i="16"/>
  <c r="R52" i="16"/>
  <c r="R51" i="16"/>
  <c r="R49" i="16"/>
  <c r="R53" i="16"/>
  <c r="F83" i="16"/>
  <c r="Q27" i="16"/>
  <c r="R27" i="16" s="1"/>
  <c r="Q4" i="16"/>
  <c r="R4" i="16" s="1"/>
  <c r="Q3" i="16"/>
  <c r="R3" i="16" s="1"/>
  <c r="Q8" i="16"/>
  <c r="R8" i="16" s="1"/>
  <c r="Q58" i="16"/>
  <c r="R58" i="16" s="1"/>
  <c r="Q7" i="16"/>
  <c r="R7" i="16" s="1"/>
  <c r="O12" i="16"/>
  <c r="R12" i="16" s="1"/>
  <c r="P25" i="16"/>
  <c r="Q9" i="16"/>
  <c r="R9" i="16" s="1"/>
  <c r="N25" i="16"/>
  <c r="Q45" i="16"/>
  <c r="R45" i="16" s="1"/>
  <c r="Q16" i="16"/>
  <c r="R16" i="16" s="1"/>
  <c r="Q30" i="16"/>
  <c r="R30" i="16" s="1"/>
  <c r="M25" i="16"/>
  <c r="Q5" i="16"/>
  <c r="R5" i="16" s="1"/>
  <c r="Q28" i="16"/>
  <c r="R28" i="16" s="1"/>
  <c r="I25" i="16"/>
  <c r="O75" i="16"/>
  <c r="R75" i="16" s="1"/>
  <c r="J37" i="16"/>
  <c r="J25" i="16"/>
  <c r="N37" i="16"/>
  <c r="O93" i="16"/>
  <c r="J93" i="16"/>
  <c r="M93" i="16"/>
  <c r="L37" i="16"/>
  <c r="L93" i="16"/>
  <c r="H93" i="16"/>
  <c r="F93" i="16"/>
  <c r="M37" i="16"/>
  <c r="Q29" i="16"/>
  <c r="R29" i="16" s="1"/>
  <c r="Q26" i="16"/>
  <c r="R26" i="16" s="1"/>
  <c r="Q17" i="16"/>
  <c r="R17" i="16" s="1"/>
  <c r="Q32" i="16"/>
  <c r="R32" i="16" s="1"/>
  <c r="K25" i="16"/>
  <c r="Q10" i="16"/>
  <c r="R10" i="16" s="1"/>
  <c r="F37" i="16"/>
  <c r="Q31" i="16"/>
  <c r="R31" i="16" s="1"/>
  <c r="H37" i="16"/>
  <c r="P37" i="16"/>
  <c r="G25" i="16"/>
  <c r="O37" i="16"/>
  <c r="Q47" i="16"/>
  <c r="R47" i="16" s="1"/>
  <c r="K76" i="16"/>
  <c r="Q13" i="16"/>
  <c r="R13" i="16" s="1"/>
  <c r="Q14" i="16"/>
  <c r="R14" i="16" s="1"/>
  <c r="G37" i="16"/>
  <c r="Q33" i="16"/>
  <c r="R33" i="16" s="1"/>
  <c r="H25" i="16"/>
  <c r="K93" i="16"/>
  <c r="I93" i="16"/>
  <c r="R46" i="16"/>
  <c r="Q6" i="16"/>
  <c r="R6" i="16" s="1"/>
  <c r="G93" i="16"/>
  <c r="P93" i="16"/>
  <c r="L76" i="16"/>
  <c r="M76" i="16"/>
  <c r="K37" i="16"/>
  <c r="I37" i="16"/>
  <c r="L25" i="16"/>
  <c r="R24" i="16"/>
  <c r="F25" i="16"/>
  <c r="L83" i="16"/>
  <c r="I76" i="16"/>
  <c r="Q57" i="16"/>
  <c r="R57" i="16" s="1"/>
  <c r="O73" i="16"/>
  <c r="R73" i="16" s="1"/>
  <c r="O74" i="16"/>
  <c r="R74" i="16" s="1"/>
  <c r="G76" i="16"/>
  <c r="H76" i="16"/>
  <c r="J76" i="16"/>
  <c r="N76" i="16"/>
  <c r="L89" i="16"/>
  <c r="R89" i="16" s="1"/>
  <c r="Q56" i="16"/>
  <c r="R56" i="16" s="1"/>
  <c r="Q61" i="16"/>
  <c r="R61" i="16" s="1"/>
  <c r="O72" i="16"/>
  <c r="R72" i="16" s="1"/>
  <c r="Q55" i="16"/>
  <c r="R55" i="16" s="1"/>
  <c r="Q59" i="16"/>
  <c r="R59" i="16" s="1"/>
  <c r="D86" i="16"/>
  <c r="F86" i="16" s="1"/>
  <c r="Q54" i="16"/>
  <c r="R54" i="16" s="1"/>
  <c r="I70" i="16"/>
  <c r="F76" i="16"/>
  <c r="H70" i="16"/>
  <c r="L70" i="16"/>
  <c r="N70" i="16"/>
  <c r="P70" i="16"/>
  <c r="P78" i="16" s="1"/>
  <c r="F70" i="16"/>
  <c r="J70" i="16"/>
  <c r="G70" i="16"/>
  <c r="K70" i="16"/>
  <c r="J48" i="16" l="1"/>
  <c r="J2" i="16" s="1"/>
  <c r="J95" i="16" s="1"/>
  <c r="J91" i="16" s="1"/>
  <c r="F78" i="16"/>
  <c r="H48" i="16"/>
  <c r="G78" i="16"/>
  <c r="I78" i="16"/>
  <c r="L78" i="16"/>
  <c r="K78" i="16"/>
  <c r="N78" i="16"/>
  <c r="J78" i="16"/>
  <c r="H78" i="16"/>
  <c r="L48" i="16"/>
  <c r="L2" i="16" s="1"/>
  <c r="L95" i="16" s="1"/>
  <c r="L91" i="16" s="1"/>
  <c r="F48" i="16"/>
  <c r="F2" i="16" s="1"/>
  <c r="I48" i="16"/>
  <c r="G48" i="16"/>
  <c r="P48" i="16"/>
  <c r="P2" i="16" s="1"/>
  <c r="P95" i="16" s="1"/>
  <c r="P91" i="16" s="1"/>
  <c r="K48" i="16"/>
  <c r="M48" i="16"/>
  <c r="N48" i="16"/>
  <c r="N2" i="16" s="1"/>
  <c r="F103" i="240"/>
  <c r="H103" i="240"/>
  <c r="O34" i="240"/>
  <c r="O70" i="240"/>
  <c r="O17" i="240"/>
  <c r="O3" i="240"/>
  <c r="C8" i="136" s="1"/>
  <c r="O35" i="240"/>
  <c r="O43" i="240"/>
  <c r="O88" i="240"/>
  <c r="O13" i="240"/>
  <c r="O41" i="240"/>
  <c r="O65" i="240"/>
  <c r="O73" i="240"/>
  <c r="O30" i="240"/>
  <c r="O85" i="240"/>
  <c r="O55" i="240"/>
  <c r="O63" i="240"/>
  <c r="G103" i="240"/>
  <c r="O57" i="240"/>
  <c r="O51" i="240"/>
  <c r="O99" i="240"/>
  <c r="O38" i="240"/>
  <c r="J103" i="240"/>
  <c r="O78" i="240"/>
  <c r="O81" i="240"/>
  <c r="O89" i="240"/>
  <c r="O22" i="240"/>
  <c r="O82" i="240"/>
  <c r="O61" i="240"/>
  <c r="O93" i="240"/>
  <c r="O4" i="240"/>
  <c r="O83" i="240"/>
  <c r="O40" i="240"/>
  <c r="D103" i="240"/>
  <c r="O42" i="240"/>
  <c r="O84" i="240"/>
  <c r="O100" i="240"/>
  <c r="CV8" i="136" s="1"/>
  <c r="O25" i="240"/>
  <c r="O67" i="240"/>
  <c r="O87" i="240"/>
  <c r="C103" i="240"/>
  <c r="O18" i="240"/>
  <c r="O36" i="240"/>
  <c r="O24" i="240"/>
  <c r="O96" i="240"/>
  <c r="O29" i="240"/>
  <c r="O7" i="240"/>
  <c r="I103" i="240"/>
  <c r="O50" i="240"/>
  <c r="O62" i="240"/>
  <c r="O6" i="240"/>
  <c r="O64" i="240"/>
  <c r="O72" i="240"/>
  <c r="O21" i="240"/>
  <c r="O47" i="240"/>
  <c r="O12" i="240"/>
  <c r="O28" i="240"/>
  <c r="O92" i="240"/>
  <c r="O27" i="240"/>
  <c r="O14" i="240"/>
  <c r="O5" i="240"/>
  <c r="O45" i="240"/>
  <c r="E103" i="240"/>
  <c r="O76" i="240"/>
  <c r="O66" i="240"/>
  <c r="O74" i="240"/>
  <c r="O56" i="240"/>
  <c r="O39" i="240"/>
  <c r="O71" i="240"/>
  <c r="O79" i="240"/>
  <c r="O94" i="240"/>
  <c r="O11" i="240"/>
  <c r="O59" i="240"/>
  <c r="O48" i="240"/>
  <c r="O101" i="240"/>
  <c r="O95" i="240"/>
  <c r="O49" i="240"/>
  <c r="O8" i="240"/>
  <c r="O69" i="240"/>
  <c r="O77" i="240"/>
  <c r="O86" i="240"/>
  <c r="O97" i="240"/>
  <c r="O91" i="240"/>
  <c r="O58" i="240"/>
  <c r="O15" i="240"/>
  <c r="O31" i="240"/>
  <c r="O9" i="240"/>
  <c r="O75" i="240"/>
  <c r="O46" i="240"/>
  <c r="O16" i="240"/>
  <c r="O10" i="240"/>
  <c r="O26" i="240"/>
  <c r="O52" i="240"/>
  <c r="O60" i="240"/>
  <c r="O68" i="240"/>
  <c r="O19" i="240"/>
  <c r="O98" i="240"/>
  <c r="O32" i="240"/>
  <c r="O53" i="240"/>
  <c r="K103" i="240"/>
  <c r="O102" i="240"/>
  <c r="O20" i="240"/>
  <c r="O44" i="240"/>
  <c r="O33" i="240"/>
  <c r="O90" i="240"/>
  <c r="O80" i="240"/>
  <c r="O37" i="240"/>
  <c r="O23" i="240"/>
  <c r="O54" i="239"/>
  <c r="M92" i="16"/>
  <c r="N92" i="16" s="1"/>
  <c r="R92" i="16" s="1"/>
  <c r="M70" i="16"/>
  <c r="M78" i="16" s="1"/>
  <c r="R83" i="16"/>
  <c r="O25" i="16"/>
  <c r="O48" i="16" s="1"/>
  <c r="Q37" i="16"/>
  <c r="R37" i="16" s="1"/>
  <c r="Q93" i="16"/>
  <c r="R93" i="16" s="1"/>
  <c r="O70" i="16"/>
  <c r="R50" i="16"/>
  <c r="O76" i="16"/>
  <c r="O2" i="16" l="1"/>
  <c r="O95" i="16" s="1"/>
  <c r="O91" i="16" s="1"/>
  <c r="N95" i="16"/>
  <c r="N91" i="16" s="1"/>
  <c r="M2" i="16"/>
  <c r="M95" i="16" s="1"/>
  <c r="M91" i="16" s="1"/>
  <c r="M87" i="16" s="1"/>
  <c r="K2" i="16"/>
  <c r="K95" i="16" s="1"/>
  <c r="K91" i="16" s="1"/>
  <c r="G2" i="16"/>
  <c r="G95" i="16" s="1"/>
  <c r="G91" i="16" s="1"/>
  <c r="H2" i="16"/>
  <c r="H95" i="16" s="1"/>
  <c r="H91" i="16" s="1"/>
  <c r="H109" i="16" s="1"/>
  <c r="I2" i="16"/>
  <c r="I95" i="16" s="1"/>
  <c r="I91" i="16" s="1"/>
  <c r="O78" i="16"/>
  <c r="D103" i="239"/>
  <c r="G103" i="239"/>
  <c r="H103" i="239"/>
  <c r="J103" i="239"/>
  <c r="K103" i="239"/>
  <c r="E103" i="239"/>
  <c r="L103" i="240"/>
  <c r="O2" i="240"/>
  <c r="F103" i="239"/>
  <c r="Q25" i="16"/>
  <c r="Q48" i="16" s="1"/>
  <c r="Q70" i="16"/>
  <c r="Q78" i="16" s="1"/>
  <c r="J87" i="16"/>
  <c r="J109" i="16"/>
  <c r="L87" i="16"/>
  <c r="L109" i="16"/>
  <c r="P87" i="16"/>
  <c r="P109" i="16"/>
  <c r="F95" i="16"/>
  <c r="R76" i="16"/>
  <c r="O103" i="240" l="1"/>
  <c r="B8" i="136"/>
  <c r="CY8" i="136" s="1"/>
  <c r="G109" i="16"/>
  <c r="G87" i="16"/>
  <c r="K109" i="16"/>
  <c r="K87" i="16"/>
  <c r="I109" i="16"/>
  <c r="I87" i="16"/>
  <c r="H87" i="16"/>
  <c r="Q2" i="16"/>
  <c r="Q95" i="16" s="1"/>
  <c r="Q91" i="16" s="1"/>
  <c r="R78" i="16"/>
  <c r="O16" i="239"/>
  <c r="P7" i="136" s="1"/>
  <c r="O48" i="239"/>
  <c r="O83" i="239"/>
  <c r="R25" i="16"/>
  <c r="R48" i="16" s="1"/>
  <c r="M109" i="16"/>
  <c r="R70" i="16"/>
  <c r="N87" i="16"/>
  <c r="N109" i="16"/>
  <c r="O87" i="16"/>
  <c r="O109" i="16"/>
  <c r="F91" i="16"/>
  <c r="F109" i="16" s="1"/>
  <c r="O101" i="239" l="1"/>
  <c r="CW7" i="136" s="1"/>
  <c r="O35" i="239"/>
  <c r="AI7" i="136" s="1"/>
  <c r="O100" i="239"/>
  <c r="CV7" i="136" s="1"/>
  <c r="O41" i="239"/>
  <c r="O52" i="239"/>
  <c r="O58" i="239"/>
  <c r="O62" i="239"/>
  <c r="O67" i="239"/>
  <c r="O97" i="239"/>
  <c r="O24" i="239"/>
  <c r="X7" i="136" s="1"/>
  <c r="O5" i="239"/>
  <c r="E7" i="136" s="1"/>
  <c r="O29" i="239"/>
  <c r="AC7" i="136" s="1"/>
  <c r="O86" i="239"/>
  <c r="O28" i="239"/>
  <c r="AB7" i="136" s="1"/>
  <c r="O59" i="239"/>
  <c r="O51" i="239"/>
  <c r="O92" i="239"/>
  <c r="O12" i="239"/>
  <c r="L7" i="136" s="1"/>
  <c r="O70" i="239"/>
  <c r="O63" i="239"/>
  <c r="O8" i="239"/>
  <c r="H7" i="136" s="1"/>
  <c r="O33" i="239"/>
  <c r="AG7" i="136" s="1"/>
  <c r="O49" i="239"/>
  <c r="O98" i="239"/>
  <c r="O53" i="239"/>
  <c r="O78" i="239"/>
  <c r="O25" i="239"/>
  <c r="Y7" i="136" s="1"/>
  <c r="O20" i="239"/>
  <c r="T7" i="136" s="1"/>
  <c r="O9" i="239"/>
  <c r="I7" i="136" s="1"/>
  <c r="O64" i="239"/>
  <c r="O76" i="239"/>
  <c r="O37" i="239"/>
  <c r="O45" i="239"/>
  <c r="O79" i="239"/>
  <c r="O17" i="239"/>
  <c r="Q7" i="136" s="1"/>
  <c r="O102" i="239"/>
  <c r="CX7" i="136" s="1"/>
  <c r="O42" i="239"/>
  <c r="O72" i="239"/>
  <c r="O99" i="239"/>
  <c r="O73" i="239"/>
  <c r="O19" i="239"/>
  <c r="S7" i="136" s="1"/>
  <c r="O68" i="239"/>
  <c r="O50" i="239"/>
  <c r="O26" i="239"/>
  <c r="Z7" i="136" s="1"/>
  <c r="O61" i="239"/>
  <c r="O89" i="239"/>
  <c r="O88" i="239"/>
  <c r="O43" i="239"/>
  <c r="O40" i="239"/>
  <c r="O18" i="239"/>
  <c r="R7" i="136" s="1"/>
  <c r="O57" i="239"/>
  <c r="O14" i="239"/>
  <c r="N7" i="136" s="1"/>
  <c r="O81" i="239"/>
  <c r="O15" i="239"/>
  <c r="O7" i="136" s="1"/>
  <c r="O13" i="239"/>
  <c r="M7" i="136" s="1"/>
  <c r="O55" i="239"/>
  <c r="O94" i="239"/>
  <c r="O36" i="239"/>
  <c r="AJ7" i="136" s="1"/>
  <c r="O27" i="239"/>
  <c r="AA7" i="136" s="1"/>
  <c r="O30" i="239"/>
  <c r="AD7" i="136" s="1"/>
  <c r="O75" i="239"/>
  <c r="O31" i="239"/>
  <c r="AE7" i="136" s="1"/>
  <c r="O80" i="239"/>
  <c r="O71" i="239"/>
  <c r="O96" i="239"/>
  <c r="O7" i="239"/>
  <c r="G7" i="136" s="1"/>
  <c r="O93" i="239"/>
  <c r="O95" i="239"/>
  <c r="O90" i="239"/>
  <c r="O23" i="239"/>
  <c r="W7" i="136" s="1"/>
  <c r="O82" i="239"/>
  <c r="Q87" i="16"/>
  <c r="Q109" i="16"/>
  <c r="R95" i="16"/>
  <c r="R2" i="16"/>
  <c r="R91" i="16"/>
  <c r="F87" i="16"/>
  <c r="O11" i="239" l="1"/>
  <c r="K7" i="136" s="1"/>
  <c r="O32" i="239"/>
  <c r="AF7" i="136" s="1"/>
  <c r="O91" i="239"/>
  <c r="O47" i="239"/>
  <c r="O6" i="239"/>
  <c r="F7" i="136" s="1"/>
  <c r="L103" i="239"/>
  <c r="O44" i="239"/>
  <c r="O22" i="239"/>
  <c r="V7" i="136" s="1"/>
  <c r="O60" i="239"/>
  <c r="O2" i="239"/>
  <c r="C103" i="239"/>
  <c r="O56" i="239"/>
  <c r="O39" i="239"/>
  <c r="O84" i="239"/>
  <c r="O38" i="239"/>
  <c r="O77" i="239"/>
  <c r="O46" i="239"/>
  <c r="O65" i="239"/>
  <c r="O10" i="239"/>
  <c r="J7" i="136" s="1"/>
  <c r="R87" i="16"/>
  <c r="R86" i="16" s="1"/>
  <c r="B7" i="136" l="1"/>
  <c r="O69" i="239"/>
  <c r="O74" i="239"/>
  <c r="I103" i="239"/>
  <c r="O85" i="239"/>
  <c r="O66" i="239"/>
  <c r="O21" i="239"/>
  <c r="U7" i="136" s="1"/>
  <c r="O4" i="239"/>
  <c r="O34" i="239"/>
  <c r="AH7" i="136" s="1"/>
  <c r="O87" i="239"/>
  <c r="B9" i="136" l="1"/>
  <c r="E9" i="136"/>
  <c r="F9" i="136"/>
  <c r="L9" i="136"/>
  <c r="R9" i="136"/>
  <c r="X9" i="136"/>
  <c r="AD9" i="136"/>
  <c r="AJ9" i="136"/>
  <c r="AP9" i="136"/>
  <c r="AV9" i="136"/>
  <c r="BB9" i="136"/>
  <c r="BH9" i="136"/>
  <c r="BN9" i="136"/>
  <c r="BT9" i="136"/>
  <c r="BZ9" i="136"/>
  <c r="CF9" i="136"/>
  <c r="CL9" i="136"/>
  <c r="CR9" i="136"/>
  <c r="CX9" i="136"/>
  <c r="AH9" i="136"/>
  <c r="AN9" i="136"/>
  <c r="BR9" i="136"/>
  <c r="CV9" i="136"/>
  <c r="G9" i="136"/>
  <c r="M9" i="136"/>
  <c r="S9" i="136"/>
  <c r="Y9" i="136"/>
  <c r="AE9" i="136"/>
  <c r="AK9" i="136"/>
  <c r="AQ9" i="136"/>
  <c r="AW9" i="136"/>
  <c r="BC9" i="136"/>
  <c r="BI9" i="136"/>
  <c r="BO9" i="136"/>
  <c r="BU9" i="136"/>
  <c r="CA9" i="136"/>
  <c r="CG9" i="136"/>
  <c r="CM9" i="136"/>
  <c r="CS9" i="136"/>
  <c r="V9" i="136"/>
  <c r="BL9" i="136"/>
  <c r="CP9" i="136"/>
  <c r="H9" i="136"/>
  <c r="N9" i="136"/>
  <c r="T9" i="136"/>
  <c r="Z9" i="136"/>
  <c r="AF9" i="136"/>
  <c r="AL9" i="136"/>
  <c r="AR9" i="136"/>
  <c r="AX9" i="136"/>
  <c r="BD9" i="136"/>
  <c r="BJ9" i="136"/>
  <c r="BP9" i="136"/>
  <c r="BV9" i="136"/>
  <c r="CB9" i="136"/>
  <c r="CH9" i="136"/>
  <c r="CN9" i="136"/>
  <c r="CT9" i="136"/>
  <c r="P9" i="136"/>
  <c r="AZ9" i="136"/>
  <c r="CD9" i="136"/>
  <c r="I9" i="136"/>
  <c r="O9" i="136"/>
  <c r="U9" i="136"/>
  <c r="AA9" i="136"/>
  <c r="AG9" i="136"/>
  <c r="AM9" i="136"/>
  <c r="AS9" i="136"/>
  <c r="AY9" i="136"/>
  <c r="BE9" i="136"/>
  <c r="BK9" i="136"/>
  <c r="BQ9" i="136"/>
  <c r="BW9" i="136"/>
  <c r="CC9" i="136"/>
  <c r="CI9" i="136"/>
  <c r="CO9" i="136"/>
  <c r="CU9" i="136"/>
  <c r="J9" i="136"/>
  <c r="BF9" i="136"/>
  <c r="CJ9" i="136"/>
  <c r="K9" i="136"/>
  <c r="Q9" i="136"/>
  <c r="W9" i="136"/>
  <c r="AC9" i="136"/>
  <c r="AI9" i="136"/>
  <c r="AO9" i="136"/>
  <c r="AU9" i="136"/>
  <c r="BA9" i="136"/>
  <c r="BG9" i="136"/>
  <c r="BM9" i="136"/>
  <c r="BS9" i="136"/>
  <c r="BY9" i="136"/>
  <c r="CE9" i="136"/>
  <c r="CK9" i="136"/>
  <c r="CQ9" i="136"/>
  <c r="CW9" i="136"/>
  <c r="AB9" i="136"/>
  <c r="AT9" i="136"/>
  <c r="BX9" i="136"/>
  <c r="D7" i="136"/>
  <c r="D9" i="136" s="1"/>
  <c r="N103" i="239"/>
  <c r="O3" i="239"/>
  <c r="O103" i="239" l="1"/>
  <c r="C7" i="136"/>
  <c r="C9" i="136" l="1"/>
  <c r="CY7" i="136"/>
</calcChain>
</file>

<file path=xl/sharedStrings.xml><?xml version="1.0" encoding="utf-8"?>
<sst xmlns="http://schemas.openxmlformats.org/spreadsheetml/2006/main" count="21100" uniqueCount="708">
  <si>
    <t>分校</t>
  </si>
  <si>
    <t>幼兒園班級</t>
  </si>
  <si>
    <t>班級數</t>
  </si>
  <si>
    <t>教職員人數</t>
  </si>
  <si>
    <t>技工、工友實際人數</t>
  </si>
  <si>
    <t>總員額</t>
  </si>
  <si>
    <t>學校名稱</t>
  </si>
  <si>
    <t>總合計</t>
  </si>
  <si>
    <t>601明禮國小</t>
  </si>
  <si>
    <t>602明義國小</t>
  </si>
  <si>
    <t>603明廉國小</t>
  </si>
  <si>
    <t>604明恥國小</t>
  </si>
  <si>
    <t>605中正國小</t>
  </si>
  <si>
    <t>606信義國小</t>
  </si>
  <si>
    <t>607復興國小</t>
  </si>
  <si>
    <t>608中華國小</t>
  </si>
  <si>
    <t>609忠孝國小</t>
  </si>
  <si>
    <t>610北濱國小</t>
  </si>
  <si>
    <t>611鑄強國小</t>
  </si>
  <si>
    <t>612國福國小</t>
  </si>
  <si>
    <t>613新城國小</t>
  </si>
  <si>
    <t>614北埔國小</t>
  </si>
  <si>
    <t>615康樂國小</t>
  </si>
  <si>
    <t>616嘉里國小</t>
  </si>
  <si>
    <t>617吉安國小</t>
  </si>
  <si>
    <t>618宜昌國小</t>
  </si>
  <si>
    <t>619北昌國小</t>
  </si>
  <si>
    <t>620光華國小</t>
  </si>
  <si>
    <t>621稻香國小</t>
  </si>
  <si>
    <t>622南華國小</t>
  </si>
  <si>
    <t>623化仁國小</t>
  </si>
  <si>
    <t>624太昌國小</t>
  </si>
  <si>
    <t>625平和國小</t>
  </si>
  <si>
    <t>626壽豐國小</t>
  </si>
  <si>
    <t>627豐裡國小</t>
  </si>
  <si>
    <t>628豐山國小</t>
  </si>
  <si>
    <t>629志學國小</t>
  </si>
  <si>
    <t>630月眉國小</t>
  </si>
  <si>
    <t>631水璉國小</t>
  </si>
  <si>
    <t>632溪口國小</t>
  </si>
  <si>
    <t>633鳳林國小</t>
  </si>
  <si>
    <t>634大榮國小</t>
  </si>
  <si>
    <t>635林榮國小</t>
  </si>
  <si>
    <t>636長橋國小</t>
  </si>
  <si>
    <t>638北林國小</t>
  </si>
  <si>
    <t>639鳳仁國小</t>
  </si>
  <si>
    <t>641光復國小</t>
  </si>
  <si>
    <t>642太巴塱國小</t>
  </si>
  <si>
    <t>645大進國小</t>
  </si>
  <si>
    <t>647瑞穗國小</t>
  </si>
  <si>
    <t>648瑞美國小</t>
  </si>
  <si>
    <t>649鶴岡國小</t>
  </si>
  <si>
    <t>650舞鶴國小</t>
  </si>
  <si>
    <t>651奇美國小</t>
  </si>
  <si>
    <t>652富源國小</t>
  </si>
  <si>
    <t>653瑞北國小</t>
  </si>
  <si>
    <t>654豐濱國小</t>
  </si>
  <si>
    <t>655港口國小</t>
  </si>
  <si>
    <t>656靜浦國小</t>
  </si>
  <si>
    <t>657新社國小</t>
  </si>
  <si>
    <t>658玉里國小</t>
  </si>
  <si>
    <t>659源城國小</t>
  </si>
  <si>
    <t>660樂合國小</t>
  </si>
  <si>
    <t>661觀音國小</t>
  </si>
  <si>
    <t>662三民國小</t>
  </si>
  <si>
    <t>663春日國小</t>
  </si>
  <si>
    <t>664德武國小</t>
  </si>
  <si>
    <t>665中城國小</t>
  </si>
  <si>
    <t>666長良國小</t>
  </si>
  <si>
    <t>667大禹國小</t>
  </si>
  <si>
    <t>668松浦國小</t>
  </si>
  <si>
    <t>669高寮國小</t>
  </si>
  <si>
    <t>670富里國小</t>
  </si>
  <si>
    <t>671萬寧國小</t>
  </si>
  <si>
    <t>672永豐國小</t>
  </si>
  <si>
    <t>673學田國小</t>
  </si>
  <si>
    <t>674東竹國小</t>
  </si>
  <si>
    <t>675東里國小</t>
  </si>
  <si>
    <t>676明里國小</t>
  </si>
  <si>
    <t>678吳江國小</t>
  </si>
  <si>
    <t>679秀林國小</t>
  </si>
  <si>
    <t>680富世國小</t>
  </si>
  <si>
    <t>681和平國小</t>
  </si>
  <si>
    <t>682佳民國小</t>
  </si>
  <si>
    <t>683銅門國小</t>
  </si>
  <si>
    <t>684水源國小</t>
  </si>
  <si>
    <t>685崇德國小</t>
  </si>
  <si>
    <t>686文蘭國小</t>
  </si>
  <si>
    <t>687景美國小</t>
  </si>
  <si>
    <t>688三棧國小</t>
  </si>
  <si>
    <t>689銅蘭國小</t>
  </si>
  <si>
    <t>690萬榮國小</t>
  </si>
  <si>
    <t>691西林國小</t>
  </si>
  <si>
    <t>692見晴國小</t>
  </si>
  <si>
    <t>693馬遠國小</t>
  </si>
  <si>
    <t>694紅葉國小</t>
  </si>
  <si>
    <t>695明利國小</t>
  </si>
  <si>
    <t>696卓溪國小</t>
  </si>
  <si>
    <t>697崙山國小</t>
  </si>
  <si>
    <t>698太平國小</t>
  </si>
  <si>
    <t>699卓清國小</t>
  </si>
  <si>
    <t>700古風國小</t>
  </si>
  <si>
    <t>701立山國小</t>
  </si>
  <si>
    <t>702卓樂國小</t>
  </si>
  <si>
    <t>703卓楓國小</t>
  </si>
  <si>
    <t>705西富國小</t>
  </si>
  <si>
    <t>706大興國小</t>
  </si>
  <si>
    <t>707中原國小</t>
  </si>
  <si>
    <t>708西寶國小</t>
  </si>
  <si>
    <t>項目</t>
    <phoneticPr fontId="3" type="noConversion"/>
  </si>
  <si>
    <t>用途別</t>
    <phoneticPr fontId="3" type="noConversion"/>
  </si>
  <si>
    <t>各校經常門分支計畫</t>
  </si>
  <si>
    <t>基本電費</t>
  </si>
  <si>
    <t>基本水費</t>
  </si>
  <si>
    <t>補助補校水電費</t>
  </si>
  <si>
    <t>212
214</t>
  </si>
  <si>
    <t>補助游泳池水電及維護費</t>
  </si>
  <si>
    <t>自訂</t>
  </si>
  <si>
    <t>基本修繕費</t>
  </si>
  <si>
    <t>補助電梯維護費</t>
  </si>
  <si>
    <t>補助電梯檢驗費</t>
  </si>
  <si>
    <t>校車養護費</t>
  </si>
  <si>
    <t>校車保險費</t>
  </si>
  <si>
    <t>校車司機薪資、保險、年終獎金等</t>
  </si>
  <si>
    <t>27D</t>
  </si>
  <si>
    <t>專人值勤</t>
  </si>
  <si>
    <t>無工友人力校園清潔維護工作費(27d)</t>
  </si>
  <si>
    <t>文康活動費</t>
  </si>
  <si>
    <t>27F</t>
  </si>
  <si>
    <t>保全</t>
  </si>
  <si>
    <t>28Y</t>
  </si>
  <si>
    <t>公共關係費</t>
  </si>
  <si>
    <t>校車燃料費</t>
  </si>
  <si>
    <t>基本辦公費</t>
  </si>
  <si>
    <t>補校辦公費</t>
  </si>
  <si>
    <t>社會教育</t>
  </si>
  <si>
    <t>32Y</t>
  </si>
  <si>
    <t>學生活動費</t>
  </si>
  <si>
    <t>班級費</t>
  </si>
  <si>
    <t>各類特殊教育班級經常門經費</t>
  </si>
  <si>
    <t>特殊教育教材編輯費</t>
  </si>
  <si>
    <t>校車使用牌照稅</t>
  </si>
  <si>
    <t>校車檢驗費</t>
  </si>
  <si>
    <t>校車燃料使用費</t>
  </si>
  <si>
    <t>三節慰問金</t>
  </si>
  <si>
    <t>移用可留存基金賸餘數</t>
  </si>
  <si>
    <t>依表</t>
  </si>
  <si>
    <t>游泳池收支對列</t>
  </si>
  <si>
    <t>場租收支對列</t>
  </si>
  <si>
    <t>5L100100-人員維持費</t>
  </si>
  <si>
    <t>薪資</t>
  </si>
  <si>
    <t>教保員及教保費</t>
  </si>
  <si>
    <t>幼兒園增置廚工(114工員工資、人員類別-廚工)</t>
  </si>
  <si>
    <t>明義國小幼兒園護理人員</t>
  </si>
  <si>
    <t>代課鐘點費(14節/班/年-含幼兒園)-26班以上20節</t>
  </si>
  <si>
    <t>補校鐘點費</t>
  </si>
  <si>
    <t>補校導師費</t>
  </si>
  <si>
    <t>補校兼職工作費</t>
  </si>
  <si>
    <t>補校校長及行政人員兼職費</t>
  </si>
  <si>
    <t>幹事兼人人事會計專案加班費</t>
  </si>
  <si>
    <t>值日夜費</t>
  </si>
  <si>
    <t>考績獎金</t>
  </si>
  <si>
    <t>年終獎金</t>
  </si>
  <si>
    <t>退撫基金及退休準備金(離職儲金)</t>
  </si>
  <si>
    <t>公保費</t>
  </si>
  <si>
    <t>健保費及勞保費</t>
  </si>
  <si>
    <t>休假補助</t>
  </si>
  <si>
    <t>18Y</t>
  </si>
  <si>
    <t>健康檢查補助經費</t>
  </si>
  <si>
    <t>場租收支對列</t>
    <phoneticPr fontId="3" type="noConversion"/>
  </si>
  <si>
    <t>5L100301</t>
  </si>
  <si>
    <t>年終慰問金161</t>
  </si>
  <si>
    <t>月退(兼)含首期(教育人員)161</t>
  </si>
  <si>
    <t>慰助金及退職補償金(技工、工友)162</t>
  </si>
  <si>
    <t>月撫卹金（163）</t>
  </si>
  <si>
    <t>遺屬年金（163）</t>
  </si>
  <si>
    <t>資本門</t>
  </si>
  <si>
    <t>小計</t>
    <phoneticPr fontId="3" type="noConversion"/>
  </si>
  <si>
    <t>602明義國小</t>
    <phoneticPr fontId="3" type="noConversion"/>
  </si>
  <si>
    <t>601明禮國小</t>
    <phoneticPr fontId="3" type="noConversion"/>
  </si>
  <si>
    <t>分配原則</t>
    <phoneticPr fontId="3" type="noConversion"/>
  </si>
  <si>
    <t>一月</t>
  </si>
  <si>
    <t>二月</t>
  </si>
  <si>
    <t>三月</t>
  </si>
  <si>
    <t>四月</t>
  </si>
  <si>
    <t>五月</t>
  </si>
  <si>
    <t>六月</t>
  </si>
  <si>
    <t>七月</t>
  </si>
  <si>
    <t>八月</t>
  </si>
  <si>
    <t>九月</t>
  </si>
  <si>
    <t>十月</t>
  </si>
  <si>
    <t>十一月</t>
  </si>
  <si>
    <t>十二月</t>
  </si>
  <si>
    <t>1月、7月</t>
    <phoneticPr fontId="3" type="noConversion"/>
  </si>
  <si>
    <t>1月、6月、9月</t>
    <phoneticPr fontId="3" type="noConversion"/>
  </si>
  <si>
    <t>1月</t>
    <phoneticPr fontId="3" type="noConversion"/>
  </si>
  <si>
    <t>3月</t>
    <phoneticPr fontId="3" type="noConversion"/>
  </si>
  <si>
    <t>20%4月、80%9月</t>
    <phoneticPr fontId="3" type="noConversion"/>
  </si>
  <si>
    <t>1月</t>
    <phoneticPr fontId="3" type="noConversion"/>
  </si>
  <si>
    <t>4月</t>
    <phoneticPr fontId="3" type="noConversion"/>
  </si>
  <si>
    <t>1月</t>
    <phoneticPr fontId="3" type="noConversion"/>
  </si>
  <si>
    <t>7月</t>
    <phoneticPr fontId="3" type="noConversion"/>
  </si>
  <si>
    <t>１月分配3個月，餘9個月分配在２～10月</t>
    <phoneticPr fontId="3" type="noConversion"/>
  </si>
  <si>
    <t>差額</t>
    <phoneticPr fontId="3" type="noConversion"/>
  </si>
  <si>
    <t>除2月、7月外，平均分配</t>
    <phoneticPr fontId="3" type="noConversion"/>
  </si>
  <si>
    <t>2**服務費用合計</t>
    <phoneticPr fontId="3" type="noConversion"/>
  </si>
  <si>
    <t>3**材料及用品費合計</t>
    <phoneticPr fontId="3" type="noConversion"/>
  </si>
  <si>
    <t>6**稅捐及規費合計</t>
    <phoneticPr fontId="3" type="noConversion"/>
  </si>
  <si>
    <t>7**會費、照護、救濟及交流活動費合計</t>
    <phoneticPr fontId="3" type="noConversion"/>
  </si>
  <si>
    <t>收支對列</t>
  </si>
  <si>
    <t>學校名稱</t>
    <phoneticPr fontId="13" type="noConversion"/>
  </si>
  <si>
    <t>場租收支對列</t>
    <phoneticPr fontId="3" type="noConversion"/>
  </si>
  <si>
    <t>移用留存數</t>
    <phoneticPr fontId="3" type="noConversion"/>
  </si>
  <si>
    <t>513-收支對列及移用</t>
    <phoneticPr fontId="3" type="noConversion"/>
  </si>
  <si>
    <t>514-收支對列及移用</t>
  </si>
  <si>
    <t>515-收支對列及移用</t>
  </si>
  <si>
    <t>516-收支對列及移用</t>
  </si>
  <si>
    <t>資本門小計</t>
    <phoneticPr fontId="3" type="noConversion"/>
  </si>
  <si>
    <t>其餘收支對列</t>
    <phoneticPr fontId="3" type="noConversion"/>
  </si>
  <si>
    <t>考試</t>
    <phoneticPr fontId="3" type="noConversion"/>
  </si>
  <si>
    <t>合計</t>
    <phoneticPr fontId="3" type="noConversion"/>
  </si>
  <si>
    <t>2**-收支對列及移用</t>
    <phoneticPr fontId="3" type="noConversion"/>
  </si>
  <si>
    <t>3**-收支對列及移用</t>
    <phoneticPr fontId="3" type="noConversion"/>
  </si>
  <si>
    <t>431 服務收入</t>
    <phoneticPr fontId="3" type="noConversion"/>
  </si>
  <si>
    <t>454 利息收入</t>
    <phoneticPr fontId="3" type="noConversion"/>
  </si>
  <si>
    <t>462 公庫撥款收入</t>
    <phoneticPr fontId="3" type="noConversion"/>
  </si>
  <si>
    <t>7月、12月</t>
    <phoneticPr fontId="3" type="noConversion"/>
  </si>
  <si>
    <t>按１２個月平均分配</t>
    <phoneticPr fontId="3" type="noConversion"/>
  </si>
  <si>
    <t>縣市撥入收入（教育部補助幼兒（5歲）學費收入）</t>
  </si>
  <si>
    <t>分配於3.10月份</t>
  </si>
  <si>
    <t>基金來源</t>
    <phoneticPr fontId="3" type="noConversion"/>
  </si>
  <si>
    <t>本期短絀</t>
    <phoneticPr fontId="3" type="noConversion"/>
  </si>
  <si>
    <t>縣庫撥款收入</t>
    <phoneticPr fontId="3" type="noConversion"/>
  </si>
  <si>
    <t>縣市撥入收入（教育部補助營養師）</t>
    <phoneticPr fontId="3" type="noConversion"/>
  </si>
  <si>
    <t>縣市撥入收入（教育部補助專任輔導師）</t>
    <phoneticPr fontId="3" type="noConversion"/>
  </si>
  <si>
    <t>縣市撥入收入（一般性補助國幼班教師）</t>
    <phoneticPr fontId="3" type="noConversion"/>
  </si>
  <si>
    <t>縣市撥入收入（一般性補助營養師）</t>
    <phoneticPr fontId="3" type="noConversion"/>
  </si>
  <si>
    <t>縣市撥入收入（教育部補助教保員、廚工、教保費）</t>
    <phoneticPr fontId="3" type="noConversion"/>
  </si>
  <si>
    <t>縣市撥入收入（教育部補助導師費）</t>
    <phoneticPr fontId="3" type="noConversion"/>
  </si>
  <si>
    <t>縣市撥入收入（教育部補助增置員額）</t>
    <phoneticPr fontId="3" type="noConversion"/>
  </si>
  <si>
    <t>縣市撥入收入（教育部補助幼兒學費收入）</t>
    <phoneticPr fontId="3" type="noConversion"/>
  </si>
  <si>
    <t>縣市撥入收入（教育部補助調增代課鐘點費差額）</t>
    <phoneticPr fontId="3" type="noConversion"/>
  </si>
  <si>
    <t>縣市撥入收入（縣庫撥款收入）</t>
    <phoneticPr fontId="3" type="noConversion"/>
  </si>
  <si>
    <t>資料來源</t>
    <phoneticPr fontId="3" type="noConversion"/>
  </si>
  <si>
    <t>預算書說明</t>
    <phoneticPr fontId="3" type="noConversion"/>
  </si>
  <si>
    <t>總合計</t>
    <phoneticPr fontId="3" type="noConversion"/>
  </si>
  <si>
    <t>603明廉國小</t>
    <phoneticPr fontId="3" type="noConversion"/>
  </si>
  <si>
    <r>
      <t>604</t>
    </r>
    <r>
      <rPr>
        <b/>
        <sz val="14"/>
        <color indexed="8"/>
        <rFont val="新細明體"/>
        <family val="1"/>
        <charset val="136"/>
      </rPr>
      <t>明恥國小</t>
    </r>
    <phoneticPr fontId="3" type="noConversion"/>
  </si>
  <si>
    <t>605中正國小</t>
    <phoneticPr fontId="3" type="noConversion"/>
  </si>
  <si>
    <t>606信義國小</t>
    <phoneticPr fontId="3" type="noConversion"/>
  </si>
  <si>
    <t>607復興國小</t>
    <phoneticPr fontId="3" type="noConversion"/>
  </si>
  <si>
    <r>
      <t>608中華國小</t>
    </r>
    <r>
      <rPr>
        <sz val="12"/>
        <rFont val="標楷體"/>
        <family val="4"/>
        <charset val="136"/>
      </rPr>
      <t/>
    </r>
    <phoneticPr fontId="3" type="noConversion"/>
  </si>
  <si>
    <r>
      <t>609</t>
    </r>
    <r>
      <rPr>
        <b/>
        <sz val="14"/>
        <color indexed="10"/>
        <rFont val="新細明體"/>
        <family val="1"/>
        <charset val="136"/>
      </rPr>
      <t>忠孝國小</t>
    </r>
    <phoneticPr fontId="3" type="noConversion"/>
  </si>
  <si>
    <t>610北濱國小</t>
    <phoneticPr fontId="3" type="noConversion"/>
  </si>
  <si>
    <t>611鑄強國小</t>
    <phoneticPr fontId="3" type="noConversion"/>
  </si>
  <si>
    <t>612國福國小</t>
    <phoneticPr fontId="3" type="noConversion"/>
  </si>
  <si>
    <t>613新城國小</t>
    <phoneticPr fontId="3" type="noConversion"/>
  </si>
  <si>
    <t>614北埔國小</t>
    <phoneticPr fontId="3" type="noConversion"/>
  </si>
  <si>
    <t>615康樂國小</t>
    <phoneticPr fontId="3" type="noConversion"/>
  </si>
  <si>
    <t>616嘉里國小</t>
    <phoneticPr fontId="3" type="noConversion"/>
  </si>
  <si>
    <t>617吉安國小</t>
    <phoneticPr fontId="3" type="noConversion"/>
  </si>
  <si>
    <t>618宜昌國小</t>
    <phoneticPr fontId="3" type="noConversion"/>
  </si>
  <si>
    <t>619北昌國小</t>
    <phoneticPr fontId="3" type="noConversion"/>
  </si>
  <si>
    <t>620光華國小</t>
    <phoneticPr fontId="3" type="noConversion"/>
  </si>
  <si>
    <t>621稻香國小</t>
    <phoneticPr fontId="3" type="noConversion"/>
  </si>
  <si>
    <t>622南華國小</t>
    <phoneticPr fontId="3" type="noConversion"/>
  </si>
  <si>
    <r>
      <t>623</t>
    </r>
    <r>
      <rPr>
        <b/>
        <sz val="14"/>
        <color indexed="8"/>
        <rFont val="新細明體"/>
        <family val="1"/>
        <charset val="136"/>
      </rPr>
      <t>化仁國小</t>
    </r>
    <phoneticPr fontId="3" type="noConversion"/>
  </si>
  <si>
    <t>624太昌國小</t>
    <phoneticPr fontId="3" type="noConversion"/>
  </si>
  <si>
    <t>625平和國小</t>
    <phoneticPr fontId="3" type="noConversion"/>
  </si>
  <si>
    <t>626壽豐國小</t>
    <phoneticPr fontId="3" type="noConversion"/>
  </si>
  <si>
    <t>627豐裡國小</t>
    <phoneticPr fontId="3" type="noConversion"/>
  </si>
  <si>
    <t>628豐山國小</t>
    <phoneticPr fontId="3" type="noConversion"/>
  </si>
  <si>
    <t>629志學國小</t>
    <phoneticPr fontId="3" type="noConversion"/>
  </si>
  <si>
    <t>630月眉國小</t>
    <phoneticPr fontId="3" type="noConversion"/>
  </si>
  <si>
    <t>631水璉國小</t>
    <phoneticPr fontId="3" type="noConversion"/>
  </si>
  <si>
    <t>632溪口國小</t>
    <phoneticPr fontId="3" type="noConversion"/>
  </si>
  <si>
    <t>633鳳林國小</t>
    <phoneticPr fontId="3" type="noConversion"/>
  </si>
  <si>
    <t>634大榮國小</t>
    <phoneticPr fontId="3" type="noConversion"/>
  </si>
  <si>
    <r>
      <t>635</t>
    </r>
    <r>
      <rPr>
        <b/>
        <sz val="14"/>
        <color indexed="8"/>
        <rFont val="新細明體"/>
        <family val="1"/>
        <charset val="136"/>
      </rPr>
      <t>林榮國小</t>
    </r>
    <phoneticPr fontId="3" type="noConversion"/>
  </si>
  <si>
    <t>636長橋國小</t>
    <phoneticPr fontId="3" type="noConversion"/>
  </si>
  <si>
    <t>638北林國小</t>
    <phoneticPr fontId="3" type="noConversion"/>
  </si>
  <si>
    <t>639鳳仁國小</t>
    <phoneticPr fontId="3" type="noConversion"/>
  </si>
  <si>
    <t>641光復國小</t>
    <phoneticPr fontId="3" type="noConversion"/>
  </si>
  <si>
    <t>642太巴塱國小</t>
    <phoneticPr fontId="3" type="noConversion"/>
  </si>
  <si>
    <t>645大進國小</t>
    <phoneticPr fontId="3" type="noConversion"/>
  </si>
  <si>
    <t>647瑞穗國小</t>
    <phoneticPr fontId="3" type="noConversion"/>
  </si>
  <si>
    <t>648瑞美國小</t>
    <phoneticPr fontId="3" type="noConversion"/>
  </si>
  <si>
    <t>649鶴岡國小</t>
    <phoneticPr fontId="3" type="noConversion"/>
  </si>
  <si>
    <t>650舞鶴國小</t>
    <phoneticPr fontId="3" type="noConversion"/>
  </si>
  <si>
    <t>651奇美國小</t>
    <phoneticPr fontId="3" type="noConversion"/>
  </si>
  <si>
    <t>652富源國小</t>
    <phoneticPr fontId="3" type="noConversion"/>
  </si>
  <si>
    <t>653瑞北國小</t>
    <phoneticPr fontId="3" type="noConversion"/>
  </si>
  <si>
    <r>
      <t>654</t>
    </r>
    <r>
      <rPr>
        <b/>
        <sz val="14"/>
        <color indexed="8"/>
        <rFont val="新細明體"/>
        <family val="1"/>
        <charset val="136"/>
      </rPr>
      <t>豐濱國小</t>
    </r>
    <phoneticPr fontId="3" type="noConversion"/>
  </si>
  <si>
    <r>
      <t>655</t>
    </r>
    <r>
      <rPr>
        <b/>
        <sz val="14"/>
        <color indexed="8"/>
        <rFont val="新細明體"/>
        <family val="1"/>
        <charset val="136"/>
      </rPr>
      <t>港口國小</t>
    </r>
    <phoneticPr fontId="3" type="noConversion"/>
  </si>
  <si>
    <t>656靜浦國小</t>
    <phoneticPr fontId="3" type="noConversion"/>
  </si>
  <si>
    <t>657新社國小</t>
    <phoneticPr fontId="3" type="noConversion"/>
  </si>
  <si>
    <t>658玉里國小</t>
    <phoneticPr fontId="3" type="noConversion"/>
  </si>
  <si>
    <t>659源城國小</t>
    <phoneticPr fontId="3" type="noConversion"/>
  </si>
  <si>
    <r>
      <t>660</t>
    </r>
    <r>
      <rPr>
        <b/>
        <sz val="14"/>
        <color indexed="8"/>
        <rFont val="新細明體"/>
        <family val="1"/>
        <charset val="136"/>
      </rPr>
      <t>樂合國小</t>
    </r>
    <phoneticPr fontId="3" type="noConversion"/>
  </si>
  <si>
    <t>661觀音國小</t>
    <phoneticPr fontId="3" type="noConversion"/>
  </si>
  <si>
    <t>662三民國小</t>
    <phoneticPr fontId="3" type="noConversion"/>
  </si>
  <si>
    <t>663春日國小</t>
    <phoneticPr fontId="3" type="noConversion"/>
  </si>
  <si>
    <t>664德武國小</t>
    <phoneticPr fontId="3" type="noConversion"/>
  </si>
  <si>
    <r>
      <t>665</t>
    </r>
    <r>
      <rPr>
        <b/>
        <sz val="14"/>
        <color indexed="10"/>
        <rFont val="新細明體"/>
        <family val="1"/>
        <charset val="136"/>
      </rPr>
      <t>中城國小</t>
    </r>
    <phoneticPr fontId="3" type="noConversion"/>
  </si>
  <si>
    <r>
      <t>666長良國小</t>
    </r>
    <r>
      <rPr>
        <b/>
        <sz val="12"/>
        <rFont val="標楷體"/>
        <family val="4"/>
        <charset val="136"/>
      </rPr>
      <t/>
    </r>
    <phoneticPr fontId="3" type="noConversion"/>
  </si>
  <si>
    <r>
      <t>667大禹國小</t>
    </r>
    <r>
      <rPr>
        <b/>
        <sz val="12"/>
        <rFont val="標楷體"/>
        <family val="4"/>
        <charset val="136"/>
      </rPr>
      <t/>
    </r>
    <phoneticPr fontId="3" type="noConversion"/>
  </si>
  <si>
    <t>668松浦國小</t>
    <phoneticPr fontId="3" type="noConversion"/>
  </si>
  <si>
    <r>
      <t>670</t>
    </r>
    <r>
      <rPr>
        <b/>
        <sz val="14"/>
        <color indexed="8"/>
        <rFont val="新細明體"/>
        <family val="1"/>
        <charset val="136"/>
      </rPr>
      <t>富里國小</t>
    </r>
    <r>
      <rPr>
        <b/>
        <sz val="12"/>
        <rFont val="Times New Roman"/>
        <family val="1"/>
      </rPr>
      <t/>
    </r>
    <phoneticPr fontId="3" type="noConversion"/>
  </si>
  <si>
    <r>
      <t>671</t>
    </r>
    <r>
      <rPr>
        <b/>
        <sz val="14"/>
        <color indexed="8"/>
        <rFont val="新細明體"/>
        <family val="1"/>
        <charset val="136"/>
      </rPr>
      <t>萬寧國小</t>
    </r>
    <phoneticPr fontId="3" type="noConversion"/>
  </si>
  <si>
    <r>
      <t>672永豐國小</t>
    </r>
    <r>
      <rPr>
        <b/>
        <sz val="12"/>
        <rFont val="標楷體"/>
        <family val="4"/>
        <charset val="136"/>
      </rPr>
      <t/>
    </r>
    <phoneticPr fontId="3" type="noConversion"/>
  </si>
  <si>
    <t>673學田國小</t>
    <phoneticPr fontId="3" type="noConversion"/>
  </si>
  <si>
    <t>674東竹國小</t>
    <phoneticPr fontId="3" type="noConversion"/>
  </si>
  <si>
    <t>675東里國小</t>
    <phoneticPr fontId="3" type="noConversion"/>
  </si>
  <si>
    <t>676明里國小</t>
    <phoneticPr fontId="3" type="noConversion"/>
  </si>
  <si>
    <t>678吳江國小</t>
    <phoneticPr fontId="3" type="noConversion"/>
  </si>
  <si>
    <t>679秀林國小</t>
    <phoneticPr fontId="3" type="noConversion"/>
  </si>
  <si>
    <t>680富世國小</t>
    <phoneticPr fontId="3" type="noConversion"/>
  </si>
  <si>
    <t>681和平國小</t>
    <phoneticPr fontId="3" type="noConversion"/>
  </si>
  <si>
    <t>682佳民國小</t>
    <phoneticPr fontId="3" type="noConversion"/>
  </si>
  <si>
    <t>683銅門國小</t>
    <phoneticPr fontId="3" type="noConversion"/>
  </si>
  <si>
    <t>684水源國小</t>
    <phoneticPr fontId="3" type="noConversion"/>
  </si>
  <si>
    <t>685崇德國小</t>
    <phoneticPr fontId="3" type="noConversion"/>
  </si>
  <si>
    <t>686文蘭國小</t>
    <phoneticPr fontId="3" type="noConversion"/>
  </si>
  <si>
    <t>687景美國小</t>
    <phoneticPr fontId="3" type="noConversion"/>
  </si>
  <si>
    <t>688三棧國小</t>
    <phoneticPr fontId="3" type="noConversion"/>
  </si>
  <si>
    <t>689銅蘭國小</t>
    <phoneticPr fontId="3" type="noConversion"/>
  </si>
  <si>
    <t>690萬榮國小</t>
    <phoneticPr fontId="3" type="noConversion"/>
  </si>
  <si>
    <t>691西林國小</t>
    <phoneticPr fontId="3" type="noConversion"/>
  </si>
  <si>
    <r>
      <t>692見晴國小</t>
    </r>
    <r>
      <rPr>
        <b/>
        <sz val="12"/>
        <rFont val="標楷體"/>
        <family val="4"/>
        <charset val="136"/>
      </rPr>
      <t/>
    </r>
    <phoneticPr fontId="3" type="noConversion"/>
  </si>
  <si>
    <t>693馬遠國小</t>
    <phoneticPr fontId="3" type="noConversion"/>
  </si>
  <si>
    <r>
      <t>694</t>
    </r>
    <r>
      <rPr>
        <b/>
        <sz val="14"/>
        <color indexed="8"/>
        <rFont val="新細明體"/>
        <family val="1"/>
        <charset val="136"/>
      </rPr>
      <t>紅葉國小</t>
    </r>
    <phoneticPr fontId="3" type="noConversion"/>
  </si>
  <si>
    <t>695明利國小</t>
    <phoneticPr fontId="3" type="noConversion"/>
  </si>
  <si>
    <t>696卓溪國小</t>
    <phoneticPr fontId="3" type="noConversion"/>
  </si>
  <si>
    <t>697崙山國小</t>
    <phoneticPr fontId="3" type="noConversion"/>
  </si>
  <si>
    <t>698太平國小</t>
    <phoneticPr fontId="3" type="noConversion"/>
  </si>
  <si>
    <t>699卓清國小</t>
    <phoneticPr fontId="3" type="noConversion"/>
  </si>
  <si>
    <t>700古風國小</t>
    <phoneticPr fontId="3" type="noConversion"/>
  </si>
  <si>
    <r>
      <t>701立山國小</t>
    </r>
    <r>
      <rPr>
        <sz val="12"/>
        <rFont val="標楷體"/>
        <family val="4"/>
        <charset val="136"/>
      </rPr>
      <t/>
    </r>
    <phoneticPr fontId="3" type="noConversion"/>
  </si>
  <si>
    <t>702卓樂國小</t>
    <phoneticPr fontId="3" type="noConversion"/>
  </si>
  <si>
    <t>703卓楓國小</t>
    <phoneticPr fontId="3" type="noConversion"/>
  </si>
  <si>
    <t>705西富國小</t>
    <phoneticPr fontId="3" type="noConversion"/>
  </si>
  <si>
    <r>
      <t>706大興國小</t>
    </r>
    <r>
      <rPr>
        <sz val="12"/>
        <color indexed="10"/>
        <rFont val="標楷體"/>
        <family val="4"/>
        <charset val="136"/>
      </rPr>
      <t/>
    </r>
    <phoneticPr fontId="3" type="noConversion"/>
  </si>
  <si>
    <r>
      <t>707中原國小</t>
    </r>
    <r>
      <rPr>
        <sz val="12"/>
        <color indexed="10"/>
        <rFont val="標楷體"/>
        <family val="4"/>
        <charset val="136"/>
      </rPr>
      <t/>
    </r>
    <phoneticPr fontId="3" type="noConversion"/>
  </si>
  <si>
    <r>
      <t>708西寶國小</t>
    </r>
    <r>
      <rPr>
        <sz val="12"/>
        <color indexed="10"/>
        <rFont val="標楷體"/>
        <family val="4"/>
        <charset val="136"/>
      </rPr>
      <t/>
    </r>
    <phoneticPr fontId="21" type="noConversion"/>
  </si>
  <si>
    <t>1-1</t>
    <phoneticPr fontId="3" type="noConversion"/>
  </si>
  <si>
    <t>教育部補助營養師○千元</t>
    <phoneticPr fontId="3" type="noConversion"/>
  </si>
  <si>
    <t>1-2</t>
    <phoneticPr fontId="3" type="noConversion"/>
  </si>
  <si>
    <t>(26-1)</t>
    <phoneticPr fontId="3" type="noConversion"/>
  </si>
  <si>
    <t>教育部補專任輔導師○千元</t>
    <phoneticPr fontId="3" type="noConversion"/>
  </si>
  <si>
    <t>2-1</t>
    <phoneticPr fontId="3" type="noConversion"/>
  </si>
  <si>
    <t>特幼</t>
    <phoneticPr fontId="3" type="noConversion"/>
  </si>
  <si>
    <t>一般性補助國幼班教師 ○千元</t>
    <phoneticPr fontId="3" type="noConversion"/>
  </si>
  <si>
    <t>2-2</t>
    <phoneticPr fontId="3" type="noConversion"/>
  </si>
  <si>
    <t>特幼</t>
    <phoneticPr fontId="3" type="noConversion"/>
  </si>
  <si>
    <t>一般性補助營養師O千元</t>
    <phoneticPr fontId="3" type="noConversion"/>
  </si>
  <si>
    <r>
      <t>3</t>
    </r>
    <r>
      <rPr>
        <sz val="12"/>
        <rFont val="新細明體"/>
        <family val="1"/>
        <charset val="136"/>
      </rPr>
      <t>-1</t>
    </r>
    <phoneticPr fontId="3" type="noConversion"/>
  </si>
  <si>
    <t>特幼</t>
  </si>
  <si>
    <t>3-2</t>
    <phoneticPr fontId="3" type="noConversion"/>
  </si>
  <si>
    <t>教保費(900元/月*人)
(計畫型)</t>
    <phoneticPr fontId="3" type="noConversion"/>
  </si>
  <si>
    <t>3-3</t>
    <phoneticPr fontId="3" type="noConversion"/>
  </si>
  <si>
    <t>4-1</t>
    <phoneticPr fontId="3" type="noConversion"/>
  </si>
  <si>
    <t>4-2</t>
    <phoneticPr fontId="3" type="noConversion"/>
  </si>
  <si>
    <t>幼兒園導師費(計畫型)</t>
    <phoneticPr fontId="3" type="noConversion"/>
  </si>
  <si>
    <t>4-3</t>
    <phoneticPr fontId="3" type="noConversion"/>
  </si>
  <si>
    <t>學前特教班導師費+教學輔導費(計畫型)</t>
    <phoneticPr fontId="3" type="noConversion"/>
  </si>
  <si>
    <t>4-4</t>
    <phoneticPr fontId="3" type="noConversion"/>
  </si>
  <si>
    <t>教育部補助導師費○千元</t>
    <phoneticPr fontId="3" type="noConversion"/>
  </si>
  <si>
    <t>教育部補助增置員額○千元</t>
    <phoneticPr fontId="3" type="noConversion"/>
  </si>
  <si>
    <t>教育部補助幼兒學費收入○千元</t>
    <phoneticPr fontId="3" type="noConversion"/>
  </si>
  <si>
    <t>偏遠地區合理教師員額
(計畫型)</t>
    <phoneticPr fontId="3" type="noConversion"/>
  </si>
  <si>
    <t>教育部補助偏遠地區合理教師員額O千元</t>
    <phoneticPr fontId="3" type="noConversion"/>
  </si>
  <si>
    <t>(3-1)</t>
    <phoneticPr fontId="3" type="noConversion"/>
  </si>
  <si>
    <t>教育部補助調增代課鐘點費差額O千元</t>
    <phoneticPr fontId="3" type="noConversion"/>
  </si>
  <si>
    <t>教保員(計畫型)</t>
  </si>
  <si>
    <t>廚工(計畫型)</t>
  </si>
  <si>
    <t>導師費(計畫型)</t>
  </si>
  <si>
    <t>導師費(學前特教班教學輔導費)(計畫型)</t>
  </si>
  <si>
    <t>2-4歲及5歲學費(計畫型)</t>
  </si>
  <si>
    <t>集中式導師費(計畫型)</t>
    <phoneticPr fontId="3" type="noConversion"/>
  </si>
  <si>
    <t>調增代課鐘點費差額(四捨五入至千元)(計畫型)</t>
    <phoneticPr fontId="3" type="noConversion"/>
  </si>
  <si>
    <t>縣市撥入收入（教育部補助偏遠地區合理教師員額）</t>
    <phoneticPr fontId="3" type="noConversion"/>
  </si>
  <si>
    <t>431 服務收入</t>
  </si>
  <si>
    <t>453權利金收入</t>
  </si>
  <si>
    <t>454 利息收入</t>
  </si>
  <si>
    <t>462 公庫撥款收入</t>
  </si>
  <si>
    <t>15601</t>
  </si>
  <si>
    <t>15602</t>
  </si>
  <si>
    <t>15603</t>
  </si>
  <si>
    <t>15604</t>
  </si>
  <si>
    <t>15605</t>
  </si>
  <si>
    <t>15606</t>
  </si>
  <si>
    <t>15607</t>
  </si>
  <si>
    <t>15608</t>
  </si>
  <si>
    <t>15609</t>
  </si>
  <si>
    <t>15610</t>
  </si>
  <si>
    <t>15611</t>
  </si>
  <si>
    <t>15612</t>
  </si>
  <si>
    <t>15613</t>
  </si>
  <si>
    <t>15614</t>
  </si>
  <si>
    <t>15615</t>
  </si>
  <si>
    <t>15616</t>
  </si>
  <si>
    <t>15617</t>
  </si>
  <si>
    <t>15618</t>
  </si>
  <si>
    <t>15619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</si>
  <si>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</si>
  <si>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</si>
  <si>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</si>
  <si>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</si>
  <si>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</si>
  <si>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</si>
  <si>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</si>
  <si>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</si>
  <si>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</si>
  <si>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</si>
  <si>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15630</t>
  </si>
  <si>
    <t>15631</t>
  </si>
  <si>
    <t>15632</t>
  </si>
  <si>
    <t>15633</t>
  </si>
  <si>
    <t>15634</t>
  </si>
  <si>
    <t>15635</t>
  </si>
  <si>
    <t>15636</t>
  </si>
  <si>
    <t>15638</t>
  </si>
  <si>
    <t>15639</t>
  </si>
  <si>
    <t>15641</t>
  </si>
  <si>
    <t>15642</t>
  </si>
  <si>
    <t>15645</t>
  </si>
  <si>
    <t>15647</t>
  </si>
  <si>
    <t>15648</t>
  </si>
  <si>
    <t>15649</t>
  </si>
  <si>
    <t>15650</t>
  </si>
  <si>
    <t>15651</t>
  </si>
  <si>
    <t>15652</t>
  </si>
  <si>
    <t>15653</t>
  </si>
  <si>
    <t>15654</t>
  </si>
  <si>
    <t>15655</t>
  </si>
  <si>
    <t>15656</t>
  </si>
  <si>
    <t>15657</t>
  </si>
  <si>
    <t>15658</t>
  </si>
  <si>
    <t>15659</t>
  </si>
  <si>
    <t>15660</t>
  </si>
  <si>
    <t>15661</t>
  </si>
  <si>
    <t>15662</t>
  </si>
  <si>
    <t>15663</t>
  </si>
  <si>
    <t>15664</t>
  </si>
  <si>
    <t>15665</t>
  </si>
  <si>
    <t>15666</t>
  </si>
  <si>
    <t>15667</t>
  </si>
  <si>
    <t>15668</t>
  </si>
  <si>
    <t>15669</t>
  </si>
  <si>
    <t>15670</t>
  </si>
  <si>
    <t>15671</t>
  </si>
  <si>
    <t>15672</t>
  </si>
  <si>
    <t>15673</t>
  </si>
  <si>
    <t>15674</t>
  </si>
  <si>
    <t>15675</t>
  </si>
  <si>
    <t>15676</t>
  </si>
  <si>
    <t>15678</t>
  </si>
  <si>
    <t>15679</t>
  </si>
  <si>
    <t>15680</t>
  </si>
  <si>
    <t>15681</t>
  </si>
  <si>
    <t>15682</t>
  </si>
  <si>
    <t>15683</t>
  </si>
  <si>
    <t>15684</t>
  </si>
  <si>
    <t>15685</t>
  </si>
  <si>
    <t>15686</t>
  </si>
  <si>
    <t>15687</t>
  </si>
  <si>
    <t>15688</t>
  </si>
  <si>
    <t>15689</t>
  </si>
  <si>
    <t>15690</t>
  </si>
  <si>
    <t>15691</t>
  </si>
  <si>
    <t>15692</t>
  </si>
  <si>
    <t>15693</t>
  </si>
  <si>
    <t>15694</t>
  </si>
  <si>
    <t>15695</t>
  </si>
  <si>
    <t>15696</t>
  </si>
  <si>
    <t>15697</t>
  </si>
  <si>
    <t>15698</t>
  </si>
  <si>
    <t>15699</t>
  </si>
  <si>
    <t>15700</t>
  </si>
  <si>
    <t>15701</t>
  </si>
  <si>
    <t>15702</t>
  </si>
  <si>
    <t>15703</t>
  </si>
  <si>
    <t>15705</t>
  </si>
  <si>
    <t>15706</t>
  </si>
  <si>
    <t>15707</t>
  </si>
  <si>
    <t>15708</t>
  </si>
  <si>
    <t>縣市撥入收入（薪資類）</t>
    <phoneticPr fontId="3" type="noConversion"/>
  </si>
  <si>
    <t>縣市撥入收入（導師費、鐘點費）</t>
    <phoneticPr fontId="3" type="noConversion"/>
  </si>
  <si>
    <t>453權利金收入</t>
    <phoneticPr fontId="3" type="noConversion"/>
  </si>
  <si>
    <t>１月分配3個月，餘9個月分配在２～10月</t>
    <phoneticPr fontId="3" type="noConversion"/>
  </si>
  <si>
    <t>月撫卹金（163）</t>
    <phoneticPr fontId="3" type="noConversion"/>
  </si>
  <si>
    <t>基金用途</t>
    <phoneticPr fontId="3" type="noConversion"/>
  </si>
  <si>
    <t>用人費用</t>
    <phoneticPr fontId="3" type="noConversion"/>
  </si>
  <si>
    <t>分配於1月份</t>
    <phoneticPr fontId="3" type="noConversion"/>
  </si>
  <si>
    <t>按１２個月平均分配</t>
  </si>
  <si>
    <t>服務費用</t>
    <phoneticPr fontId="3" type="noConversion"/>
  </si>
  <si>
    <t>體育活動費</t>
  </si>
  <si>
    <t>校車司機薪資</t>
  </si>
  <si>
    <t>校車保險費</t>
    <phoneticPr fontId="3" type="noConversion"/>
  </si>
  <si>
    <t>其他服務費用</t>
  </si>
  <si>
    <t>材料及用品費</t>
    <phoneticPr fontId="3" type="noConversion"/>
  </si>
  <si>
    <t>材料及用品費</t>
  </si>
  <si>
    <t>校車油料費</t>
    <phoneticPr fontId="3" type="noConversion"/>
  </si>
  <si>
    <t>會費、照護、救濟與交流活動費</t>
    <phoneticPr fontId="3" type="noConversion"/>
  </si>
  <si>
    <t>退休（職）人員三節慰問金</t>
  </si>
  <si>
    <t>稅捐與規費</t>
  </si>
  <si>
    <t>使用牌照稅</t>
  </si>
  <si>
    <t>分配於4月份</t>
  </si>
  <si>
    <t>行政規費與強制費</t>
  </si>
  <si>
    <t>汽車燃料使用費</t>
  </si>
  <si>
    <t>分配於7月份</t>
  </si>
  <si>
    <t>購置固定資產</t>
  </si>
  <si>
    <t>513擴充改良房屋建築及設備</t>
  </si>
  <si>
    <t>514購置機械及設備</t>
  </si>
  <si>
    <t>515購置交通及運輸設備</t>
  </si>
  <si>
    <t>516購置雜項設備</t>
  </si>
  <si>
    <t>基金來源</t>
  </si>
  <si>
    <t>43Y其他勞務收入</t>
  </si>
  <si>
    <t>452租金收入</t>
  </si>
  <si>
    <t>454利息收入</t>
  </si>
  <si>
    <t>4S1學雜費收入</t>
  </si>
  <si>
    <t>縣市撥入收入（薪資類:一般性補助國幼班教師、營養師）</t>
    <phoneticPr fontId="3" type="noConversion"/>
  </si>
  <si>
    <t>縣市撥入收入（薪資類:教育部補助營養師、專任輔導師、教保員、廚工、教保費）</t>
    <phoneticPr fontId="3" type="noConversion"/>
  </si>
  <si>
    <t>2.請於「分配表」工作表C1欄位填入學校代碼，例如：601。</t>
    <phoneticPr fontId="3" type="noConversion"/>
  </si>
  <si>
    <t>1.請勿更動各工作表數字。</t>
    <phoneticPr fontId="3" type="noConversion"/>
  </si>
  <si>
    <t>平均分配</t>
    <phoneticPr fontId="3" type="noConversion"/>
  </si>
  <si>
    <t>4**租金、償債、利息及相關手續費合計</t>
    <phoneticPr fontId="3" type="noConversion"/>
  </si>
  <si>
    <t>工友</t>
    <phoneticPr fontId="3" type="noConversion"/>
  </si>
  <si>
    <t>3.系統自動分配各用途別，請再次確認各用途別數字是否與預算書相同。</t>
    <phoneticPr fontId="3" type="noConversion"/>
  </si>
  <si>
    <t>4.檢查差額（R欄）是否皆為0。</t>
    <phoneticPr fontId="3" type="noConversion"/>
  </si>
  <si>
    <t>5.將黃色標示各2級用途別合計輸入地方教育發展基金系統內。</t>
    <phoneticPr fontId="3" type="noConversion"/>
  </si>
  <si>
    <t>教保員(含教保費). 廚工,護理人員 (計畫型)</t>
    <phoneticPr fontId="3" type="noConversion"/>
  </si>
  <si>
    <t>教育部補助教保員○千元、教保費○千元、廚工○千元、護理人員○千元</t>
    <phoneticPr fontId="3" type="noConversion"/>
  </si>
  <si>
    <t>明義國小幼兒園護理人員1位
(計畫型)</t>
    <phoneticPr fontId="3" type="noConversion"/>
  </si>
  <si>
    <t>3-4</t>
    <phoneticPr fontId="3" type="noConversion"/>
  </si>
  <si>
    <t>5L1行政管理及推展
1用人費用</t>
    <phoneticPr fontId="3" type="noConversion"/>
  </si>
  <si>
    <t>學校名稱</t>
    <phoneticPr fontId="3" type="noConversion"/>
  </si>
  <si>
    <t>１月分配5個月，餘7個月分配在２～8月</t>
    <phoneticPr fontId="3" type="noConversion"/>
  </si>
  <si>
    <t>公庫撥款收入</t>
    <phoneticPr fontId="3" type="noConversion"/>
  </si>
  <si>
    <t xml:space="preserve"> 縣庫撥款收入(基金來源明細表內說明欄)</t>
    <phoneticPr fontId="3" type="noConversion"/>
  </si>
  <si>
    <t>明義營養師1位(含縣配合款20%)(計畫型)</t>
    <phoneticPr fontId="3" type="noConversion"/>
  </si>
  <si>
    <t>專輔師10位(含縣配合款10%)(計畫型)</t>
    <phoneticPr fontId="3" type="noConversion"/>
  </si>
  <si>
    <t>國幼班教師(一般性補助)</t>
    <phoneticPr fontId="3" type="noConversion"/>
  </si>
  <si>
    <t>中正營養師1名
(一般性補助)</t>
    <phoneticPr fontId="3" type="noConversion"/>
  </si>
  <si>
    <t>TE-2907</t>
    <phoneticPr fontId="3" type="noConversion"/>
  </si>
  <si>
    <t>體健</t>
    <phoneticPr fontId="3" type="noConversion"/>
  </si>
  <si>
    <t>(4-7)</t>
    <phoneticPr fontId="3" type="noConversion"/>
  </si>
  <si>
    <t>(4-4)</t>
    <phoneticPr fontId="3" type="noConversion"/>
  </si>
  <si>
    <t>(4-5)</t>
    <phoneticPr fontId="3" type="noConversion"/>
  </si>
  <si>
    <t>(3-2)</t>
  </si>
  <si>
    <t>(10-1)</t>
  </si>
  <si>
    <t>(3-3)</t>
  </si>
  <si>
    <t>(4-1)</t>
  </si>
  <si>
    <t>增置教員-計畫型(含縣配合款10%)</t>
    <phoneticPr fontId="3" type="noConversion"/>
  </si>
  <si>
    <t>權利金</t>
    <phoneticPr fontId="3" type="noConversion"/>
  </si>
  <si>
    <t>代號</t>
    <phoneticPr fontId="3" type="noConversion"/>
  </si>
  <si>
    <t>一月</t>
    <phoneticPr fontId="3" type="noConversion"/>
  </si>
  <si>
    <t>明禮國小</t>
  </si>
  <si>
    <t>明義國小</t>
  </si>
  <si>
    <t>明廉國小</t>
  </si>
  <si>
    <t>明恥國小</t>
  </si>
  <si>
    <t>中正國小</t>
  </si>
  <si>
    <t>信義國小</t>
  </si>
  <si>
    <t>復興國小</t>
  </si>
  <si>
    <t>中華國小</t>
  </si>
  <si>
    <t>忠孝國小</t>
  </si>
  <si>
    <t>北濱國小</t>
  </si>
  <si>
    <t>鑄強國小</t>
  </si>
  <si>
    <t>國福國小</t>
  </si>
  <si>
    <t>新城國小</t>
  </si>
  <si>
    <t>北埔國小</t>
  </si>
  <si>
    <t>康樂國小</t>
  </si>
  <si>
    <t>嘉里國小</t>
  </si>
  <si>
    <t>吉安國小</t>
  </si>
  <si>
    <t>宜昌國小</t>
  </si>
  <si>
    <t>北昌國小</t>
  </si>
  <si>
    <t>光華國小</t>
  </si>
  <si>
    <t>稻香國小</t>
  </si>
  <si>
    <t>南華國小</t>
  </si>
  <si>
    <t>化仁國小</t>
  </si>
  <si>
    <t>太昌國小</t>
  </si>
  <si>
    <t>平和國小</t>
  </si>
  <si>
    <t>壽豐國小</t>
  </si>
  <si>
    <t>豐裡國小</t>
  </si>
  <si>
    <t>豐山國小</t>
  </si>
  <si>
    <t>志學國小</t>
  </si>
  <si>
    <t>月眉國小</t>
  </si>
  <si>
    <t>水璉國小</t>
  </si>
  <si>
    <t>溪口國小</t>
  </si>
  <si>
    <t>鳳林國小</t>
  </si>
  <si>
    <t>大榮國小</t>
  </si>
  <si>
    <t>林榮國小</t>
  </si>
  <si>
    <t>長橋國小</t>
  </si>
  <si>
    <t>北林國小</t>
  </si>
  <si>
    <t>鳳仁國小</t>
  </si>
  <si>
    <t>光復國小</t>
  </si>
  <si>
    <t>太巴塱國小</t>
  </si>
  <si>
    <t>大進國小</t>
  </si>
  <si>
    <t>瑞穗國小</t>
  </si>
  <si>
    <t>瑞美國小</t>
  </si>
  <si>
    <t>鶴岡國小</t>
  </si>
  <si>
    <t>舞鶴國小</t>
  </si>
  <si>
    <t>奇美國小</t>
  </si>
  <si>
    <t>富源國小</t>
  </si>
  <si>
    <t>瑞北國小</t>
  </si>
  <si>
    <t>豐濱國小</t>
  </si>
  <si>
    <t>港口國小</t>
  </si>
  <si>
    <t>靜浦國小</t>
  </si>
  <si>
    <t>新社國小</t>
  </si>
  <si>
    <t>玉里國小</t>
  </si>
  <si>
    <t>源城國小</t>
  </si>
  <si>
    <t>樂合國小</t>
  </si>
  <si>
    <t>觀音國小</t>
  </si>
  <si>
    <t>三民國小</t>
  </si>
  <si>
    <t>春日國小</t>
  </si>
  <si>
    <t>德武國小</t>
  </si>
  <si>
    <t>中城國小</t>
  </si>
  <si>
    <t>長良國小</t>
  </si>
  <si>
    <t>大禹國小</t>
  </si>
  <si>
    <t>松浦國小</t>
  </si>
  <si>
    <t>高寮國小</t>
  </si>
  <si>
    <t>富里國小</t>
  </si>
  <si>
    <t>萬寧國小</t>
  </si>
  <si>
    <t>永豐國小</t>
  </si>
  <si>
    <t>學田國小</t>
  </si>
  <si>
    <t>東竹國小</t>
  </si>
  <si>
    <t>東里國小</t>
  </si>
  <si>
    <t>明里國小</t>
  </si>
  <si>
    <t>吳江國小</t>
  </si>
  <si>
    <t>秀林國小</t>
  </si>
  <si>
    <t>富世國小</t>
  </si>
  <si>
    <t>和平國小</t>
  </si>
  <si>
    <t>佳民國小</t>
  </si>
  <si>
    <t>銅門國小</t>
  </si>
  <si>
    <t>水源國小</t>
  </si>
  <si>
    <t>崇德國小</t>
  </si>
  <si>
    <t>文蘭國小</t>
  </si>
  <si>
    <t>景美國小</t>
  </si>
  <si>
    <t>三棧國小</t>
  </si>
  <si>
    <t>銅蘭國小</t>
  </si>
  <si>
    <t>萬榮國小</t>
  </si>
  <si>
    <t>西林國小</t>
  </si>
  <si>
    <t>見晴國小</t>
  </si>
  <si>
    <t>馬遠國小</t>
  </si>
  <si>
    <t>紅葉國小</t>
  </si>
  <si>
    <t>明利國小</t>
  </si>
  <si>
    <t>卓溪國小</t>
  </si>
  <si>
    <t>崙山國小</t>
  </si>
  <si>
    <t>太平國小</t>
  </si>
  <si>
    <t>卓清國小</t>
  </si>
  <si>
    <t>古風國小</t>
  </si>
  <si>
    <t>立山國小</t>
  </si>
  <si>
    <t>卓樂國小</t>
  </si>
  <si>
    <t>卓楓國小</t>
  </si>
  <si>
    <t>西富國小</t>
  </si>
  <si>
    <t>大興國小</t>
  </si>
  <si>
    <t>中原國小</t>
  </si>
  <si>
    <t>西寶國小</t>
  </si>
  <si>
    <t>項目　</t>
    <phoneticPr fontId="3" type="noConversion"/>
  </si>
  <si>
    <t>5L100100</t>
    <phoneticPr fontId="3" type="noConversion"/>
  </si>
  <si>
    <r>
      <t>按１２個月平均計算，１月份分配</t>
    </r>
    <r>
      <rPr>
        <b/>
        <sz val="11"/>
        <color indexed="10"/>
        <rFont val="新細明體"/>
        <family val="1"/>
        <charset val="136"/>
      </rPr>
      <t>5</t>
    </r>
    <r>
      <rPr>
        <sz val="11"/>
        <rFont val="新細明體"/>
        <family val="1"/>
        <charset val="136"/>
      </rPr>
      <t>個月，餘7個月分配在2～8月份</t>
    </r>
    <phoneticPr fontId="3" type="noConversion"/>
  </si>
  <si>
    <r>
      <t>按１２個月平均計算，１月份分配</t>
    </r>
    <r>
      <rPr>
        <b/>
        <sz val="11"/>
        <color indexed="10"/>
        <rFont val="新細明體"/>
        <family val="1"/>
        <charset val="136"/>
      </rPr>
      <t>3</t>
    </r>
    <r>
      <rPr>
        <sz val="11"/>
        <rFont val="新細明體"/>
        <family val="1"/>
        <charset val="136"/>
      </rPr>
      <t>個月，餘9個月分配在２～10月份</t>
    </r>
    <phoneticPr fontId="3" type="noConversion"/>
  </si>
  <si>
    <t xml:space="preserve">  </t>
    <phoneticPr fontId="3" type="noConversion"/>
  </si>
  <si>
    <t>5L100302</t>
    <phoneticPr fontId="3" type="noConversion"/>
  </si>
  <si>
    <t>先預計1、7月份分配，如有需要請自行調整並回傳至帳務科</t>
    <phoneticPr fontId="3" type="noConversion"/>
  </si>
  <si>
    <t>按10個月平均分配(2、7月份不分配)</t>
    <phoneticPr fontId="3" type="noConversion"/>
  </si>
  <si>
    <r>
      <t>分配在</t>
    </r>
    <r>
      <rPr>
        <b/>
        <sz val="12"/>
        <color indexed="10"/>
        <rFont val="新細明體"/>
        <family val="1"/>
        <charset val="136"/>
      </rPr>
      <t>1、6、9</t>
    </r>
    <r>
      <rPr>
        <sz val="12"/>
        <rFont val="新細明體"/>
        <family val="1"/>
        <charset val="136"/>
      </rPr>
      <t>月份</t>
    </r>
    <phoneticPr fontId="3" type="noConversion"/>
  </si>
  <si>
    <t>先預計1月份分配，如有需要請自行調整並回傳至帳務科</t>
    <phoneticPr fontId="3" type="noConversion"/>
  </si>
  <si>
    <t>收支對列先預計1、7月份分配，如有需要請自行調整並回傳至帳務科</t>
    <phoneticPr fontId="3" type="noConversion"/>
  </si>
  <si>
    <t>分配於3、10月份(或按季分配)</t>
    <phoneticPr fontId="3" type="noConversion"/>
  </si>
  <si>
    <t>分配於7、12月份</t>
    <phoneticPr fontId="3" type="noConversion"/>
  </si>
  <si>
    <t>4YY雜項收入</t>
    <phoneticPr fontId="3" type="noConversion"/>
  </si>
  <si>
    <t>分配於3、10月份</t>
    <phoneticPr fontId="3" type="noConversion"/>
  </si>
  <si>
    <t>花蓮縣112年度各國民小學概算額度初核表</t>
    <phoneticPr fontId="3" type="noConversion"/>
  </si>
  <si>
    <t>110學年度幼兒園教保員(含增置)</t>
    <phoneticPr fontId="3" type="noConversion"/>
  </si>
  <si>
    <t>110學年度幼兒園增置廚工（專）</t>
    <phoneticPr fontId="3" type="noConversion"/>
  </si>
  <si>
    <t>110學年度幼兒園增置廚工</t>
    <phoneticPr fontId="3" type="noConversion"/>
  </si>
  <si>
    <t>110學年度幼兒園護理人員</t>
    <phoneticPr fontId="3" type="noConversion"/>
  </si>
  <si>
    <t>考試報名費收支對列</t>
    <phoneticPr fontId="3" type="noConversion"/>
  </si>
  <si>
    <t>權利金收支對列</t>
    <phoneticPr fontId="3" type="noConversion"/>
  </si>
  <si>
    <t>其他福利費</t>
    <phoneticPr fontId="3" type="noConversion"/>
  </si>
  <si>
    <t>3月、9月</t>
    <phoneticPr fontId="3" type="noConversion"/>
  </si>
  <si>
    <t>91列-76列</t>
    <phoneticPr fontId="3" type="noConversion"/>
  </si>
  <si>
    <t>1月</t>
    <phoneticPr fontId="3" type="noConversion"/>
  </si>
  <si>
    <t>未休假加班費</t>
    <phoneticPr fontId="3" type="noConversion"/>
  </si>
  <si>
    <t>未休假加班費</t>
    <phoneticPr fontId="3" type="noConversion"/>
  </si>
  <si>
    <t>5L100100</t>
  </si>
  <si>
    <t>教職員工薪資[113、114、161、162、181]</t>
  </si>
  <si>
    <t>按１２個月平均計算，１月份分配3個月，餘9個月分配在２～10月份</t>
  </si>
  <si>
    <t>年終獎金[152]、休假補助[18Y]、未休假加班費[131]</t>
  </si>
  <si>
    <t>分配於1月份</t>
  </si>
  <si>
    <t>考績獎金[151]</t>
  </si>
  <si>
    <t>1/5分配於4月份，4/5成分配至9月份</t>
  </si>
  <si>
    <t>兼職人員酬金[124]、專案加班費[131]</t>
  </si>
  <si>
    <t>健檢[183]</t>
  </si>
  <si>
    <t>分配於3月份</t>
  </si>
  <si>
    <t>分配於1、7月份，如有需要請自行調整並回傳至帳務科</t>
  </si>
  <si>
    <t>教職員退休撫卹給付﹙年終慰問金除外）</t>
  </si>
  <si>
    <t>年終慰問金</t>
  </si>
  <si>
    <t>5L100302</t>
  </si>
  <si>
    <t>教職員各項補助[18Y]</t>
  </si>
  <si>
    <t>平均分配於3、9月份</t>
  </si>
  <si>
    <t xml:space="preserve"> </t>
    <phoneticPr fontId="3" type="noConversion"/>
  </si>
  <si>
    <t>604明恥國小</t>
    <phoneticPr fontId="3" type="noConversion"/>
  </si>
  <si>
    <t>605中正國小</t>
    <phoneticPr fontId="3" type="noConversion"/>
  </si>
  <si>
    <t>606信義國小</t>
    <phoneticPr fontId="3" type="noConversion"/>
  </si>
  <si>
    <t>607復興國小</t>
    <phoneticPr fontId="3" type="noConversion"/>
  </si>
  <si>
    <t>610北濱國小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</si>
</sst>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-* #,##0_-;\-* #,##0_-;_-* &quot;-&quot;_-;_-@_-"/>
    <numFmt numFmtId="43" formatCode="_-* #,##0.00_-;\-* #,##0.00_-;_-* &quot;-&quot;??_-;_-@_-"/>
    <numFmt numFmtId="176" formatCode="#,##0_);[Red]\(#,##0\)"/>
    <numFmt numFmtId="177" formatCode="_-* #,##0_-;\-* #,##0_-;_-* &quot;-&quot;??_-;_-@_-"/>
    <numFmt numFmtId="178" formatCode="#,##0_ "/>
  </numFmts>
  <fonts count="41"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b/>
      <sz val="12"/>
      <color indexed="10"/>
      <name val="新細明體"/>
      <family val="1"/>
      <charset val="136"/>
    </font>
    <font>
      <sz val="12"/>
      <name val="標楷體"/>
      <family val="4"/>
      <charset val="136"/>
    </font>
    <font>
      <b/>
      <sz val="12"/>
      <name val="Times New Roman"/>
      <family val="1"/>
    </font>
    <font>
      <b/>
      <sz val="12"/>
      <color indexed="30"/>
      <name val="新細明體"/>
      <family val="1"/>
      <charset val="136"/>
    </font>
    <font>
      <sz val="12"/>
      <color indexed="10"/>
      <name val="標楷體"/>
      <family val="4"/>
      <charset val="136"/>
    </font>
    <font>
      <sz val="10"/>
      <color indexed="8"/>
      <name val="ARIAL"/>
      <family val="2"/>
    </font>
    <font>
      <sz val="10"/>
      <name val="Arial"/>
      <family val="2"/>
    </font>
    <font>
      <sz val="11"/>
      <name val="新細明體"/>
      <family val="1"/>
      <charset val="136"/>
    </font>
    <font>
      <sz val="11"/>
      <name val="細明體"/>
      <family val="3"/>
      <charset val="136"/>
    </font>
    <font>
      <sz val="9"/>
      <name val="細明體"/>
      <family val="3"/>
      <charset val="136"/>
    </font>
    <font>
      <b/>
      <sz val="12"/>
      <name val="標楷體"/>
      <family val="4"/>
      <charset val="136"/>
    </font>
    <font>
      <sz val="11"/>
      <color indexed="8"/>
      <name val="新細明體"/>
      <family val="1"/>
      <charset val="136"/>
    </font>
    <font>
      <sz val="14"/>
      <color indexed="8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14"/>
      <color indexed="8"/>
      <name val="新細明體"/>
      <family val="1"/>
      <charset val="136"/>
    </font>
    <font>
      <sz val="14"/>
      <color indexed="10"/>
      <name val="新細明體"/>
      <family val="1"/>
      <charset val="136"/>
    </font>
    <font>
      <b/>
      <sz val="14"/>
      <color indexed="10"/>
      <name val="新細明體"/>
      <family val="1"/>
      <charset val="136"/>
    </font>
    <font>
      <sz val="10"/>
      <color indexed="10"/>
      <name val="Times New Roman"/>
      <family val="1"/>
    </font>
    <font>
      <sz val="14"/>
      <name val="新細明體"/>
      <family val="1"/>
      <charset val="136"/>
    </font>
    <font>
      <sz val="10.5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i/>
      <u/>
      <sz val="16"/>
      <color indexed="10"/>
      <name val="新細明體"/>
      <family val="1"/>
      <charset val="136"/>
    </font>
    <font>
      <b/>
      <sz val="14"/>
      <color indexed="12"/>
      <name val="新細明體"/>
      <family val="1"/>
      <charset val="136"/>
    </font>
    <font>
      <b/>
      <sz val="11"/>
      <color indexed="10"/>
      <name val="新細明體"/>
      <family val="1"/>
      <charset val="136"/>
    </font>
    <font>
      <b/>
      <sz val="12"/>
      <color indexed="12"/>
      <name val="新細明體"/>
      <family val="1"/>
      <charset val="136"/>
    </font>
    <font>
      <sz val="12"/>
      <color indexed="12"/>
      <name val="新細明體"/>
      <family val="1"/>
      <charset val="136"/>
    </font>
    <font>
      <b/>
      <sz val="20"/>
      <name val="新細明體"/>
      <family val="1"/>
      <charset val="136"/>
    </font>
    <font>
      <b/>
      <sz val="20"/>
      <color indexed="10"/>
      <name val="新細明體"/>
      <family val="1"/>
      <charset val="136"/>
    </font>
    <font>
      <b/>
      <sz val="20"/>
      <color indexed="10"/>
      <name val="新細明體"/>
      <family val="1"/>
      <charset val="136"/>
    </font>
    <font>
      <sz val="12"/>
      <color theme="1"/>
      <name val="新細明體"/>
      <family val="1"/>
      <charset val="136"/>
      <scheme val="minor"/>
    </font>
    <font>
      <b/>
      <sz val="12"/>
      <color rgb="FFFF0000"/>
      <name val="新細明體"/>
      <family val="1"/>
      <charset val="136"/>
    </font>
    <font>
      <b/>
      <sz val="12"/>
      <color rgb="FF0070C0"/>
      <name val="新細明體"/>
      <family val="1"/>
      <charset val="136"/>
    </font>
    <font>
      <sz val="10"/>
      <name val="標楷體"/>
      <family val="4"/>
      <charset val="136"/>
    </font>
    <font>
      <b/>
      <sz val="10"/>
      <name val="標楷體"/>
      <family val="4"/>
      <charset val="136"/>
    </font>
    <font>
      <b/>
      <sz val="12"/>
      <name val="新細明體"/>
      <family val="1"/>
      <charset val="136"/>
    </font>
    <font>
      <sz val="8"/>
      <name val="新細明體"/>
      <family val="1"/>
      <charset val="136"/>
    </font>
    <font>
      <sz val="12"/>
      <color theme="1"/>
      <name val="標楷體"/>
      <family val="4"/>
      <charset val="136"/>
    </font>
  </fonts>
  <fills count="1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59EE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6">
    <xf numFmtId="0" fontId="0" fillId="0" borderId="0"/>
    <xf numFmtId="0" fontId="2" fillId="0" borderId="0">
      <alignment vertical="center"/>
    </xf>
    <xf numFmtId="0" fontId="9" fillId="0" borderId="0">
      <alignment vertical="top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0" fillId="0" borderId="0"/>
    <xf numFmtId="0" fontId="2" fillId="0" borderId="0">
      <alignment vertical="center"/>
    </xf>
    <xf numFmtId="0" fontId="3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</cellStyleXfs>
  <cellXfs count="284">
    <xf numFmtId="0" fontId="0" fillId="0" borderId="0" xfId="0"/>
    <xf numFmtId="0" fontId="0" fillId="0" borderId="0" xfId="0" applyBorder="1" applyAlignment="1">
      <alignment vertical="center"/>
    </xf>
    <xf numFmtId="176" fontId="0" fillId="0" borderId="1" xfId="0" applyNumberFormat="1" applyBorder="1" applyAlignment="1">
      <alignment vertical="center"/>
    </xf>
    <xf numFmtId="41" fontId="0" fillId="0" borderId="1" xfId="0" applyNumberFormat="1" applyBorder="1" applyAlignment="1">
      <alignment vertical="center"/>
    </xf>
    <xf numFmtId="0" fontId="0" fillId="0" borderId="0" xfId="0" applyAlignment="1">
      <alignment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NumberFormat="1" applyAlignment="1">
      <alignment vertical="center" wrapText="1"/>
    </xf>
    <xf numFmtId="0" fontId="0" fillId="0" borderId="0" xfId="0" applyNumberFormat="1" applyAlignment="1">
      <alignment horizontal="left" vertical="center"/>
    </xf>
    <xf numFmtId="0" fontId="0" fillId="2" borderId="1" xfId="0" applyNumberFormat="1" applyFill="1" applyBorder="1" applyAlignment="1">
      <alignment vertical="center" wrapText="1"/>
    </xf>
    <xf numFmtId="0" fontId="0" fillId="2" borderId="1" xfId="0" applyNumberFormat="1" applyFill="1" applyBorder="1" applyAlignment="1">
      <alignment horizontal="left" vertical="center"/>
    </xf>
    <xf numFmtId="0" fontId="4" fillId="2" borderId="1" xfId="0" applyNumberFormat="1" applyFont="1" applyFill="1" applyBorder="1" applyAlignment="1">
      <alignment vertical="center" wrapText="1"/>
    </xf>
    <xf numFmtId="0" fontId="0" fillId="2" borderId="1" xfId="0" applyNumberFormat="1" applyFont="1" applyFill="1" applyBorder="1" applyAlignment="1">
      <alignment vertical="center" wrapText="1"/>
    </xf>
    <xf numFmtId="0" fontId="0" fillId="3" borderId="1" xfId="0" applyNumberFormat="1" applyFill="1" applyBorder="1" applyAlignment="1">
      <alignment horizontal="left" vertical="center"/>
    </xf>
    <xf numFmtId="0" fontId="0" fillId="4" borderId="1" xfId="0" applyNumberFormat="1" applyFill="1" applyBorder="1" applyAlignment="1">
      <alignment horizontal="left" vertical="center"/>
    </xf>
    <xf numFmtId="0" fontId="0" fillId="3" borderId="1" xfId="0" applyNumberFormat="1" applyFill="1" applyBorder="1" applyAlignment="1">
      <alignment vertical="center" wrapText="1"/>
    </xf>
    <xf numFmtId="0" fontId="0" fillId="5" borderId="1" xfId="0" applyNumberFormat="1" applyFill="1" applyBorder="1" applyAlignment="1">
      <alignment horizontal="left" vertical="center"/>
    </xf>
    <xf numFmtId="0" fontId="4" fillId="5" borderId="1" xfId="0" applyNumberFormat="1" applyFont="1" applyFill="1" applyBorder="1" applyAlignment="1">
      <alignment vertical="center" wrapText="1"/>
    </xf>
    <xf numFmtId="0" fontId="0" fillId="4" borderId="1" xfId="0" applyNumberFormat="1" applyFill="1" applyBorder="1" applyAlignment="1">
      <alignment vertical="center" wrapText="1"/>
    </xf>
    <xf numFmtId="0" fontId="4" fillId="4" borderId="1" xfId="0" applyNumberFormat="1" applyFont="1" applyFill="1" applyBorder="1" applyAlignment="1">
      <alignment horizontal="left" vertical="center" wrapText="1"/>
    </xf>
    <xf numFmtId="0" fontId="0" fillId="0" borderId="1" xfId="0" applyNumberFormat="1" applyBorder="1" applyAlignment="1">
      <alignment horizontal="left" vertical="center"/>
    </xf>
    <xf numFmtId="0" fontId="0" fillId="2" borderId="1" xfId="0" applyNumberFormat="1" applyFont="1" applyFill="1" applyBorder="1" applyAlignment="1">
      <alignment horizontal="left" vertical="center"/>
    </xf>
    <xf numFmtId="0" fontId="7" fillId="2" borderId="1" xfId="0" applyNumberFormat="1" applyFont="1" applyFill="1" applyBorder="1" applyAlignment="1">
      <alignment vertical="center" wrapText="1"/>
    </xf>
    <xf numFmtId="0" fontId="7" fillId="2" borderId="1" xfId="0" applyNumberFormat="1" applyFont="1" applyFill="1" applyBorder="1" applyAlignment="1">
      <alignment horizontal="left" vertical="center"/>
    </xf>
    <xf numFmtId="0" fontId="2" fillId="0" borderId="0" xfId="1" applyFont="1">
      <alignment vertical="center"/>
    </xf>
    <xf numFmtId="0" fontId="2" fillId="0" borderId="0" xfId="1" applyFont="1" applyFill="1">
      <alignment vertical="center"/>
    </xf>
    <xf numFmtId="0" fontId="0" fillId="0" borderId="0" xfId="0" applyAlignment="1">
      <alignment horizontal="left" vertical="center"/>
    </xf>
    <xf numFmtId="0" fontId="0" fillId="6" borderId="0" xfId="0" applyFill="1" applyAlignment="1">
      <alignment horizontal="left" vertical="center"/>
    </xf>
    <xf numFmtId="0" fontId="0" fillId="4" borderId="1" xfId="0" applyFill="1" applyBorder="1" applyAlignment="1">
      <alignment vertical="center"/>
    </xf>
    <xf numFmtId="178" fontId="0" fillId="0" borderId="0" xfId="0" applyNumberFormat="1" applyAlignment="1">
      <alignment vertical="center"/>
    </xf>
    <xf numFmtId="1" fontId="0" fillId="0" borderId="0" xfId="0" applyNumberFormat="1"/>
    <xf numFmtId="0" fontId="0" fillId="0" borderId="0" xfId="0" applyNumberFormat="1"/>
    <xf numFmtId="0" fontId="0" fillId="6" borderId="0" xfId="0" applyFill="1" applyAlignment="1">
      <alignment wrapText="1"/>
    </xf>
    <xf numFmtId="0" fontId="0" fillId="0" borderId="0" xfId="0" applyBorder="1"/>
    <xf numFmtId="0" fontId="0" fillId="0" borderId="0" xfId="0" applyNumberFormat="1" applyBorder="1" applyAlignment="1">
      <alignment vertical="center" wrapText="1"/>
    </xf>
    <xf numFmtId="0" fontId="0" fillId="0" borderId="0" xfId="0" applyFill="1" applyBorder="1"/>
    <xf numFmtId="178" fontId="0" fillId="0" borderId="1" xfId="0" applyNumberFormat="1" applyBorder="1" applyAlignment="1">
      <alignment vertical="center"/>
    </xf>
    <xf numFmtId="0" fontId="17" fillId="0" borderId="2" xfId="10" applyFont="1" applyFill="1" applyBorder="1" applyAlignment="1">
      <alignment vertical="top"/>
    </xf>
    <xf numFmtId="0" fontId="16" fillId="0" borderId="2" xfId="10" applyFont="1" applyFill="1" applyBorder="1" applyAlignment="1">
      <alignment horizontal="center" vertical="center"/>
    </xf>
    <xf numFmtId="176" fontId="18" fillId="0" borderId="1" xfId="10" applyNumberFormat="1" applyFont="1" applyFill="1" applyBorder="1" applyAlignment="1" applyProtection="1">
      <alignment horizontal="center" vertical="center"/>
      <protection locked="0"/>
    </xf>
    <xf numFmtId="41" fontId="16" fillId="0" borderId="1" xfId="10" applyNumberFormat="1" applyFont="1" applyFill="1" applyBorder="1" applyAlignment="1" applyProtection="1">
      <alignment horizontal="center" vertical="center" shrinkToFit="1"/>
      <protection locked="0"/>
    </xf>
    <xf numFmtId="41" fontId="19" fillId="0" borderId="3" xfId="10" applyNumberFormat="1" applyFont="1" applyFill="1" applyBorder="1" applyAlignment="1" applyProtection="1">
      <alignment horizontal="center" vertical="center" shrinkToFit="1"/>
      <protection locked="0"/>
    </xf>
    <xf numFmtId="41" fontId="16" fillId="0" borderId="3" xfId="10" applyNumberFormat="1" applyFont="1" applyFill="1" applyBorder="1" applyAlignment="1" applyProtection="1">
      <alignment horizontal="center" vertical="center" shrinkToFit="1"/>
      <protection locked="0"/>
    </xf>
    <xf numFmtId="176" fontId="22" fillId="4" borderId="2" xfId="0" applyNumberFormat="1" applyFont="1" applyFill="1" applyBorder="1" applyAlignment="1">
      <alignment horizontal="center" vertical="top" wrapText="1"/>
    </xf>
    <xf numFmtId="176" fontId="22" fillId="4" borderId="2" xfId="0" applyNumberFormat="1" applyFont="1" applyFill="1" applyBorder="1" applyAlignment="1">
      <alignment horizontal="center" vertical="center" wrapText="1"/>
    </xf>
    <xf numFmtId="176" fontId="16" fillId="4" borderId="1" xfId="0" applyNumberFormat="1" applyFont="1" applyFill="1" applyBorder="1" applyAlignment="1">
      <alignment vertical="center"/>
    </xf>
    <xf numFmtId="49" fontId="22" fillId="8" borderId="2" xfId="0" applyNumberFormat="1" applyFont="1" applyFill="1" applyBorder="1" applyAlignment="1">
      <alignment horizontal="center" vertical="top" wrapText="1"/>
    </xf>
    <xf numFmtId="49" fontId="22" fillId="8" borderId="2" xfId="0" applyNumberFormat="1" applyFont="1" applyFill="1" applyBorder="1" applyAlignment="1">
      <alignment horizontal="center" vertical="center" wrapText="1"/>
    </xf>
    <xf numFmtId="176" fontId="23" fillId="8" borderId="2" xfId="0" applyNumberFormat="1" applyFont="1" applyFill="1" applyBorder="1" applyAlignment="1">
      <alignment horizontal="left" vertical="top" wrapText="1"/>
    </xf>
    <xf numFmtId="0" fontId="11" fillId="8" borderId="2" xfId="0" applyFont="1" applyFill="1" applyBorder="1" applyAlignment="1">
      <alignment horizontal="left" vertical="top" wrapText="1"/>
    </xf>
    <xf numFmtId="0" fontId="22" fillId="8" borderId="2" xfId="0" applyFont="1" applyFill="1" applyBorder="1" applyAlignment="1">
      <alignment horizontal="left" vertical="top" wrapText="1"/>
    </xf>
    <xf numFmtId="49" fontId="2" fillId="7" borderId="2" xfId="0" applyNumberFormat="1" applyFont="1" applyFill="1" applyBorder="1" applyAlignment="1">
      <alignment horizontal="center" vertical="top" wrapText="1" shrinkToFit="1"/>
    </xf>
    <xf numFmtId="49" fontId="22" fillId="7" borderId="2" xfId="0" applyNumberFormat="1" applyFont="1" applyFill="1" applyBorder="1" applyAlignment="1">
      <alignment horizontal="center" vertical="center" wrapText="1" shrinkToFit="1"/>
    </xf>
    <xf numFmtId="49" fontId="0" fillId="7" borderId="2" xfId="0" applyNumberFormat="1" applyFill="1" applyBorder="1" applyAlignment="1">
      <alignment horizontal="center" vertical="top" wrapText="1"/>
    </xf>
    <xf numFmtId="49" fontId="17" fillId="7" borderId="2" xfId="0" applyNumberFormat="1" applyFont="1" applyFill="1" applyBorder="1" applyAlignment="1">
      <alignment horizontal="center" vertical="top" wrapText="1"/>
    </xf>
    <xf numFmtId="176" fontId="22" fillId="0" borderId="1" xfId="0" applyNumberFormat="1" applyFont="1" applyFill="1" applyBorder="1" applyAlignment="1">
      <alignment horizontal="right" vertical="center"/>
    </xf>
    <xf numFmtId="49" fontId="0" fillId="6" borderId="2" xfId="0" applyNumberFormat="1" applyFill="1" applyBorder="1" applyAlignment="1">
      <alignment horizontal="center" vertical="top" wrapText="1"/>
    </xf>
    <xf numFmtId="0" fontId="2" fillId="9" borderId="2" xfId="0" applyFont="1" applyFill="1" applyBorder="1" applyAlignment="1">
      <alignment horizontal="center" vertical="top" wrapText="1" shrinkToFit="1"/>
    </xf>
    <xf numFmtId="49" fontId="22" fillId="9" borderId="2" xfId="0" applyNumberFormat="1" applyFont="1" applyFill="1" applyBorder="1" applyAlignment="1">
      <alignment horizontal="center" vertical="center" wrapText="1"/>
    </xf>
    <xf numFmtId="0" fontId="23" fillId="9" borderId="2" xfId="0" applyFont="1" applyFill="1" applyBorder="1" applyAlignment="1">
      <alignment horizontal="left" vertical="top" wrapText="1"/>
    </xf>
    <xf numFmtId="176" fontId="0" fillId="9" borderId="2" xfId="0" applyNumberFormat="1" applyFill="1" applyBorder="1" applyAlignment="1">
      <alignment horizontal="center" vertical="top" wrapText="1"/>
    </xf>
    <xf numFmtId="176" fontId="23" fillId="9" borderId="2" xfId="0" applyNumberFormat="1" applyFont="1" applyFill="1" applyBorder="1" applyAlignment="1">
      <alignment horizontal="left" vertical="top" wrapText="1"/>
    </xf>
    <xf numFmtId="176" fontId="22" fillId="9" borderId="2" xfId="0" applyNumberFormat="1" applyFont="1" applyFill="1" applyBorder="1" applyAlignment="1">
      <alignment horizontal="center" vertical="center" wrapText="1"/>
    </xf>
    <xf numFmtId="3" fontId="22" fillId="0" borderId="1" xfId="0" applyNumberFormat="1" applyFont="1" applyFill="1" applyBorder="1" applyAlignment="1">
      <alignment vertical="center"/>
    </xf>
    <xf numFmtId="41" fontId="22" fillId="0" borderId="1" xfId="10" applyNumberFormat="1" applyFont="1" applyFill="1" applyBorder="1" applyAlignment="1" applyProtection="1">
      <alignment horizontal="center" vertical="center" shrinkToFit="1"/>
      <protection locked="0"/>
    </xf>
    <xf numFmtId="3" fontId="22" fillId="0" borderId="1" xfId="0" applyNumberFormat="1" applyFont="1" applyFill="1" applyBorder="1" applyAlignment="1">
      <alignment horizontal="right" vertical="center"/>
    </xf>
    <xf numFmtId="41" fontId="22" fillId="0" borderId="4" xfId="10" applyNumberFormat="1" applyFont="1" applyFill="1" applyBorder="1" applyAlignment="1" applyProtection="1">
      <alignment horizontal="center" vertical="center" shrinkToFit="1"/>
      <protection locked="0"/>
    </xf>
    <xf numFmtId="176" fontId="22" fillId="4" borderId="1" xfId="0" applyNumberFormat="1" applyFont="1" applyFill="1" applyBorder="1" applyAlignment="1">
      <alignment horizontal="right" vertical="center"/>
    </xf>
    <xf numFmtId="178" fontId="0" fillId="0" borderId="0" xfId="0" applyNumberFormat="1"/>
    <xf numFmtId="178" fontId="0" fillId="6" borderId="0" xfId="0" applyNumberFormat="1" applyFill="1"/>
    <xf numFmtId="0" fontId="0" fillId="3" borderId="0" xfId="0" applyFill="1" applyAlignment="1">
      <alignment vertical="center" wrapText="1"/>
    </xf>
    <xf numFmtId="0" fontId="0" fillId="5" borderId="0" xfId="0" applyFill="1" applyAlignment="1">
      <alignment vertical="center" wrapText="1"/>
    </xf>
    <xf numFmtId="0" fontId="15" fillId="5" borderId="1" xfId="11" applyFont="1" applyFill="1" applyBorder="1" applyAlignment="1" applyProtection="1">
      <alignment horizontal="left" vertical="center" wrapText="1" indent="1"/>
      <protection locked="0"/>
    </xf>
    <xf numFmtId="0" fontId="0" fillId="3" borderId="1" xfId="11" applyFont="1" applyFill="1" applyBorder="1" applyAlignment="1" applyProtection="1">
      <alignment horizontal="left" vertical="center" wrapText="1" indent="1"/>
      <protection locked="0"/>
    </xf>
    <xf numFmtId="0" fontId="2" fillId="2" borderId="1" xfId="11" applyFont="1" applyFill="1" applyBorder="1" applyAlignment="1" applyProtection="1">
      <alignment horizontal="left" vertical="center" wrapText="1" indent="1"/>
      <protection locked="0"/>
    </xf>
    <xf numFmtId="0" fontId="0" fillId="2" borderId="0" xfId="0" applyFill="1" applyAlignment="1">
      <alignment vertical="center" wrapText="1"/>
    </xf>
    <xf numFmtId="0" fontId="0" fillId="4" borderId="0" xfId="0" applyFill="1" applyAlignment="1">
      <alignment vertical="center" wrapText="1"/>
    </xf>
    <xf numFmtId="0" fontId="0" fillId="6" borderId="1" xfId="0" applyNumberFormat="1" applyFill="1" applyBorder="1" applyAlignment="1">
      <alignment horizontal="left" vertical="center"/>
    </xf>
    <xf numFmtId="0" fontId="0" fillId="0" borderId="0" xfId="0" applyAlignment="1">
      <alignment horizontal="left" indent="2"/>
    </xf>
    <xf numFmtId="0" fontId="0" fillId="0" borderId="0" xfId="0" applyAlignment="1">
      <alignment horizontal="left" wrapText="1" indent="2"/>
    </xf>
    <xf numFmtId="0" fontId="2" fillId="0" borderId="5" xfId="11" applyFont="1" applyBorder="1" applyAlignment="1" applyProtection="1">
      <alignment horizontal="center" vertical="center"/>
      <protection locked="0"/>
    </xf>
    <xf numFmtId="0" fontId="2" fillId="0" borderId="0" xfId="1">
      <alignment vertical="center"/>
    </xf>
    <xf numFmtId="0" fontId="25" fillId="0" borderId="6" xfId="11" applyFont="1" applyBorder="1" applyAlignment="1" applyProtection="1">
      <alignment horizontal="center" vertical="center"/>
      <protection locked="0"/>
    </xf>
    <xf numFmtId="0" fontId="2" fillId="0" borderId="6" xfId="11" applyFont="1" applyBorder="1" applyAlignment="1" applyProtection="1">
      <alignment horizontal="center" vertical="center"/>
      <protection locked="0"/>
    </xf>
    <xf numFmtId="0" fontId="26" fillId="0" borderId="0" xfId="11" applyFont="1" applyBorder="1" applyAlignment="1" applyProtection="1">
      <alignment horizontal="center" vertical="center"/>
      <protection locked="0"/>
    </xf>
    <xf numFmtId="0" fontId="2" fillId="0" borderId="0" xfId="11" applyFont="1" applyBorder="1" applyAlignment="1" applyProtection="1">
      <alignment vertical="center" wrapText="1"/>
      <protection locked="0"/>
    </xf>
    <xf numFmtId="0" fontId="2" fillId="0" borderId="0" xfId="11" applyFont="1" applyAlignment="1" applyProtection="1">
      <alignment vertical="center" wrapText="1"/>
      <protection locked="0"/>
    </xf>
    <xf numFmtId="0" fontId="11" fillId="0" borderId="0" xfId="11" applyFont="1" applyAlignment="1" applyProtection="1">
      <alignment vertical="center" wrapText="1"/>
      <protection locked="0"/>
    </xf>
    <xf numFmtId="0" fontId="2" fillId="0" borderId="0" xfId="11" applyFont="1" applyProtection="1">
      <alignment vertical="center"/>
      <protection locked="0"/>
    </xf>
    <xf numFmtId="0" fontId="2" fillId="0" borderId="5" xfId="11" applyFont="1" applyBorder="1" applyAlignment="1" applyProtection="1">
      <alignment vertical="center" wrapText="1"/>
      <protection locked="0"/>
    </xf>
    <xf numFmtId="0" fontId="26" fillId="0" borderId="6" xfId="11" applyFont="1" applyBorder="1" applyAlignment="1" applyProtection="1">
      <alignment horizontal="center" vertical="center"/>
      <protection locked="0"/>
    </xf>
    <xf numFmtId="0" fontId="28" fillId="0" borderId="6" xfId="11" applyFont="1" applyBorder="1" applyAlignment="1" applyProtection="1">
      <alignment horizontal="center" vertical="center"/>
      <protection locked="0"/>
    </xf>
    <xf numFmtId="0" fontId="2" fillId="0" borderId="6" xfId="11" applyFont="1" applyBorder="1" applyAlignment="1" applyProtection="1">
      <alignment vertical="center" wrapText="1"/>
      <protection locked="0"/>
    </xf>
    <xf numFmtId="0" fontId="2" fillId="0" borderId="0" xfId="1" applyAlignment="1">
      <alignment vertical="center" shrinkToFit="1"/>
    </xf>
    <xf numFmtId="0" fontId="2" fillId="0" borderId="0" xfId="1" applyFill="1" applyBorder="1" applyAlignment="1">
      <alignment vertical="center" shrinkToFit="1"/>
    </xf>
    <xf numFmtId="0" fontId="2" fillId="0" borderId="0" xfId="1" applyFill="1" applyAlignment="1">
      <alignment vertical="center" shrinkToFit="1"/>
    </xf>
    <xf numFmtId="41" fontId="12" fillId="0" borderId="0" xfId="1" applyNumberFormat="1" applyFont="1" applyFill="1" applyAlignment="1">
      <alignment horizontal="left" vertical="center" shrinkToFit="1"/>
    </xf>
    <xf numFmtId="0" fontId="29" fillId="0" borderId="0" xfId="11" applyFont="1" applyFill="1" applyAlignment="1" applyProtection="1">
      <alignment vertical="center" wrapText="1"/>
      <protection locked="0"/>
    </xf>
    <xf numFmtId="41" fontId="12" fillId="0" borderId="0" xfId="1" applyNumberFormat="1" applyFont="1" applyAlignment="1">
      <alignment horizontal="left" vertical="center" shrinkToFit="1"/>
    </xf>
    <xf numFmtId="0" fontId="15" fillId="0" borderId="0" xfId="11" applyFont="1" applyFill="1" applyBorder="1" applyAlignment="1" applyProtection="1">
      <alignment horizontal="left" vertical="center" wrapText="1" indent="1"/>
      <protection locked="0"/>
    </xf>
    <xf numFmtId="0" fontId="0" fillId="0" borderId="0" xfId="11" applyFont="1" applyFill="1" applyBorder="1" applyAlignment="1" applyProtection="1">
      <alignment horizontal="left" vertical="center" wrapText="1" indent="1"/>
      <protection locked="0"/>
    </xf>
    <xf numFmtId="0" fontId="2" fillId="0" borderId="0" xfId="11" applyFont="1" applyFill="1" applyBorder="1" applyAlignment="1" applyProtection="1">
      <alignment horizontal="left" vertical="center" wrapText="1" indent="1"/>
      <protection locked="0"/>
    </xf>
    <xf numFmtId="0" fontId="0" fillId="0" borderId="0" xfId="0" applyFill="1" applyAlignment="1">
      <alignment vertical="center"/>
    </xf>
    <xf numFmtId="178" fontId="0" fillId="0" borderId="0" xfId="0" applyNumberFormat="1" applyFill="1" applyAlignment="1">
      <alignment vertical="center"/>
    </xf>
    <xf numFmtId="0" fontId="0" fillId="6" borderId="1" xfId="0" applyNumberFormat="1" applyFill="1" applyBorder="1" applyAlignment="1">
      <alignment vertical="center" wrapText="1"/>
    </xf>
    <xf numFmtId="0" fontId="0" fillId="6" borderId="1" xfId="0" applyNumberFormat="1" applyFont="1" applyFill="1" applyBorder="1" applyAlignment="1">
      <alignment vertical="center" wrapText="1"/>
    </xf>
    <xf numFmtId="0" fontId="7" fillId="6" borderId="1" xfId="0" applyNumberFormat="1" applyFont="1" applyFill="1" applyBorder="1" applyAlignment="1">
      <alignment horizontal="left" vertical="center"/>
    </xf>
    <xf numFmtId="178" fontId="0" fillId="6" borderId="1" xfId="0" applyNumberFormat="1" applyFill="1" applyBorder="1" applyAlignment="1">
      <alignment vertical="center"/>
    </xf>
    <xf numFmtId="0" fontId="24" fillId="0" borderId="1" xfId="11" applyFont="1" applyFill="1" applyBorder="1" applyAlignment="1" applyProtection="1">
      <alignment vertical="center" wrapText="1"/>
      <protection locked="0"/>
    </xf>
    <xf numFmtId="0" fontId="24" fillId="0" borderId="1" xfId="11" applyFont="1" applyBorder="1" applyAlignment="1" applyProtection="1">
      <alignment vertical="center" wrapText="1"/>
      <protection locked="0"/>
    </xf>
    <xf numFmtId="0" fontId="0" fillId="4" borderId="1" xfId="0" applyFill="1" applyBorder="1" applyAlignment="1">
      <alignment horizontal="left" vertical="center" indent="1"/>
    </xf>
    <xf numFmtId="178" fontId="0" fillId="0" borderId="1" xfId="0" applyNumberFormat="1" applyBorder="1" applyAlignment="1">
      <alignment horizontal="center" vertical="center"/>
    </xf>
    <xf numFmtId="178" fontId="11" fillId="0" borderId="1" xfId="11" applyNumberFormat="1" applyFont="1" applyBorder="1" applyAlignment="1" applyProtection="1">
      <alignment vertical="center" wrapText="1"/>
      <protection locked="0"/>
    </xf>
    <xf numFmtId="178" fontId="0" fillId="0" borderId="1" xfId="0" applyNumberFormat="1" applyBorder="1" applyAlignment="1">
      <alignment vertical="center" wrapText="1"/>
    </xf>
    <xf numFmtId="178" fontId="0" fillId="0" borderId="1" xfId="0" applyNumberFormat="1" applyFill="1" applyBorder="1" applyAlignment="1">
      <alignment vertical="center"/>
    </xf>
    <xf numFmtId="178" fontId="0" fillId="5" borderId="1" xfId="0" applyNumberFormat="1" applyFill="1" applyBorder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49" fontId="1" fillId="7" borderId="2" xfId="0" applyNumberFormat="1" applyFont="1" applyFill="1" applyBorder="1" applyAlignment="1">
      <alignment horizontal="center" vertical="top" wrapText="1"/>
    </xf>
    <xf numFmtId="0" fontId="0" fillId="0" borderId="0" xfId="0" applyBorder="1" applyAlignment="1">
      <alignment horizontal="left" wrapText="1"/>
    </xf>
    <xf numFmtId="0" fontId="0" fillId="10" borderId="1" xfId="0" applyNumberFormat="1" applyFill="1" applyBorder="1" applyAlignment="1">
      <alignment vertical="center" wrapText="1"/>
    </xf>
    <xf numFmtId="0" fontId="0" fillId="10" borderId="1" xfId="0" applyNumberFormat="1" applyFill="1" applyBorder="1" applyAlignment="1">
      <alignment horizontal="left" vertical="center"/>
    </xf>
    <xf numFmtId="176" fontId="0" fillId="10" borderId="1" xfId="0" applyNumberFormat="1" applyFill="1" applyBorder="1" applyAlignment="1">
      <alignment vertical="center"/>
    </xf>
    <xf numFmtId="177" fontId="0" fillId="10" borderId="1" xfId="0" applyNumberFormat="1" applyFill="1" applyBorder="1" applyAlignment="1">
      <alignment vertical="center"/>
    </xf>
    <xf numFmtId="0" fontId="0" fillId="10" borderId="0" xfId="0" applyFill="1" applyAlignment="1">
      <alignment vertical="center"/>
    </xf>
    <xf numFmtId="0" fontId="0" fillId="10" borderId="1" xfId="0" applyNumberFormat="1" applyFont="1" applyFill="1" applyBorder="1" applyAlignment="1">
      <alignment vertical="center" wrapText="1"/>
    </xf>
    <xf numFmtId="0" fontId="0" fillId="10" borderId="1" xfId="0" applyNumberFormat="1" applyFont="1" applyFill="1" applyBorder="1" applyAlignment="1">
      <alignment horizontal="left" vertical="center"/>
    </xf>
    <xf numFmtId="176" fontId="0" fillId="10" borderId="1" xfId="0" applyNumberFormat="1" applyFont="1" applyFill="1" applyBorder="1" applyAlignment="1">
      <alignment vertical="center"/>
    </xf>
    <xf numFmtId="177" fontId="0" fillId="10" borderId="1" xfId="0" applyNumberFormat="1" applyFont="1" applyFill="1" applyBorder="1" applyAlignment="1">
      <alignment vertical="center"/>
    </xf>
    <xf numFmtId="0" fontId="0" fillId="10" borderId="0" xfId="0" applyFont="1" applyFill="1" applyAlignment="1">
      <alignment vertical="center"/>
    </xf>
    <xf numFmtId="0" fontId="7" fillId="10" borderId="1" xfId="0" applyNumberFormat="1" applyFont="1" applyFill="1" applyBorder="1" applyAlignment="1">
      <alignment vertical="center" wrapText="1"/>
    </xf>
    <xf numFmtId="0" fontId="7" fillId="10" borderId="1" xfId="0" applyNumberFormat="1" applyFont="1" applyFill="1" applyBorder="1" applyAlignment="1">
      <alignment horizontal="left" vertical="center"/>
    </xf>
    <xf numFmtId="176" fontId="7" fillId="10" borderId="1" xfId="0" applyNumberFormat="1" applyFont="1" applyFill="1" applyBorder="1" applyAlignment="1">
      <alignment vertical="center"/>
    </xf>
    <xf numFmtId="177" fontId="7" fillId="10" borderId="1" xfId="0" applyNumberFormat="1" applyFont="1" applyFill="1" applyBorder="1" applyAlignment="1">
      <alignment vertical="center"/>
    </xf>
    <xf numFmtId="0" fontId="7" fillId="10" borderId="0" xfId="0" applyFont="1" applyFill="1" applyAlignment="1">
      <alignment vertical="center"/>
    </xf>
    <xf numFmtId="0" fontId="4" fillId="10" borderId="1" xfId="0" applyNumberFormat="1" applyFont="1" applyFill="1" applyBorder="1" applyAlignment="1">
      <alignment vertical="center" wrapText="1"/>
    </xf>
    <xf numFmtId="0" fontId="0" fillId="11" borderId="1" xfId="0" applyNumberFormat="1" applyFill="1" applyBorder="1" applyAlignment="1">
      <alignment vertical="center" wrapText="1"/>
    </xf>
    <xf numFmtId="0" fontId="0" fillId="11" borderId="1" xfId="0" applyNumberFormat="1" applyFill="1" applyBorder="1" applyAlignment="1">
      <alignment horizontal="left" vertical="center"/>
    </xf>
    <xf numFmtId="176" fontId="0" fillId="11" borderId="1" xfId="0" applyNumberFormat="1" applyFill="1" applyBorder="1" applyAlignment="1">
      <alignment vertical="center"/>
    </xf>
    <xf numFmtId="177" fontId="0" fillId="11" borderId="1" xfId="0" applyNumberFormat="1" applyFill="1" applyBorder="1" applyAlignment="1">
      <alignment vertical="center"/>
    </xf>
    <xf numFmtId="0" fontId="0" fillId="11" borderId="0" xfId="0" applyFill="1" applyAlignment="1">
      <alignment vertical="center"/>
    </xf>
    <xf numFmtId="0" fontId="4" fillId="11" borderId="1" xfId="0" applyNumberFormat="1" applyFont="1" applyFill="1" applyBorder="1" applyAlignment="1">
      <alignment horizontal="left" vertical="center" wrapText="1"/>
    </xf>
    <xf numFmtId="0" fontId="0" fillId="11" borderId="1" xfId="0" applyFill="1" applyBorder="1"/>
    <xf numFmtId="176" fontId="0" fillId="11" borderId="1" xfId="0" applyNumberFormat="1" applyFill="1" applyBorder="1"/>
    <xf numFmtId="0" fontId="0" fillId="11" borderId="0" xfId="0" applyFill="1"/>
    <xf numFmtId="0" fontId="0" fillId="12" borderId="1" xfId="0" applyNumberFormat="1" applyFill="1" applyBorder="1" applyAlignment="1">
      <alignment horizontal="left" vertical="center"/>
    </xf>
    <xf numFmtId="176" fontId="0" fillId="12" borderId="1" xfId="0" applyNumberFormat="1" applyFill="1" applyBorder="1" applyAlignment="1">
      <alignment vertical="center"/>
    </xf>
    <xf numFmtId="177" fontId="0" fillId="12" borderId="1" xfId="0" applyNumberFormat="1" applyFill="1" applyBorder="1" applyAlignment="1">
      <alignment vertical="center"/>
    </xf>
    <xf numFmtId="0" fontId="0" fillId="12" borderId="0" xfId="0" applyFill="1" applyAlignment="1">
      <alignment vertical="center"/>
    </xf>
    <xf numFmtId="0" fontId="0" fillId="13" borderId="1" xfId="0" applyNumberFormat="1" applyFill="1" applyBorder="1" applyAlignment="1">
      <alignment vertical="center" wrapText="1"/>
    </xf>
    <xf numFmtId="0" fontId="0" fillId="13" borderId="1" xfId="0" applyNumberFormat="1" applyFill="1" applyBorder="1" applyAlignment="1">
      <alignment horizontal="left" vertical="center"/>
    </xf>
    <xf numFmtId="176" fontId="0" fillId="13" borderId="1" xfId="0" applyNumberFormat="1" applyFill="1" applyBorder="1" applyAlignment="1">
      <alignment vertical="center"/>
    </xf>
    <xf numFmtId="177" fontId="0" fillId="13" borderId="1" xfId="0" applyNumberFormat="1" applyFill="1" applyBorder="1" applyAlignment="1">
      <alignment vertical="center"/>
    </xf>
    <xf numFmtId="0" fontId="0" fillId="13" borderId="0" xfId="0" applyFill="1" applyAlignment="1">
      <alignment vertical="center"/>
    </xf>
    <xf numFmtId="0" fontId="4" fillId="12" borderId="1" xfId="0" applyNumberFormat="1" applyFont="1" applyFill="1" applyBorder="1" applyAlignment="1">
      <alignment vertical="center" wrapText="1"/>
    </xf>
    <xf numFmtId="0" fontId="34" fillId="10" borderId="1" xfId="0" applyNumberFormat="1" applyFont="1" applyFill="1" applyBorder="1" applyAlignment="1">
      <alignment vertical="center" wrapText="1"/>
    </xf>
    <xf numFmtId="49" fontId="22" fillId="8" borderId="2" xfId="1" applyNumberFormat="1" applyFont="1" applyFill="1" applyBorder="1" applyAlignment="1">
      <alignment horizontal="center" vertical="center" wrapText="1"/>
    </xf>
    <xf numFmtId="49" fontId="22" fillId="7" borderId="2" xfId="1" applyNumberFormat="1" applyFont="1" applyFill="1" applyBorder="1" applyAlignment="1">
      <alignment horizontal="center" vertical="center" wrapText="1" shrinkToFit="1"/>
    </xf>
    <xf numFmtId="49" fontId="22" fillId="6" borderId="2" xfId="1" applyNumberFormat="1" applyFont="1" applyFill="1" applyBorder="1" applyAlignment="1">
      <alignment horizontal="center" vertical="center" wrapText="1"/>
    </xf>
    <xf numFmtId="176" fontId="22" fillId="9" borderId="2" xfId="0" applyNumberFormat="1" applyFont="1" applyFill="1" applyBorder="1" applyAlignment="1">
      <alignment horizontal="center" vertical="top" wrapText="1"/>
    </xf>
    <xf numFmtId="0" fontId="35" fillId="10" borderId="1" xfId="0" applyNumberFormat="1" applyFont="1" applyFill="1" applyBorder="1" applyAlignment="1">
      <alignment vertical="center" wrapText="1"/>
    </xf>
    <xf numFmtId="0" fontId="35" fillId="10" borderId="1" xfId="0" applyNumberFormat="1" applyFont="1" applyFill="1" applyBorder="1" applyAlignment="1">
      <alignment horizontal="left" vertical="center"/>
    </xf>
    <xf numFmtId="176" fontId="35" fillId="10" borderId="1" xfId="0" applyNumberFormat="1" applyFont="1" applyFill="1" applyBorder="1" applyAlignment="1">
      <alignment vertical="center"/>
    </xf>
    <xf numFmtId="177" fontId="35" fillId="10" borderId="1" xfId="0" applyNumberFormat="1" applyFont="1" applyFill="1" applyBorder="1" applyAlignment="1">
      <alignment vertical="center"/>
    </xf>
    <xf numFmtId="0" fontId="35" fillId="10" borderId="0" xfId="0" applyFont="1" applyFill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78" fontId="5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49" fontId="5" fillId="0" borderId="0" xfId="0" applyNumberFormat="1" applyFont="1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/>
    <xf numFmtId="0" fontId="5" fillId="0" borderId="1" xfId="0" applyFont="1" applyBorder="1" applyAlignment="1">
      <alignment horizontal="center"/>
    </xf>
    <xf numFmtId="176" fontId="36" fillId="0" borderId="1" xfId="15" applyNumberFormat="1" applyFont="1" applyBorder="1" applyAlignment="1">
      <alignment vertical="center"/>
    </xf>
    <xf numFmtId="176" fontId="37" fillId="0" borderId="1" xfId="0" applyNumberFormat="1" applyFont="1" applyBorder="1" applyAlignment="1">
      <alignment vertical="center"/>
    </xf>
    <xf numFmtId="176" fontId="5" fillId="0" borderId="0" xfId="0" applyNumberFormat="1" applyFont="1"/>
    <xf numFmtId="49" fontId="5" fillId="0" borderId="0" xfId="0" applyNumberFormat="1" applyFont="1" applyAlignment="1">
      <alignment horizontal="left"/>
    </xf>
    <xf numFmtId="176" fontId="0" fillId="0" borderId="0" xfId="0" applyNumberFormat="1"/>
    <xf numFmtId="49" fontId="0" fillId="0" borderId="0" xfId="0" applyNumberFormat="1" applyAlignment="1">
      <alignment horizontal="left"/>
    </xf>
    <xf numFmtId="176" fontId="37" fillId="0" borderId="1" xfId="0" applyNumberFormat="1" applyFont="1" applyBorder="1"/>
    <xf numFmtId="0" fontId="5" fillId="0" borderId="0" xfId="0" applyFont="1" applyAlignment="1">
      <alignment horizontal="center"/>
    </xf>
    <xf numFmtId="176" fontId="38" fillId="0" borderId="0" xfId="0" applyNumberFormat="1" applyFont="1"/>
    <xf numFmtId="0" fontId="14" fillId="0" borderId="0" xfId="0" applyFont="1"/>
    <xf numFmtId="49" fontId="5" fillId="0" borderId="0" xfId="0" applyNumberFormat="1" applyFont="1" applyAlignment="1">
      <alignment horizontal="center" vertical="center"/>
    </xf>
    <xf numFmtId="49" fontId="5" fillId="0" borderId="0" xfId="0" applyNumberFormat="1" applyFont="1"/>
    <xf numFmtId="49" fontId="8" fillId="0" borderId="0" xfId="0" applyNumberFormat="1" applyFont="1" applyAlignment="1">
      <alignment vertical="center"/>
    </xf>
    <xf numFmtId="49" fontId="0" fillId="0" borderId="0" xfId="0" applyNumberFormat="1"/>
    <xf numFmtId="0" fontId="1" fillId="0" borderId="1" xfId="11" applyFont="1" applyFill="1" applyBorder="1" applyAlignment="1" applyProtection="1">
      <alignment vertical="center" wrapText="1"/>
      <protection locked="0"/>
    </xf>
    <xf numFmtId="0" fontId="1" fillId="0" borderId="1" xfId="11" applyFont="1" applyBorder="1" applyAlignment="1" applyProtection="1">
      <alignment vertical="center" wrapText="1"/>
      <protection locked="0"/>
    </xf>
    <xf numFmtId="0" fontId="0" fillId="0" borderId="5" xfId="11" applyFont="1" applyBorder="1" applyAlignment="1" applyProtection="1">
      <alignment horizontal="center" vertical="center"/>
      <protection locked="0"/>
    </xf>
    <xf numFmtId="0" fontId="2" fillId="0" borderId="6" xfId="1" applyBorder="1">
      <alignment vertical="center"/>
    </xf>
    <xf numFmtId="0" fontId="38" fillId="0" borderId="0" xfId="11" applyFont="1" applyBorder="1" applyAlignment="1" applyProtection="1">
      <alignment horizontal="left" vertical="center"/>
      <protection locked="0"/>
    </xf>
    <xf numFmtId="0" fontId="0" fillId="0" borderId="0" xfId="1" applyFont="1" applyAlignment="1">
      <alignment vertical="top"/>
    </xf>
    <xf numFmtId="0" fontId="0" fillId="0" borderId="0" xfId="11" applyFont="1" applyAlignment="1" applyProtection="1">
      <alignment vertical="top" wrapText="1"/>
      <protection locked="0"/>
    </xf>
    <xf numFmtId="0" fontId="0" fillId="0" borderId="0" xfId="1" applyFont="1">
      <alignment vertical="center"/>
    </xf>
    <xf numFmtId="0" fontId="0" fillId="0" borderId="0" xfId="11" applyFont="1" applyAlignment="1" applyProtection="1">
      <alignment vertical="center" wrapText="1"/>
      <protection locked="0"/>
    </xf>
    <xf numFmtId="0" fontId="4" fillId="0" borderId="0" xfId="11" applyFont="1" applyFill="1" applyAlignment="1" applyProtection="1">
      <alignment vertical="center" wrapText="1"/>
      <protection locked="0"/>
    </xf>
    <xf numFmtId="0" fontId="0" fillId="0" borderId="0" xfId="1" applyFont="1" applyFill="1" applyAlignment="1">
      <alignment vertical="top"/>
    </xf>
    <xf numFmtId="0" fontId="0" fillId="0" borderId="0" xfId="11" applyFont="1" applyFill="1" applyAlignment="1" applyProtection="1">
      <alignment vertical="top" wrapText="1"/>
      <protection locked="0"/>
    </xf>
    <xf numFmtId="0" fontId="0" fillId="0" borderId="0" xfId="1" applyFont="1" applyFill="1">
      <alignment vertical="center"/>
    </xf>
    <xf numFmtId="0" fontId="0" fillId="0" borderId="0" xfId="11" applyFont="1" applyFill="1" applyAlignment="1" applyProtection="1">
      <alignment vertical="center" wrapText="1"/>
      <protection locked="0"/>
    </xf>
    <xf numFmtId="0" fontId="0" fillId="0" borderId="0" xfId="11" applyFont="1" applyBorder="1" applyAlignment="1" applyProtection="1">
      <alignment vertical="center" wrapText="1"/>
      <protection locked="0"/>
    </xf>
    <xf numFmtId="0" fontId="4" fillId="0" borderId="0" xfId="11" applyFont="1" applyFill="1" applyBorder="1" applyAlignment="1" applyProtection="1">
      <alignment vertical="center" wrapText="1"/>
      <protection locked="0"/>
    </xf>
    <xf numFmtId="0" fontId="2" fillId="0" borderId="5" xfId="1" applyBorder="1">
      <alignment vertical="center"/>
    </xf>
    <xf numFmtId="0" fontId="1" fillId="0" borderId="5" xfId="11" applyFont="1" applyFill="1" applyBorder="1" applyAlignment="1" applyProtection="1">
      <alignment vertical="center" wrapText="1"/>
      <protection locked="0"/>
    </xf>
    <xf numFmtId="0" fontId="0" fillId="0" borderId="5" xfId="11" applyFont="1" applyBorder="1" applyAlignment="1" applyProtection="1">
      <alignment vertical="center" wrapText="1"/>
      <protection locked="0"/>
    </xf>
    <xf numFmtId="0" fontId="1" fillId="0" borderId="0" xfId="11" applyFont="1" applyFill="1" applyProtection="1">
      <alignment vertical="center"/>
      <protection locked="0"/>
    </xf>
    <xf numFmtId="0" fontId="2" fillId="0" borderId="0" xfId="1" applyBorder="1">
      <alignment vertical="center"/>
    </xf>
    <xf numFmtId="0" fontId="1" fillId="0" borderId="0" xfId="11" applyFont="1" applyProtection="1">
      <alignment vertical="center"/>
      <protection locked="0"/>
    </xf>
    <xf numFmtId="0" fontId="1" fillId="0" borderId="0" xfId="11" applyFont="1" applyFill="1" applyBorder="1" applyAlignment="1" applyProtection="1">
      <alignment vertical="center" wrapText="1"/>
      <protection locked="0"/>
    </xf>
    <xf numFmtId="0" fontId="0" fillId="0" borderId="1" xfId="0" applyNumberFormat="1" applyBorder="1" applyAlignment="1">
      <alignment horizontal="left" vertical="center"/>
    </xf>
    <xf numFmtId="176" fontId="22" fillId="0" borderId="1" xfId="0" applyNumberFormat="1" applyFont="1" applyFill="1" applyBorder="1" applyAlignment="1">
      <alignment vertical="center"/>
    </xf>
    <xf numFmtId="176" fontId="22" fillId="0" borderId="1" xfId="10" applyNumberFormat="1" applyFont="1" applyFill="1" applyBorder="1">
      <alignment vertical="center"/>
    </xf>
    <xf numFmtId="176" fontId="39" fillId="0" borderId="1" xfId="10" applyNumberFormat="1" applyFont="1" applyFill="1" applyBorder="1">
      <alignment vertical="center"/>
    </xf>
    <xf numFmtId="176" fontId="22" fillId="0" borderId="1" xfId="10" applyNumberFormat="1" applyFont="1" applyFill="1" applyBorder="1" applyAlignment="1">
      <alignment vertical="center" shrinkToFit="1"/>
    </xf>
    <xf numFmtId="176" fontId="22" fillId="4" borderId="1" xfId="0" applyNumberFormat="1" applyFont="1" applyFill="1" applyBorder="1" applyAlignment="1">
      <alignment vertical="center"/>
    </xf>
    <xf numFmtId="177" fontId="0" fillId="0" borderId="0" xfId="15" applyNumberFormat="1" applyFont="1" applyAlignment="1"/>
    <xf numFmtId="0" fontId="0" fillId="14" borderId="1" xfId="0" applyNumberFormat="1" applyFill="1" applyBorder="1" applyAlignment="1">
      <alignment vertical="center" wrapText="1"/>
    </xf>
    <xf numFmtId="0" fontId="0" fillId="14" borderId="1" xfId="0" applyNumberFormat="1" applyFill="1" applyBorder="1" applyAlignment="1">
      <alignment horizontal="left" vertical="center"/>
    </xf>
    <xf numFmtId="177" fontId="0" fillId="14" borderId="1" xfId="0" applyNumberFormat="1" applyFill="1" applyBorder="1" applyAlignment="1">
      <alignment vertical="center"/>
    </xf>
    <xf numFmtId="0" fontId="0" fillId="14" borderId="0" xfId="0" applyFill="1" applyAlignment="1">
      <alignment vertical="center"/>
    </xf>
    <xf numFmtId="0" fontId="0" fillId="14" borderId="1" xfId="0" applyFill="1" applyBorder="1" applyAlignment="1">
      <alignment horizontal="center" vertical="center" wrapText="1"/>
    </xf>
    <xf numFmtId="178" fontId="0" fillId="15" borderId="1" xfId="0" applyNumberFormat="1" applyFill="1" applyBorder="1" applyAlignment="1">
      <alignment vertical="center"/>
    </xf>
    <xf numFmtId="0" fontId="0" fillId="15" borderId="0" xfId="0" applyFill="1" applyAlignment="1">
      <alignment vertical="center"/>
    </xf>
    <xf numFmtId="178" fontId="0" fillId="16" borderId="1" xfId="0" applyNumberFormat="1" applyFill="1" applyBorder="1" applyAlignment="1">
      <alignment vertical="center"/>
    </xf>
    <xf numFmtId="178" fontId="0" fillId="17" borderId="1" xfId="0" applyNumberFormat="1" applyFill="1" applyBorder="1" applyAlignment="1">
      <alignment vertical="center"/>
    </xf>
    <xf numFmtId="0" fontId="5" fillId="15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40" fillId="0" borderId="1" xfId="0" applyFont="1" applyFill="1" applyBorder="1" applyAlignment="1">
      <alignment horizontal="center"/>
    </xf>
    <xf numFmtId="0" fontId="0" fillId="0" borderId="1" xfId="0" applyNumberFormat="1" applyBorder="1" applyAlignment="1">
      <alignment horizontal="left" vertical="center"/>
    </xf>
    <xf numFmtId="176" fontId="36" fillId="15" borderId="1" xfId="15" applyNumberFormat="1" applyFont="1" applyFill="1" applyBorder="1" applyAlignment="1">
      <alignment vertical="center"/>
    </xf>
    <xf numFmtId="176" fontId="37" fillId="15" borderId="1" xfId="0" applyNumberFormat="1" applyFont="1" applyFill="1" applyBorder="1" applyAlignment="1">
      <alignment vertical="center"/>
    </xf>
    <xf numFmtId="0" fontId="5" fillId="15" borderId="0" xfId="0" applyFont="1" applyFill="1"/>
    <xf numFmtId="49" fontId="5" fillId="15" borderId="0" xfId="0" applyNumberFormat="1" applyFont="1" applyFill="1" applyAlignment="1">
      <alignment horizontal="left"/>
    </xf>
    <xf numFmtId="49" fontId="5" fillId="15" borderId="0" xfId="0" applyNumberFormat="1" applyFont="1" applyFill="1"/>
    <xf numFmtId="0" fontId="0" fillId="15" borderId="0" xfId="0" applyFill="1"/>
    <xf numFmtId="49" fontId="0" fillId="15" borderId="0" xfId="0" applyNumberFormat="1" applyFill="1" applyAlignment="1">
      <alignment horizontal="left"/>
    </xf>
    <xf numFmtId="49" fontId="0" fillId="15" borderId="0" xfId="0" applyNumberFormat="1" applyFill="1"/>
    <xf numFmtId="0" fontId="0" fillId="16" borderId="0" xfId="0" applyFill="1" applyAlignment="1">
      <alignment horizontal="left" vertical="center"/>
    </xf>
    <xf numFmtId="176" fontId="0" fillId="8" borderId="1" xfId="10" applyNumberFormat="1" applyFont="1" applyFill="1" applyBorder="1" applyAlignment="1" applyProtection="1">
      <alignment horizontal="center" vertical="center" wrapText="1" shrinkToFit="1"/>
      <protection locked="0"/>
    </xf>
    <xf numFmtId="176" fontId="2" fillId="8" borderId="1" xfId="10" applyNumberFormat="1" applyFont="1" applyFill="1" applyBorder="1" applyAlignment="1" applyProtection="1">
      <alignment horizontal="center" vertical="center" wrapText="1" shrinkToFit="1"/>
      <protection locked="0"/>
    </xf>
    <xf numFmtId="176" fontId="0" fillId="7" borderId="1" xfId="10" applyNumberFormat="1" applyFont="1" applyFill="1" applyBorder="1" applyAlignment="1" applyProtection="1">
      <alignment horizontal="center" vertical="center" wrapText="1" shrinkToFit="1"/>
      <protection locked="0"/>
    </xf>
    <xf numFmtId="0" fontId="2" fillId="7" borderId="1" xfId="0" applyFont="1" applyFill="1" applyBorder="1" applyAlignment="1">
      <alignment horizontal="center" vertical="center" wrapText="1" shrinkToFit="1"/>
    </xf>
    <xf numFmtId="176" fontId="0" fillId="7" borderId="1" xfId="0" applyNumberFormat="1" applyFill="1" applyBorder="1" applyAlignment="1">
      <alignment horizontal="center" vertical="center" wrapText="1"/>
    </xf>
    <xf numFmtId="176" fontId="17" fillId="7" borderId="1" xfId="0" applyNumberFormat="1" applyFont="1" applyFill="1" applyBorder="1" applyAlignment="1">
      <alignment horizontal="center" vertical="center" wrapText="1"/>
    </xf>
    <xf numFmtId="176" fontId="1" fillId="7" borderId="1" xfId="0" applyNumberFormat="1" applyFont="1" applyFill="1" applyBorder="1" applyAlignment="1">
      <alignment horizontal="center" vertical="center" wrapText="1"/>
    </xf>
    <xf numFmtId="176" fontId="16" fillId="0" borderId="1" xfId="10" applyNumberFormat="1" applyFont="1" applyFill="1" applyBorder="1" applyAlignment="1" applyProtection="1">
      <alignment horizontal="center" vertical="center"/>
      <protection locked="0"/>
    </xf>
    <xf numFmtId="0" fontId="17" fillId="0" borderId="1" xfId="10" applyFont="1" applyFill="1" applyBorder="1" applyAlignment="1">
      <alignment vertical="center"/>
    </xf>
    <xf numFmtId="0" fontId="17" fillId="0" borderId="7" xfId="10" applyFont="1" applyFill="1" applyBorder="1" applyAlignment="1">
      <alignment vertical="center"/>
    </xf>
    <xf numFmtId="176" fontId="19" fillId="4" borderId="1" xfId="0" applyNumberFormat="1" applyFont="1" applyFill="1" applyBorder="1" applyAlignment="1">
      <alignment horizontal="center" vertical="center" wrapText="1"/>
    </xf>
    <xf numFmtId="176" fontId="22" fillId="8" borderId="1" xfId="0" applyNumberFormat="1" applyFont="1" applyFill="1" applyBorder="1" applyAlignment="1">
      <alignment horizontal="center" vertical="center" wrapText="1"/>
    </xf>
    <xf numFmtId="176" fontId="0" fillId="6" borderId="1" xfId="0" applyNumberFormat="1" applyFill="1" applyBorder="1" applyAlignment="1">
      <alignment horizontal="center" vertical="center" wrapText="1"/>
    </xf>
    <xf numFmtId="176" fontId="0" fillId="9" borderId="1" xfId="0" applyNumberForma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176" fontId="0" fillId="9" borderId="1" xfId="10" applyNumberFormat="1" applyFont="1" applyFill="1" applyBorder="1" applyAlignment="1" applyProtection="1">
      <alignment horizontal="center" vertical="center" wrapText="1" shrinkToFit="1"/>
      <protection locked="0"/>
    </xf>
    <xf numFmtId="0" fontId="2" fillId="9" borderId="1" xfId="0" applyFont="1" applyFill="1" applyBorder="1" applyAlignment="1">
      <alignment horizontal="center" vertical="center" wrapText="1" shrinkToFit="1"/>
    </xf>
    <xf numFmtId="176" fontId="0" fillId="9" borderId="1" xfId="0" applyNumberFormat="1" applyFont="1" applyFill="1" applyBorder="1" applyAlignment="1">
      <alignment horizontal="center" vertical="center" wrapText="1"/>
    </xf>
    <xf numFmtId="176" fontId="0" fillId="0" borderId="1" xfId="0" applyNumberFormat="1" applyBorder="1" applyAlignment="1">
      <alignment horizontal="left" vertical="center"/>
    </xf>
    <xf numFmtId="176" fontId="0" fillId="11" borderId="7" xfId="0" applyNumberFormat="1" applyFill="1" applyBorder="1" applyAlignment="1">
      <alignment horizontal="center" vertical="center" wrapText="1"/>
    </xf>
    <xf numFmtId="176" fontId="0" fillId="11" borderId="8" xfId="0" applyNumberFormat="1" applyFill="1" applyBorder="1" applyAlignment="1">
      <alignment horizontal="center" vertical="center" wrapText="1"/>
    </xf>
    <xf numFmtId="176" fontId="0" fillId="11" borderId="2" xfId="0" applyNumberFormat="1" applyFill="1" applyBorder="1" applyAlignment="1">
      <alignment horizontal="center" vertical="center" wrapText="1"/>
    </xf>
    <xf numFmtId="0" fontId="0" fillId="13" borderId="1" xfId="0" applyFill="1" applyBorder="1" applyAlignment="1">
      <alignment horizontal="center" vertical="center" wrapText="1"/>
    </xf>
    <xf numFmtId="0" fontId="0" fillId="12" borderId="1" xfId="0" applyFill="1" applyBorder="1" applyAlignment="1">
      <alignment horizontal="center" vertical="center" wrapText="1"/>
    </xf>
    <xf numFmtId="0" fontId="0" fillId="0" borderId="1" xfId="0" applyNumberFormat="1" applyBorder="1" applyAlignment="1">
      <alignment horizontal="left" vertical="center"/>
    </xf>
    <xf numFmtId="177" fontId="0" fillId="10" borderId="1" xfId="0" applyNumberForma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177" fontId="0" fillId="2" borderId="1" xfId="0" applyNumberFormat="1" applyFill="1" applyBorder="1" applyAlignment="1">
      <alignment horizontal="center" vertical="center" wrapText="1"/>
    </xf>
    <xf numFmtId="176" fontId="0" fillId="4" borderId="1" xfId="0" applyNumberForma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17" borderId="3" xfId="0" applyFill="1" applyBorder="1" applyAlignment="1">
      <alignment horizontal="center" vertical="center" wrapText="1"/>
    </xf>
    <xf numFmtId="0" fontId="0" fillId="17" borderId="9" xfId="0" applyFill="1" applyBorder="1" applyAlignment="1">
      <alignment horizontal="center" vertical="center" wrapText="1"/>
    </xf>
    <xf numFmtId="0" fontId="0" fillId="17" borderId="10" xfId="0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0" fillId="16" borderId="1" xfId="0" applyNumberFormat="1" applyFill="1" applyBorder="1" applyAlignment="1">
      <alignment horizontal="left" vertical="center"/>
    </xf>
    <xf numFmtId="176" fontId="36" fillId="0" borderId="1" xfId="15" applyNumberFormat="1" applyFont="1" applyFill="1" applyBorder="1" applyAlignment="1">
      <alignment vertical="center"/>
    </xf>
    <xf numFmtId="176" fontId="37" fillId="0" borderId="1" xfId="0" applyNumberFormat="1" applyFont="1" applyFill="1" applyBorder="1" applyAlignment="1">
      <alignment vertical="center"/>
    </xf>
    <xf numFmtId="0" fontId="0" fillId="0" borderId="0" xfId="0" applyFill="1"/>
    <xf numFmtId="49" fontId="0" fillId="0" borderId="0" xfId="0" applyNumberFormat="1" applyFill="1" applyAlignment="1">
      <alignment horizontal="left"/>
    </xf>
    <xf numFmtId="49" fontId="0" fillId="0" borderId="0" xfId="0" applyNumberFormat="1" applyFill="1"/>
    <xf numFmtId="49" fontId="0" fillId="0" borderId="0" xfId="0" quotePrefix="1" applyNumberFormat="1" applyFill="1" applyAlignment="1">
      <alignment horizontal="left"/>
    </xf>
    <xf numFmtId="177" fontId="0" fillId="0" borderId="0" xfId="0" applyNumberFormat="1"/>
  </cellXfs>
  <cellStyles count="16">
    <cellStyle name="一般" xfId="0" builtinId="0"/>
    <cellStyle name="一般 2" xfId="1"/>
    <cellStyle name="一般 2 2" xfId="2"/>
    <cellStyle name="一般 3" xfId="3"/>
    <cellStyle name="一般 3 2" xfId="4"/>
    <cellStyle name="一般 3 3" xfId="5"/>
    <cellStyle name="一般 3 4" xfId="6"/>
    <cellStyle name="一般 4" xfId="7"/>
    <cellStyle name="一般 5" xfId="8"/>
    <cellStyle name="一般 6" xfId="9"/>
    <cellStyle name="一般_99各國小概算額" xfId="10"/>
    <cellStyle name="一般_分配預算金額試算表--學校" xfId="11"/>
    <cellStyle name="千分位" xfId="15" builtinId="3"/>
    <cellStyle name="千分位 2" xfId="12"/>
    <cellStyle name="千分位 2 2" xfId="13"/>
    <cellStyle name="千分位 3" xfId="14"/>
  </cellStyles>
  <dxfs count="20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theme" Target="theme/theme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9733;&#38468;&#20214;3-(&#24409;&#25972;)112&#24180;&#24230;&#22283;&#23567;&#38928;&#31639;&#20998;&#37197;1107&#2925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學校編號"/>
      <sheetName val="分配原則"/>
      <sheetName val="填表說明"/>
      <sheetName val="縣庫撥款收入明細表"/>
      <sheetName val="基金來源明細表"/>
      <sheetName val="場租收支對列及移用留存數"/>
      <sheetName val="概算表"/>
      <sheetName val="分配表"/>
      <sheetName val="★彙整人事及業務費"/>
      <sheetName val="★彙整退撫"/>
      <sheetName val="601"/>
      <sheetName val="602"/>
      <sheetName val="603"/>
      <sheetName val="604"/>
      <sheetName val="605"/>
      <sheetName val="606"/>
      <sheetName val="607"/>
      <sheetName val="608"/>
      <sheetName val="609"/>
      <sheetName val="610"/>
      <sheetName val="611"/>
      <sheetName val="612"/>
      <sheetName val="613"/>
      <sheetName val="614"/>
      <sheetName val="615"/>
      <sheetName val="616"/>
      <sheetName val="617"/>
      <sheetName val="618"/>
      <sheetName val="619"/>
      <sheetName val="620"/>
      <sheetName val="621"/>
      <sheetName val="622"/>
      <sheetName val="623"/>
      <sheetName val="624"/>
      <sheetName val="625"/>
      <sheetName val="626"/>
      <sheetName val="627"/>
      <sheetName val="628"/>
      <sheetName val="629"/>
      <sheetName val="630"/>
      <sheetName val="631"/>
      <sheetName val="632"/>
      <sheetName val="633"/>
      <sheetName val="634"/>
      <sheetName val="635"/>
      <sheetName val="636"/>
      <sheetName val="638"/>
      <sheetName val="639"/>
      <sheetName val="641"/>
      <sheetName val="642"/>
      <sheetName val="645"/>
      <sheetName val="647"/>
      <sheetName val="648"/>
      <sheetName val="649"/>
      <sheetName val="650"/>
      <sheetName val="651"/>
      <sheetName val="652"/>
      <sheetName val="653"/>
      <sheetName val="654"/>
      <sheetName val="655"/>
      <sheetName val="656"/>
      <sheetName val="657"/>
      <sheetName val="658"/>
      <sheetName val="659"/>
      <sheetName val="660"/>
      <sheetName val="661"/>
      <sheetName val="662"/>
      <sheetName val="663"/>
      <sheetName val="664"/>
      <sheetName val="665"/>
      <sheetName val="666"/>
      <sheetName val="667"/>
      <sheetName val="668"/>
      <sheetName val="669"/>
      <sheetName val="670"/>
      <sheetName val="671"/>
      <sheetName val="672"/>
      <sheetName val="673"/>
      <sheetName val="674"/>
      <sheetName val="675"/>
      <sheetName val="676"/>
      <sheetName val="678"/>
      <sheetName val="679"/>
      <sheetName val="680"/>
      <sheetName val="681"/>
      <sheetName val="682"/>
      <sheetName val="683"/>
      <sheetName val="684"/>
      <sheetName val="685"/>
      <sheetName val="686"/>
      <sheetName val="687"/>
      <sheetName val="688"/>
      <sheetName val="689"/>
      <sheetName val="690"/>
      <sheetName val="691"/>
      <sheetName val="692"/>
      <sheetName val="693"/>
      <sheetName val="694"/>
      <sheetName val="695"/>
      <sheetName val="696"/>
      <sheetName val="697"/>
      <sheetName val="698"/>
      <sheetName val="699"/>
      <sheetName val="700"/>
      <sheetName val="701"/>
      <sheetName val="702"/>
      <sheetName val="703"/>
      <sheetName val="705"/>
      <sheetName val="706"/>
      <sheetName val="707"/>
      <sheetName val="708"/>
    </sheetNames>
    <sheetDataSet>
      <sheetData sheetId="0">
        <row r="1">
          <cell r="A1">
            <v>601</v>
          </cell>
          <cell r="B1" t="str">
            <v>601明禮國小</v>
          </cell>
        </row>
        <row r="2">
          <cell r="A2">
            <v>602</v>
          </cell>
          <cell r="B2" t="str">
            <v>602明義國小</v>
          </cell>
        </row>
        <row r="3">
          <cell r="A3">
            <v>603</v>
          </cell>
          <cell r="B3" t="str">
            <v>603明廉國小</v>
          </cell>
        </row>
        <row r="4">
          <cell r="A4">
            <v>604</v>
          </cell>
          <cell r="B4" t="str">
            <v>604明恥國小</v>
          </cell>
        </row>
        <row r="5">
          <cell r="A5">
            <v>605</v>
          </cell>
          <cell r="B5" t="str">
            <v>605中正國小</v>
          </cell>
        </row>
        <row r="6">
          <cell r="A6">
            <v>606</v>
          </cell>
          <cell r="B6" t="str">
            <v>606信義國小</v>
          </cell>
        </row>
        <row r="7">
          <cell r="A7">
            <v>607</v>
          </cell>
          <cell r="B7" t="str">
            <v>607復興國小</v>
          </cell>
        </row>
        <row r="8">
          <cell r="A8">
            <v>608</v>
          </cell>
          <cell r="B8" t="str">
            <v>608中華國小</v>
          </cell>
        </row>
        <row r="9">
          <cell r="A9">
            <v>609</v>
          </cell>
          <cell r="B9" t="str">
            <v>609忠孝國小</v>
          </cell>
        </row>
        <row r="10">
          <cell r="A10">
            <v>610</v>
          </cell>
          <cell r="B10" t="str">
            <v>610北濱國小</v>
          </cell>
        </row>
        <row r="11">
          <cell r="A11">
            <v>611</v>
          </cell>
          <cell r="B11" t="str">
            <v>611鑄強國小</v>
          </cell>
        </row>
        <row r="12">
          <cell r="A12">
            <v>612</v>
          </cell>
          <cell r="B12" t="str">
            <v>612國福國小</v>
          </cell>
        </row>
        <row r="13">
          <cell r="A13">
            <v>613</v>
          </cell>
          <cell r="B13" t="str">
            <v>613新城國小</v>
          </cell>
        </row>
        <row r="14">
          <cell r="A14">
            <v>614</v>
          </cell>
          <cell r="B14" t="str">
            <v>614北埔國小</v>
          </cell>
        </row>
        <row r="15">
          <cell r="A15">
            <v>615</v>
          </cell>
          <cell r="B15" t="str">
            <v>615康樂國小</v>
          </cell>
        </row>
        <row r="16">
          <cell r="A16">
            <v>616</v>
          </cell>
          <cell r="B16" t="str">
            <v>616嘉里國小</v>
          </cell>
        </row>
        <row r="17">
          <cell r="A17">
            <v>617</v>
          </cell>
          <cell r="B17" t="str">
            <v>617吉安國小</v>
          </cell>
        </row>
        <row r="18">
          <cell r="A18">
            <v>618</v>
          </cell>
          <cell r="B18" t="str">
            <v>618宜昌國小</v>
          </cell>
        </row>
        <row r="19">
          <cell r="A19">
            <v>619</v>
          </cell>
          <cell r="B19" t="str">
            <v>619北昌國小</v>
          </cell>
        </row>
        <row r="20">
          <cell r="A20">
            <v>620</v>
          </cell>
          <cell r="B20" t="str">
            <v>620光華國小</v>
          </cell>
        </row>
        <row r="21">
          <cell r="A21">
            <v>621</v>
          </cell>
          <cell r="B21" t="str">
            <v>621稻香國小</v>
          </cell>
        </row>
        <row r="22">
          <cell r="A22">
            <v>622</v>
          </cell>
          <cell r="B22" t="str">
            <v>622南華國小</v>
          </cell>
        </row>
        <row r="23">
          <cell r="A23">
            <v>623</v>
          </cell>
          <cell r="B23" t="str">
            <v>623化仁國小</v>
          </cell>
        </row>
        <row r="24">
          <cell r="A24">
            <v>624</v>
          </cell>
          <cell r="B24" t="str">
            <v>624太昌國小</v>
          </cell>
        </row>
        <row r="25">
          <cell r="A25">
            <v>625</v>
          </cell>
          <cell r="B25" t="str">
            <v>625平和國小</v>
          </cell>
        </row>
        <row r="26">
          <cell r="A26">
            <v>626</v>
          </cell>
          <cell r="B26" t="str">
            <v>626壽豐國小</v>
          </cell>
        </row>
        <row r="27">
          <cell r="A27">
            <v>627</v>
          </cell>
          <cell r="B27" t="str">
            <v>627豐裡國小</v>
          </cell>
        </row>
        <row r="28">
          <cell r="A28">
            <v>628</v>
          </cell>
          <cell r="B28" t="str">
            <v>628豐山國小</v>
          </cell>
        </row>
        <row r="29">
          <cell r="A29">
            <v>629</v>
          </cell>
          <cell r="B29" t="str">
            <v>629志學國小</v>
          </cell>
        </row>
        <row r="30">
          <cell r="A30">
            <v>630</v>
          </cell>
          <cell r="B30" t="str">
            <v>630月眉國小</v>
          </cell>
        </row>
        <row r="31">
          <cell r="A31">
            <v>631</v>
          </cell>
          <cell r="B31" t="str">
            <v>631水璉國小</v>
          </cell>
        </row>
        <row r="32">
          <cell r="A32">
            <v>632</v>
          </cell>
          <cell r="B32" t="str">
            <v>632溪口國小</v>
          </cell>
        </row>
        <row r="33">
          <cell r="A33">
            <v>633</v>
          </cell>
          <cell r="B33" t="str">
            <v>633鳳林國小</v>
          </cell>
        </row>
        <row r="34">
          <cell r="A34">
            <v>634</v>
          </cell>
          <cell r="B34" t="str">
            <v>634大榮國小</v>
          </cell>
        </row>
        <row r="35">
          <cell r="A35">
            <v>635</v>
          </cell>
          <cell r="B35" t="str">
            <v>635林榮國小</v>
          </cell>
        </row>
        <row r="36">
          <cell r="A36">
            <v>636</v>
          </cell>
          <cell r="B36" t="str">
            <v>636長橋國小</v>
          </cell>
        </row>
        <row r="37">
          <cell r="A37">
            <v>638</v>
          </cell>
          <cell r="B37" t="str">
            <v>638北林國小</v>
          </cell>
        </row>
        <row r="38">
          <cell r="A38">
            <v>639</v>
          </cell>
          <cell r="B38" t="str">
            <v>639鳳仁國小</v>
          </cell>
        </row>
        <row r="39">
          <cell r="A39">
            <v>641</v>
          </cell>
          <cell r="B39" t="str">
            <v>641光復國小</v>
          </cell>
        </row>
        <row r="40">
          <cell r="A40">
            <v>642</v>
          </cell>
          <cell r="B40" t="str">
            <v>642太巴塱國小</v>
          </cell>
        </row>
        <row r="41">
          <cell r="A41">
            <v>645</v>
          </cell>
          <cell r="B41" t="str">
            <v>645大進國小</v>
          </cell>
        </row>
        <row r="42">
          <cell r="A42">
            <v>647</v>
          </cell>
          <cell r="B42" t="str">
            <v>647瑞穗國小</v>
          </cell>
        </row>
        <row r="43">
          <cell r="A43">
            <v>648</v>
          </cell>
          <cell r="B43" t="str">
            <v>648瑞美國小</v>
          </cell>
        </row>
        <row r="44">
          <cell r="A44">
            <v>649</v>
          </cell>
          <cell r="B44" t="str">
            <v>649鶴岡國小</v>
          </cell>
        </row>
        <row r="45">
          <cell r="A45">
            <v>650</v>
          </cell>
          <cell r="B45" t="str">
            <v>650舞鶴國小</v>
          </cell>
        </row>
        <row r="46">
          <cell r="A46">
            <v>651</v>
          </cell>
          <cell r="B46" t="str">
            <v>651奇美國小</v>
          </cell>
        </row>
        <row r="47">
          <cell r="A47">
            <v>652</v>
          </cell>
          <cell r="B47" t="str">
            <v>652富源國小</v>
          </cell>
        </row>
        <row r="48">
          <cell r="A48">
            <v>653</v>
          </cell>
          <cell r="B48" t="str">
            <v>653瑞北國小</v>
          </cell>
        </row>
        <row r="49">
          <cell r="A49">
            <v>654</v>
          </cell>
          <cell r="B49" t="str">
            <v>654豐濱國小</v>
          </cell>
        </row>
        <row r="50">
          <cell r="A50">
            <v>655</v>
          </cell>
          <cell r="B50" t="str">
            <v>655港口國小</v>
          </cell>
        </row>
        <row r="51">
          <cell r="A51">
            <v>656</v>
          </cell>
          <cell r="B51" t="str">
            <v>656靜浦國小</v>
          </cell>
        </row>
        <row r="52">
          <cell r="A52">
            <v>657</v>
          </cell>
          <cell r="B52" t="str">
            <v>657新社國小</v>
          </cell>
        </row>
        <row r="53">
          <cell r="A53">
            <v>658</v>
          </cell>
          <cell r="B53" t="str">
            <v>658玉里國小</v>
          </cell>
        </row>
        <row r="54">
          <cell r="A54">
            <v>659</v>
          </cell>
          <cell r="B54" t="str">
            <v>659源城國小</v>
          </cell>
        </row>
        <row r="55">
          <cell r="A55">
            <v>660</v>
          </cell>
          <cell r="B55" t="str">
            <v>660樂合國小</v>
          </cell>
        </row>
        <row r="56">
          <cell r="A56">
            <v>661</v>
          </cell>
          <cell r="B56" t="str">
            <v>661觀音國小</v>
          </cell>
        </row>
        <row r="57">
          <cell r="A57">
            <v>662</v>
          </cell>
          <cell r="B57" t="str">
            <v>662三民國小</v>
          </cell>
        </row>
        <row r="58">
          <cell r="A58">
            <v>663</v>
          </cell>
          <cell r="B58" t="str">
            <v>663春日國小</v>
          </cell>
        </row>
        <row r="59">
          <cell r="A59">
            <v>664</v>
          </cell>
          <cell r="B59" t="str">
            <v>664德武國小</v>
          </cell>
        </row>
        <row r="60">
          <cell r="A60">
            <v>665</v>
          </cell>
          <cell r="B60" t="str">
            <v>665中城國小</v>
          </cell>
        </row>
        <row r="61">
          <cell r="A61">
            <v>666</v>
          </cell>
          <cell r="B61" t="str">
            <v>666長良國小</v>
          </cell>
        </row>
        <row r="62">
          <cell r="A62">
            <v>667</v>
          </cell>
          <cell r="B62" t="str">
            <v>667大禹國小</v>
          </cell>
        </row>
        <row r="63">
          <cell r="A63">
            <v>668</v>
          </cell>
          <cell r="B63" t="str">
            <v>668松浦國小</v>
          </cell>
        </row>
        <row r="64">
          <cell r="A64">
            <v>669</v>
          </cell>
          <cell r="B64" t="str">
            <v>669高寮國小</v>
          </cell>
        </row>
        <row r="65">
          <cell r="A65">
            <v>670</v>
          </cell>
          <cell r="B65" t="str">
            <v>670富里國小</v>
          </cell>
        </row>
        <row r="66">
          <cell r="A66">
            <v>671</v>
          </cell>
          <cell r="B66" t="str">
            <v>671萬寧國小</v>
          </cell>
        </row>
        <row r="67">
          <cell r="A67">
            <v>672</v>
          </cell>
          <cell r="B67" t="str">
            <v>672永豐國小</v>
          </cell>
        </row>
        <row r="68">
          <cell r="A68">
            <v>673</v>
          </cell>
          <cell r="B68" t="str">
            <v>673學田國小</v>
          </cell>
        </row>
        <row r="69">
          <cell r="A69">
            <v>674</v>
          </cell>
          <cell r="B69" t="str">
            <v>674東竹國小</v>
          </cell>
        </row>
        <row r="70">
          <cell r="A70">
            <v>675</v>
          </cell>
          <cell r="B70" t="str">
            <v>675東里國小</v>
          </cell>
        </row>
        <row r="71">
          <cell r="A71">
            <v>676</v>
          </cell>
          <cell r="B71" t="str">
            <v>676明里國小</v>
          </cell>
        </row>
        <row r="72">
          <cell r="A72">
            <v>678</v>
          </cell>
          <cell r="B72" t="str">
            <v>678吳江國小</v>
          </cell>
        </row>
        <row r="73">
          <cell r="A73">
            <v>679</v>
          </cell>
          <cell r="B73" t="str">
            <v>679秀林國小</v>
          </cell>
        </row>
        <row r="74">
          <cell r="A74">
            <v>680</v>
          </cell>
          <cell r="B74" t="str">
            <v>680富世國小</v>
          </cell>
        </row>
        <row r="75">
          <cell r="A75">
            <v>681</v>
          </cell>
          <cell r="B75" t="str">
            <v>681和平國小</v>
          </cell>
        </row>
        <row r="76">
          <cell r="A76">
            <v>682</v>
          </cell>
          <cell r="B76" t="str">
            <v>682佳民國小</v>
          </cell>
        </row>
        <row r="77">
          <cell r="A77">
            <v>683</v>
          </cell>
          <cell r="B77" t="str">
            <v>683銅門國小</v>
          </cell>
        </row>
        <row r="78">
          <cell r="A78">
            <v>684</v>
          </cell>
          <cell r="B78" t="str">
            <v>684水源國小</v>
          </cell>
        </row>
        <row r="79">
          <cell r="A79">
            <v>685</v>
          </cell>
          <cell r="B79" t="str">
            <v>685崇德國小</v>
          </cell>
        </row>
        <row r="80">
          <cell r="A80">
            <v>686</v>
          </cell>
          <cell r="B80" t="str">
            <v>686文蘭國小</v>
          </cell>
        </row>
        <row r="81">
          <cell r="A81">
            <v>687</v>
          </cell>
          <cell r="B81" t="str">
            <v>687景美國小</v>
          </cell>
        </row>
        <row r="82">
          <cell r="A82">
            <v>688</v>
          </cell>
          <cell r="B82" t="str">
            <v>688三棧國小</v>
          </cell>
        </row>
        <row r="83">
          <cell r="A83">
            <v>689</v>
          </cell>
          <cell r="B83" t="str">
            <v>689銅蘭國小</v>
          </cell>
        </row>
        <row r="84">
          <cell r="A84">
            <v>690</v>
          </cell>
          <cell r="B84" t="str">
            <v>690萬榮國小</v>
          </cell>
        </row>
        <row r="85">
          <cell r="A85">
            <v>691</v>
          </cell>
          <cell r="B85" t="str">
            <v>691西林國小</v>
          </cell>
        </row>
        <row r="86">
          <cell r="A86">
            <v>692</v>
          </cell>
          <cell r="B86" t="str">
            <v>692見晴國小</v>
          </cell>
        </row>
        <row r="87">
          <cell r="A87">
            <v>693</v>
          </cell>
          <cell r="B87" t="str">
            <v>693馬遠國小</v>
          </cell>
        </row>
        <row r="88">
          <cell r="A88">
            <v>694</v>
          </cell>
          <cell r="B88" t="str">
            <v>694紅葉國小</v>
          </cell>
        </row>
        <row r="89">
          <cell r="A89">
            <v>695</v>
          </cell>
          <cell r="B89" t="str">
            <v>695明利國小</v>
          </cell>
        </row>
        <row r="90">
          <cell r="A90">
            <v>696</v>
          </cell>
          <cell r="B90" t="str">
            <v>696卓溪國小</v>
          </cell>
        </row>
        <row r="91">
          <cell r="A91">
            <v>697</v>
          </cell>
          <cell r="B91" t="str">
            <v>697崙山國小</v>
          </cell>
        </row>
        <row r="92">
          <cell r="A92">
            <v>698</v>
          </cell>
          <cell r="B92" t="str">
            <v>698太平國小</v>
          </cell>
        </row>
        <row r="93">
          <cell r="A93">
            <v>699</v>
          </cell>
          <cell r="B93" t="str">
            <v>699卓清國小</v>
          </cell>
        </row>
        <row r="94">
          <cell r="A94">
            <v>700</v>
          </cell>
          <cell r="B94" t="str">
            <v>700古風國小</v>
          </cell>
        </row>
        <row r="95">
          <cell r="A95">
            <v>701</v>
          </cell>
          <cell r="B95" t="str">
            <v>701立山國小</v>
          </cell>
        </row>
        <row r="96">
          <cell r="A96">
            <v>702</v>
          </cell>
          <cell r="B96" t="str">
            <v>702卓樂國小</v>
          </cell>
        </row>
        <row r="97">
          <cell r="A97">
            <v>703</v>
          </cell>
          <cell r="B97" t="str">
            <v>703卓楓國小</v>
          </cell>
        </row>
        <row r="98">
          <cell r="A98">
            <v>705</v>
          </cell>
          <cell r="B98" t="str">
            <v>705西富國小</v>
          </cell>
        </row>
        <row r="99">
          <cell r="A99">
            <v>706</v>
          </cell>
          <cell r="B99" t="str">
            <v>706大興國小</v>
          </cell>
        </row>
        <row r="100">
          <cell r="A100">
            <v>707</v>
          </cell>
          <cell r="B100" t="str">
            <v>707中原國小</v>
          </cell>
        </row>
        <row r="101">
          <cell r="A101">
            <v>708</v>
          </cell>
          <cell r="B101" t="str">
            <v>708西寶國小</v>
          </cell>
        </row>
      </sheetData>
      <sheetData sheetId="1" refreshError="1"/>
      <sheetData sheetId="2" refreshError="1"/>
      <sheetData sheetId="3">
        <row r="1">
          <cell r="H1" t="str">
            <v>601明禮國小</v>
          </cell>
          <cell r="I1" t="str">
            <v>602明義國小</v>
          </cell>
          <cell r="J1" t="str">
            <v>603明廉國小</v>
          </cell>
          <cell r="K1" t="str">
            <v>604明恥國小</v>
          </cell>
          <cell r="L1" t="str">
            <v>605中正國小</v>
          </cell>
          <cell r="M1" t="str">
            <v>606信義國小</v>
          </cell>
          <cell r="N1" t="str">
            <v>607復興國小</v>
          </cell>
          <cell r="O1" t="str">
            <v>608中華國小</v>
          </cell>
          <cell r="P1" t="str">
            <v>609忠孝國小</v>
          </cell>
          <cell r="Q1" t="str">
            <v>610北濱國小</v>
          </cell>
          <cell r="R1" t="str">
            <v>611鑄強國小</v>
          </cell>
          <cell r="S1" t="str">
            <v>612國福國小</v>
          </cell>
          <cell r="T1" t="str">
            <v>613新城國小</v>
          </cell>
          <cell r="U1" t="str">
            <v>614北埔國小</v>
          </cell>
          <cell r="V1" t="str">
            <v>615康樂國小</v>
          </cell>
          <cell r="W1" t="str">
            <v>616嘉里國小</v>
          </cell>
          <cell r="X1" t="str">
            <v>617吉安國小</v>
          </cell>
          <cell r="Y1" t="str">
            <v>618宜昌國小</v>
          </cell>
          <cell r="Z1" t="str">
            <v>619北昌國小</v>
          </cell>
          <cell r="AA1" t="str">
            <v>620光華國小</v>
          </cell>
          <cell r="AB1" t="str">
            <v>621稻香國小</v>
          </cell>
          <cell r="AC1" t="str">
            <v>622南華國小</v>
          </cell>
          <cell r="AD1" t="str">
            <v>623化仁國小</v>
          </cell>
          <cell r="AE1" t="str">
            <v>624太昌國小</v>
          </cell>
          <cell r="AF1" t="str">
            <v>625平和國小</v>
          </cell>
          <cell r="AG1" t="str">
            <v>626壽豐國小</v>
          </cell>
          <cell r="AH1" t="str">
            <v>627豐裡國小</v>
          </cell>
          <cell r="AI1" t="str">
            <v>628豐山國小</v>
          </cell>
          <cell r="AJ1" t="str">
            <v>629志學國小</v>
          </cell>
          <cell r="AK1" t="str">
            <v>630月眉國小</v>
          </cell>
          <cell r="AL1" t="str">
            <v>631水璉國小</v>
          </cell>
          <cell r="AM1" t="str">
            <v>632溪口國小</v>
          </cell>
          <cell r="AN1" t="str">
            <v>633鳳林國小</v>
          </cell>
          <cell r="AO1" t="str">
            <v>634大榮國小</v>
          </cell>
          <cell r="AP1" t="str">
            <v>635林榮國小</v>
          </cell>
          <cell r="AQ1" t="str">
            <v>636長橋國小</v>
          </cell>
          <cell r="AR1" t="str">
            <v>638北林國小</v>
          </cell>
          <cell r="AS1" t="str">
            <v>639鳳仁國小</v>
          </cell>
          <cell r="AT1" t="str">
            <v>641光復國小</v>
          </cell>
          <cell r="AU1" t="str">
            <v>642太巴塱國小</v>
          </cell>
          <cell r="AV1" t="str">
            <v>645大進國小</v>
          </cell>
          <cell r="AW1" t="str">
            <v>647瑞穗國小</v>
          </cell>
          <cell r="AX1" t="str">
            <v>648瑞美國小</v>
          </cell>
          <cell r="AY1" t="str">
            <v>649鶴岡國小</v>
          </cell>
          <cell r="AZ1" t="str">
            <v>650舞鶴國小</v>
          </cell>
          <cell r="BA1" t="str">
            <v>651奇美國小</v>
          </cell>
          <cell r="BB1" t="str">
            <v>652富源國小</v>
          </cell>
          <cell r="BC1" t="str">
            <v>653瑞北國小</v>
          </cell>
          <cell r="BD1" t="str">
            <v>654豐濱國小</v>
          </cell>
          <cell r="BE1" t="str">
            <v>655港口國小</v>
          </cell>
          <cell r="BF1" t="str">
            <v>656靜浦國小</v>
          </cell>
          <cell r="BG1" t="str">
            <v>657新社國小</v>
          </cell>
          <cell r="BH1" t="str">
            <v>658玉里國小</v>
          </cell>
          <cell r="BI1" t="str">
            <v>659源城國小</v>
          </cell>
          <cell r="BJ1" t="str">
            <v>660樂合國小</v>
          </cell>
          <cell r="BK1" t="str">
            <v>661觀音國小</v>
          </cell>
          <cell r="BL1" t="str">
            <v>662三民國小</v>
          </cell>
          <cell r="BM1" t="str">
            <v>663春日國小</v>
          </cell>
          <cell r="BN1" t="str">
            <v>664德武國小</v>
          </cell>
          <cell r="BO1" t="str">
            <v>665中城國小</v>
          </cell>
          <cell r="BP1" t="str">
            <v>666長良國小</v>
          </cell>
          <cell r="BQ1" t="str">
            <v>667大禹國小</v>
          </cell>
          <cell r="BR1" t="str">
            <v>668松浦國小</v>
          </cell>
          <cell r="BS1" t="str">
            <v>669高寮國小</v>
          </cell>
          <cell r="BT1" t="str">
            <v>670富里國小</v>
          </cell>
          <cell r="BU1" t="str">
            <v>671萬寧國小</v>
          </cell>
          <cell r="BV1" t="str">
            <v>672永豐國小</v>
          </cell>
          <cell r="BW1" t="str">
            <v>673學田國小</v>
          </cell>
          <cell r="BX1" t="str">
            <v>674東竹國小</v>
          </cell>
          <cell r="BY1" t="str">
            <v>675東里國小</v>
          </cell>
          <cell r="BZ1" t="str">
            <v>676明里國小</v>
          </cell>
          <cell r="CA1" t="str">
            <v>678吳江國小</v>
          </cell>
          <cell r="CB1" t="str">
            <v>679秀林國小</v>
          </cell>
          <cell r="CC1" t="str">
            <v>680富世國小</v>
          </cell>
          <cell r="CD1" t="str">
            <v>681和平國小</v>
          </cell>
          <cell r="CE1" t="str">
            <v>682佳民國小</v>
          </cell>
          <cell r="CF1" t="str">
            <v>683銅門國小</v>
          </cell>
          <cell r="CG1" t="str">
            <v>684水源國小</v>
          </cell>
          <cell r="CH1" t="str">
            <v>685崇德國小</v>
          </cell>
          <cell r="CI1" t="str">
            <v>686文蘭國小</v>
          </cell>
          <cell r="CJ1" t="str">
            <v>687景美國小</v>
          </cell>
          <cell r="CK1" t="str">
            <v>688三棧國小</v>
          </cell>
          <cell r="CL1" t="str">
            <v>689銅蘭國小</v>
          </cell>
          <cell r="CM1" t="str">
            <v>690萬榮國小</v>
          </cell>
          <cell r="CN1" t="str">
            <v>691西林國小</v>
          </cell>
          <cell r="CO1" t="str">
            <v>692見晴國小</v>
          </cell>
          <cell r="CP1" t="str">
            <v>693馬遠國小</v>
          </cell>
          <cell r="CQ1" t="str">
            <v>694紅葉國小</v>
          </cell>
          <cell r="CR1" t="str">
            <v>695明利國小</v>
          </cell>
          <cell r="CS1" t="str">
            <v>696卓溪國小</v>
          </cell>
          <cell r="CT1" t="str">
            <v>697崙山國小</v>
          </cell>
          <cell r="CU1" t="str">
            <v>698太平國小</v>
          </cell>
          <cell r="CV1" t="str">
            <v>699卓清國小</v>
          </cell>
          <cell r="CW1" t="str">
            <v>700古風國小</v>
          </cell>
          <cell r="CX1" t="str">
            <v>701立山國小</v>
          </cell>
          <cell r="CY1" t="str">
            <v>702卓樂國小</v>
          </cell>
          <cell r="CZ1" t="str">
            <v>703卓楓國小</v>
          </cell>
          <cell r="DA1" t="str">
            <v>705西富國小</v>
          </cell>
          <cell r="DB1" t="str">
            <v>706大興國小</v>
          </cell>
          <cell r="DC1" t="str">
            <v>707中原國小</v>
          </cell>
          <cell r="DD1" t="str">
            <v>708西寶國小</v>
          </cell>
        </row>
        <row r="2">
          <cell r="H2">
            <v>54128000</v>
          </cell>
          <cell r="I2">
            <v>226511000</v>
          </cell>
          <cell r="J2">
            <v>95886000</v>
          </cell>
          <cell r="K2">
            <v>65059000</v>
          </cell>
          <cell r="L2">
            <v>137737000</v>
          </cell>
          <cell r="M2">
            <v>29270000</v>
          </cell>
          <cell r="N2">
            <v>37004000</v>
          </cell>
          <cell r="O2">
            <v>60374000</v>
          </cell>
          <cell r="P2">
            <v>77268000</v>
          </cell>
          <cell r="Q2">
            <v>25720000</v>
          </cell>
          <cell r="R2">
            <v>94880000</v>
          </cell>
          <cell r="S2">
            <v>28252000</v>
          </cell>
          <cell r="T2">
            <v>49035000</v>
          </cell>
          <cell r="U2">
            <v>75721000</v>
          </cell>
          <cell r="V2">
            <v>28194000</v>
          </cell>
          <cell r="W2">
            <v>26550000</v>
          </cell>
          <cell r="X2">
            <v>61284000</v>
          </cell>
          <cell r="Y2">
            <v>150749000</v>
          </cell>
          <cell r="Z2">
            <v>109593000</v>
          </cell>
          <cell r="AA2">
            <v>32023000</v>
          </cell>
          <cell r="AB2">
            <v>56775000</v>
          </cell>
          <cell r="AC2">
            <v>30688000</v>
          </cell>
          <cell r="AD2">
            <v>56645000</v>
          </cell>
          <cell r="AE2">
            <v>68415000</v>
          </cell>
          <cell r="AF2">
            <v>25563000</v>
          </cell>
          <cell r="AG2">
            <v>34374000</v>
          </cell>
          <cell r="AH2">
            <v>22996000</v>
          </cell>
          <cell r="AI2">
            <v>26552000</v>
          </cell>
          <cell r="AJ2">
            <v>29659000</v>
          </cell>
          <cell r="AK2">
            <v>22067000</v>
          </cell>
          <cell r="AL2">
            <v>24114000</v>
          </cell>
          <cell r="AM2">
            <v>20863000</v>
          </cell>
          <cell r="AN2">
            <v>50626000</v>
          </cell>
          <cell r="AO2">
            <v>25558000</v>
          </cell>
          <cell r="AP2">
            <v>21044000</v>
          </cell>
          <cell r="AQ2">
            <v>25391000</v>
          </cell>
          <cell r="AR2">
            <v>24140000</v>
          </cell>
          <cell r="AS2">
            <v>30923000</v>
          </cell>
          <cell r="AT2">
            <v>34912000</v>
          </cell>
          <cell r="AU2">
            <v>28905000</v>
          </cell>
          <cell r="AV2">
            <v>30385000</v>
          </cell>
          <cell r="AW2">
            <v>51981000</v>
          </cell>
          <cell r="AX2">
            <v>23564000</v>
          </cell>
          <cell r="AY2">
            <v>15561000</v>
          </cell>
          <cell r="AZ2">
            <v>16364000</v>
          </cell>
          <cell r="BA2">
            <v>22724000</v>
          </cell>
          <cell r="BB2">
            <v>22980000</v>
          </cell>
          <cell r="BC2">
            <v>20831000</v>
          </cell>
          <cell r="BD2">
            <v>25935000</v>
          </cell>
          <cell r="BE2">
            <v>13996000</v>
          </cell>
          <cell r="BF2">
            <v>19656000</v>
          </cell>
          <cell r="BG2">
            <v>20475000</v>
          </cell>
          <cell r="BH2">
            <v>78169000</v>
          </cell>
          <cell r="BI2">
            <v>26369000</v>
          </cell>
          <cell r="BJ2">
            <v>25601000</v>
          </cell>
          <cell r="BK2">
            <v>17013000</v>
          </cell>
          <cell r="BL2">
            <v>17946000</v>
          </cell>
          <cell r="BM2">
            <v>20043000</v>
          </cell>
          <cell r="BN2">
            <v>15299000</v>
          </cell>
          <cell r="BO2">
            <v>52663000</v>
          </cell>
          <cell r="BP2">
            <v>17534000</v>
          </cell>
          <cell r="BQ2">
            <v>24972000</v>
          </cell>
          <cell r="BR2">
            <v>23250000</v>
          </cell>
          <cell r="BS2">
            <v>20822000</v>
          </cell>
          <cell r="BT2">
            <v>27567000</v>
          </cell>
          <cell r="BU2">
            <v>16555000</v>
          </cell>
          <cell r="BV2">
            <v>16016000</v>
          </cell>
          <cell r="BW2">
            <v>18598000</v>
          </cell>
          <cell r="BX2">
            <v>20175000</v>
          </cell>
          <cell r="BY2">
            <v>21013000</v>
          </cell>
          <cell r="BZ2">
            <v>23866000</v>
          </cell>
          <cell r="CA2">
            <v>18724000</v>
          </cell>
          <cell r="CB2">
            <v>32418000</v>
          </cell>
          <cell r="CC2">
            <v>29221000</v>
          </cell>
          <cell r="CD2">
            <v>27352000</v>
          </cell>
          <cell r="CE2">
            <v>22792000</v>
          </cell>
          <cell r="CF2">
            <v>27531000</v>
          </cell>
          <cell r="CG2">
            <v>32656000</v>
          </cell>
          <cell r="CH2">
            <v>24527000</v>
          </cell>
          <cell r="CI2">
            <v>29528000</v>
          </cell>
          <cell r="CJ2">
            <v>27465000</v>
          </cell>
          <cell r="CK2">
            <v>27139000</v>
          </cell>
          <cell r="CL2">
            <v>27068000</v>
          </cell>
          <cell r="CM2">
            <v>29993000</v>
          </cell>
          <cell r="CN2">
            <v>28259000</v>
          </cell>
          <cell r="CO2">
            <v>26335000</v>
          </cell>
          <cell r="CP2">
            <v>28617000</v>
          </cell>
          <cell r="CQ2">
            <v>27609000</v>
          </cell>
          <cell r="CR2">
            <v>29242000</v>
          </cell>
          <cell r="CS2">
            <v>27888000</v>
          </cell>
          <cell r="CT2">
            <v>24379000</v>
          </cell>
          <cell r="CU2">
            <v>27345000</v>
          </cell>
          <cell r="CV2">
            <v>25330000</v>
          </cell>
          <cell r="CW2">
            <v>26653000</v>
          </cell>
          <cell r="CX2">
            <v>25278000</v>
          </cell>
          <cell r="CY2">
            <v>22641000</v>
          </cell>
          <cell r="CZ2">
            <v>19520000</v>
          </cell>
          <cell r="DA2">
            <v>17903000</v>
          </cell>
          <cell r="DB2">
            <v>16720000</v>
          </cell>
          <cell r="DC2">
            <v>74409000</v>
          </cell>
          <cell r="DD2">
            <v>20500000</v>
          </cell>
        </row>
        <row r="3">
          <cell r="I3">
            <v>840000</v>
          </cell>
        </row>
        <row r="4">
          <cell r="I4">
            <v>1600000</v>
          </cell>
          <cell r="J4">
            <v>800000</v>
          </cell>
          <cell r="K4">
            <v>800000</v>
          </cell>
          <cell r="L4">
            <v>800000</v>
          </cell>
          <cell r="O4">
            <v>800000</v>
          </cell>
          <cell r="P4">
            <v>800000</v>
          </cell>
          <cell r="R4">
            <v>800000</v>
          </cell>
          <cell r="T4">
            <v>800000</v>
          </cell>
          <cell r="U4">
            <v>800000</v>
          </cell>
          <cell r="X4">
            <v>800000</v>
          </cell>
          <cell r="Y4">
            <v>800000</v>
          </cell>
          <cell r="Z4">
            <v>800000</v>
          </cell>
          <cell r="AB4">
            <v>800000</v>
          </cell>
          <cell r="AE4">
            <v>800000</v>
          </cell>
          <cell r="AW4">
            <v>800000</v>
          </cell>
          <cell r="BH4">
            <v>800000</v>
          </cell>
          <cell r="BO4">
            <v>800000</v>
          </cell>
          <cell r="DC4">
            <v>800000</v>
          </cell>
        </row>
        <row r="5">
          <cell r="H5">
            <v>3600000</v>
          </cell>
          <cell r="I5">
            <v>1450000</v>
          </cell>
          <cell r="J5">
            <v>5690000</v>
          </cell>
          <cell r="K5">
            <v>4370000</v>
          </cell>
          <cell r="L5">
            <v>1590000</v>
          </cell>
          <cell r="N5">
            <v>1300000</v>
          </cell>
          <cell r="O5">
            <v>1590000</v>
          </cell>
          <cell r="P5">
            <v>790000</v>
          </cell>
          <cell r="R5">
            <v>130000</v>
          </cell>
          <cell r="S5">
            <v>1300000</v>
          </cell>
          <cell r="T5">
            <v>2250000</v>
          </cell>
          <cell r="U5">
            <v>4230000</v>
          </cell>
          <cell r="V5">
            <v>1590000</v>
          </cell>
          <cell r="X5">
            <v>3570000</v>
          </cell>
          <cell r="Y5">
            <v>790000</v>
          </cell>
          <cell r="Z5">
            <v>790000</v>
          </cell>
          <cell r="AA5">
            <v>2500000</v>
          </cell>
          <cell r="AB5">
            <v>2250000</v>
          </cell>
          <cell r="AD5">
            <v>2110000</v>
          </cell>
          <cell r="AE5">
            <v>1450000</v>
          </cell>
          <cell r="AG5">
            <v>600000</v>
          </cell>
          <cell r="AI5">
            <v>1900000</v>
          </cell>
          <cell r="AJ5">
            <v>600000</v>
          </cell>
          <cell r="AL5">
            <v>700000</v>
          </cell>
          <cell r="AN5">
            <v>1200000</v>
          </cell>
          <cell r="AO5">
            <v>1300000</v>
          </cell>
          <cell r="AP5">
            <v>1300000</v>
          </cell>
          <cell r="AQ5">
            <v>700000</v>
          </cell>
          <cell r="AR5">
            <v>1300000</v>
          </cell>
          <cell r="AS5">
            <v>1900000</v>
          </cell>
          <cell r="AU5">
            <v>1300000</v>
          </cell>
          <cell r="AV5">
            <v>2250000</v>
          </cell>
          <cell r="AX5">
            <v>1590000</v>
          </cell>
          <cell r="BC5">
            <v>1300000</v>
          </cell>
          <cell r="BF5">
            <v>700000</v>
          </cell>
          <cell r="BG5">
            <v>700000</v>
          </cell>
          <cell r="BH5">
            <v>1450000</v>
          </cell>
          <cell r="BI5">
            <v>1590000</v>
          </cell>
          <cell r="BL5">
            <v>1460000</v>
          </cell>
          <cell r="BO5">
            <v>1400000</v>
          </cell>
          <cell r="BP5">
            <v>1300000</v>
          </cell>
          <cell r="BQ5">
            <v>1460000</v>
          </cell>
          <cell r="BS5">
            <v>1300000</v>
          </cell>
          <cell r="BT5">
            <v>600000</v>
          </cell>
          <cell r="BV5">
            <v>700000</v>
          </cell>
          <cell r="BW5">
            <v>700000</v>
          </cell>
          <cell r="BX5">
            <v>660000</v>
          </cell>
          <cell r="BY5">
            <v>1900000</v>
          </cell>
          <cell r="BZ5">
            <v>800000</v>
          </cell>
          <cell r="CB5">
            <v>600000</v>
          </cell>
          <cell r="CC5">
            <v>1300000</v>
          </cell>
          <cell r="CF5">
            <v>1300000</v>
          </cell>
          <cell r="CG5">
            <v>1300000</v>
          </cell>
          <cell r="CH5">
            <v>1300000</v>
          </cell>
          <cell r="CK5">
            <v>700000</v>
          </cell>
          <cell r="CN5">
            <v>1300000</v>
          </cell>
          <cell r="CO5">
            <v>1300000</v>
          </cell>
          <cell r="CQ5">
            <v>600000</v>
          </cell>
          <cell r="CT5">
            <v>1300000</v>
          </cell>
          <cell r="CU5">
            <v>700000</v>
          </cell>
          <cell r="CV5">
            <v>700000</v>
          </cell>
          <cell r="CX5">
            <v>1300000</v>
          </cell>
          <cell r="CY5">
            <v>700000</v>
          </cell>
          <cell r="CZ5">
            <v>1300000</v>
          </cell>
          <cell r="DC5">
            <v>660000</v>
          </cell>
        </row>
        <row r="6">
          <cell r="L6">
            <v>1247000</v>
          </cell>
        </row>
        <row r="7">
          <cell r="H7">
            <v>728000</v>
          </cell>
          <cell r="I7">
            <v>1455000</v>
          </cell>
          <cell r="J7">
            <v>728000</v>
          </cell>
          <cell r="K7">
            <v>728000</v>
          </cell>
          <cell r="L7">
            <v>728000</v>
          </cell>
          <cell r="M7">
            <v>728000</v>
          </cell>
          <cell r="N7">
            <v>728000</v>
          </cell>
          <cell r="O7">
            <v>728000</v>
          </cell>
          <cell r="P7">
            <v>728000</v>
          </cell>
          <cell r="Q7">
            <v>728000</v>
          </cell>
          <cell r="R7">
            <v>728000</v>
          </cell>
          <cell r="S7">
            <v>728000</v>
          </cell>
          <cell r="T7">
            <v>728000</v>
          </cell>
          <cell r="U7">
            <v>728000</v>
          </cell>
          <cell r="V7">
            <v>728000</v>
          </cell>
          <cell r="W7">
            <v>0</v>
          </cell>
          <cell r="X7">
            <v>728000</v>
          </cell>
          <cell r="Y7">
            <v>728000</v>
          </cell>
          <cell r="Z7">
            <v>728000</v>
          </cell>
          <cell r="AA7">
            <v>728000</v>
          </cell>
          <cell r="AB7">
            <v>728000</v>
          </cell>
          <cell r="AC7">
            <v>728000</v>
          </cell>
          <cell r="AD7">
            <v>728000</v>
          </cell>
          <cell r="AE7">
            <v>728000</v>
          </cell>
          <cell r="AF7">
            <v>0</v>
          </cell>
          <cell r="AG7">
            <v>728000</v>
          </cell>
          <cell r="AH7">
            <v>0</v>
          </cell>
          <cell r="AI7">
            <v>728000</v>
          </cell>
          <cell r="AJ7">
            <v>728000</v>
          </cell>
          <cell r="AK7">
            <v>0</v>
          </cell>
          <cell r="AL7">
            <v>728000</v>
          </cell>
          <cell r="AM7">
            <v>0</v>
          </cell>
          <cell r="AN7">
            <v>728000</v>
          </cell>
          <cell r="AO7">
            <v>728000</v>
          </cell>
          <cell r="AP7">
            <v>728000</v>
          </cell>
          <cell r="AQ7">
            <v>728000</v>
          </cell>
          <cell r="AR7">
            <v>728000</v>
          </cell>
          <cell r="AS7">
            <v>728000</v>
          </cell>
          <cell r="AT7">
            <v>728000</v>
          </cell>
          <cell r="AU7">
            <v>728000</v>
          </cell>
          <cell r="AV7">
            <v>728000</v>
          </cell>
          <cell r="AW7">
            <v>728000</v>
          </cell>
          <cell r="AX7">
            <v>728000</v>
          </cell>
          <cell r="AY7">
            <v>0</v>
          </cell>
          <cell r="AZ7">
            <v>0</v>
          </cell>
          <cell r="BA7">
            <v>728000</v>
          </cell>
          <cell r="BB7">
            <v>728000</v>
          </cell>
          <cell r="BC7">
            <v>728000</v>
          </cell>
          <cell r="BD7">
            <v>728000</v>
          </cell>
          <cell r="BE7">
            <v>0</v>
          </cell>
          <cell r="BF7">
            <v>728000</v>
          </cell>
          <cell r="BG7">
            <v>728000</v>
          </cell>
          <cell r="BH7">
            <v>728000</v>
          </cell>
          <cell r="BI7">
            <v>728000</v>
          </cell>
          <cell r="BJ7">
            <v>728000</v>
          </cell>
          <cell r="BK7">
            <v>0</v>
          </cell>
          <cell r="BL7">
            <v>728000</v>
          </cell>
          <cell r="BM7">
            <v>728000</v>
          </cell>
          <cell r="BN7">
            <v>0</v>
          </cell>
          <cell r="BO7">
            <v>728000</v>
          </cell>
          <cell r="BP7">
            <v>728000</v>
          </cell>
          <cell r="BQ7">
            <v>728000</v>
          </cell>
          <cell r="BR7">
            <v>728000</v>
          </cell>
          <cell r="BS7">
            <v>728000</v>
          </cell>
          <cell r="BT7">
            <v>728000</v>
          </cell>
          <cell r="BU7">
            <v>0</v>
          </cell>
          <cell r="BV7">
            <v>728000</v>
          </cell>
          <cell r="BW7">
            <v>728000</v>
          </cell>
          <cell r="BX7">
            <v>728000</v>
          </cell>
          <cell r="BY7">
            <v>728000</v>
          </cell>
          <cell r="BZ7">
            <v>728000</v>
          </cell>
          <cell r="CA7">
            <v>0</v>
          </cell>
          <cell r="CB7">
            <v>728000</v>
          </cell>
          <cell r="CC7">
            <v>728000</v>
          </cell>
          <cell r="CD7">
            <v>728000</v>
          </cell>
          <cell r="CE7">
            <v>0</v>
          </cell>
          <cell r="CF7">
            <v>728000</v>
          </cell>
          <cell r="CG7">
            <v>728000</v>
          </cell>
          <cell r="CH7">
            <v>728000</v>
          </cell>
          <cell r="CI7">
            <v>728000</v>
          </cell>
          <cell r="CJ7">
            <v>0</v>
          </cell>
          <cell r="CK7">
            <v>728000</v>
          </cell>
          <cell r="CL7">
            <v>0</v>
          </cell>
          <cell r="CM7">
            <v>0</v>
          </cell>
          <cell r="CN7">
            <v>728000</v>
          </cell>
          <cell r="CO7">
            <v>728000</v>
          </cell>
          <cell r="CP7">
            <v>0</v>
          </cell>
          <cell r="CQ7">
            <v>728000</v>
          </cell>
          <cell r="CR7">
            <v>728000</v>
          </cell>
          <cell r="CS7">
            <v>728000</v>
          </cell>
          <cell r="CT7">
            <v>728000</v>
          </cell>
          <cell r="CU7">
            <v>728000</v>
          </cell>
          <cell r="CV7">
            <v>728000</v>
          </cell>
          <cell r="CW7">
            <v>728000</v>
          </cell>
          <cell r="CX7">
            <v>728000</v>
          </cell>
          <cell r="CY7">
            <v>728000</v>
          </cell>
          <cell r="CZ7">
            <v>728000</v>
          </cell>
          <cell r="DA7">
            <v>0</v>
          </cell>
          <cell r="DB7">
            <v>0</v>
          </cell>
          <cell r="DC7">
            <v>728000</v>
          </cell>
          <cell r="DD7">
            <v>0</v>
          </cell>
        </row>
        <row r="8">
          <cell r="H8">
            <v>797000</v>
          </cell>
          <cell r="I8">
            <v>1196000</v>
          </cell>
          <cell r="J8">
            <v>664000</v>
          </cell>
          <cell r="K8">
            <v>399000</v>
          </cell>
          <cell r="L8">
            <v>265000</v>
          </cell>
          <cell r="M8">
            <v>265000</v>
          </cell>
          <cell r="N8">
            <v>265000</v>
          </cell>
          <cell r="O8">
            <v>399000</v>
          </cell>
          <cell r="P8">
            <v>399000</v>
          </cell>
          <cell r="Q8">
            <v>265000</v>
          </cell>
          <cell r="R8">
            <v>399000</v>
          </cell>
          <cell r="S8">
            <v>265000</v>
          </cell>
          <cell r="T8">
            <v>265000</v>
          </cell>
          <cell r="U8">
            <v>399000</v>
          </cell>
          <cell r="V8">
            <v>265000</v>
          </cell>
          <cell r="W8">
            <v>0</v>
          </cell>
          <cell r="X8">
            <v>399000</v>
          </cell>
          <cell r="Y8">
            <v>265000</v>
          </cell>
          <cell r="Z8">
            <v>399000</v>
          </cell>
          <cell r="AA8">
            <v>399000</v>
          </cell>
          <cell r="AB8">
            <v>399000</v>
          </cell>
          <cell r="AC8">
            <v>265000</v>
          </cell>
          <cell r="AD8">
            <v>399000</v>
          </cell>
          <cell r="AE8">
            <v>399000</v>
          </cell>
          <cell r="AF8">
            <v>0</v>
          </cell>
          <cell r="AG8">
            <v>265000</v>
          </cell>
          <cell r="AH8">
            <v>0</v>
          </cell>
          <cell r="AI8">
            <v>265000</v>
          </cell>
          <cell r="AJ8">
            <v>265000</v>
          </cell>
          <cell r="AK8">
            <v>0</v>
          </cell>
          <cell r="AL8">
            <v>265000</v>
          </cell>
          <cell r="AM8">
            <v>0</v>
          </cell>
          <cell r="AN8">
            <v>399000</v>
          </cell>
          <cell r="AO8">
            <v>265000</v>
          </cell>
          <cell r="AP8">
            <v>265000</v>
          </cell>
          <cell r="AQ8">
            <v>265000</v>
          </cell>
          <cell r="AR8">
            <v>265000</v>
          </cell>
          <cell r="AS8">
            <v>265000</v>
          </cell>
          <cell r="AT8">
            <v>265000</v>
          </cell>
          <cell r="AU8">
            <v>265000</v>
          </cell>
          <cell r="AV8">
            <v>265000</v>
          </cell>
          <cell r="AW8">
            <v>265000</v>
          </cell>
          <cell r="AX8">
            <v>265000</v>
          </cell>
          <cell r="AY8">
            <v>0</v>
          </cell>
          <cell r="AZ8">
            <v>0</v>
          </cell>
          <cell r="BA8">
            <v>265000</v>
          </cell>
          <cell r="BB8">
            <v>265000</v>
          </cell>
          <cell r="BC8">
            <v>265000</v>
          </cell>
          <cell r="BD8">
            <v>265000</v>
          </cell>
          <cell r="BE8">
            <v>0</v>
          </cell>
          <cell r="BF8">
            <v>265000</v>
          </cell>
          <cell r="BG8">
            <v>265000</v>
          </cell>
          <cell r="BH8">
            <v>399000</v>
          </cell>
          <cell r="BI8">
            <v>265000</v>
          </cell>
          <cell r="BJ8">
            <v>265000</v>
          </cell>
          <cell r="BK8">
            <v>0</v>
          </cell>
          <cell r="BL8">
            <v>265000</v>
          </cell>
          <cell r="BM8">
            <v>265000</v>
          </cell>
          <cell r="BN8">
            <v>0</v>
          </cell>
          <cell r="BO8">
            <v>399000</v>
          </cell>
          <cell r="BP8">
            <v>265000</v>
          </cell>
          <cell r="BQ8">
            <v>265000</v>
          </cell>
          <cell r="BR8">
            <v>265000</v>
          </cell>
          <cell r="BS8">
            <v>265000</v>
          </cell>
          <cell r="BT8">
            <v>265000</v>
          </cell>
          <cell r="BU8">
            <v>0</v>
          </cell>
          <cell r="BV8">
            <v>265000</v>
          </cell>
          <cell r="BW8">
            <v>265000</v>
          </cell>
          <cell r="BX8">
            <v>265000</v>
          </cell>
          <cell r="BY8">
            <v>265000</v>
          </cell>
          <cell r="BZ8">
            <v>265000</v>
          </cell>
          <cell r="CA8">
            <v>0</v>
          </cell>
          <cell r="CB8">
            <v>265000</v>
          </cell>
          <cell r="CC8">
            <v>265000</v>
          </cell>
          <cell r="CD8">
            <v>265000</v>
          </cell>
          <cell r="CE8">
            <v>0</v>
          </cell>
          <cell r="CF8">
            <v>265000</v>
          </cell>
          <cell r="CG8">
            <v>265000</v>
          </cell>
          <cell r="CH8">
            <v>265000</v>
          </cell>
          <cell r="CI8">
            <v>265000</v>
          </cell>
          <cell r="CJ8">
            <v>0</v>
          </cell>
          <cell r="CK8">
            <v>265000</v>
          </cell>
          <cell r="CL8">
            <v>0</v>
          </cell>
          <cell r="CM8">
            <v>0</v>
          </cell>
          <cell r="CN8">
            <v>265000</v>
          </cell>
          <cell r="CO8">
            <v>265000</v>
          </cell>
          <cell r="CP8">
            <v>0</v>
          </cell>
          <cell r="CQ8">
            <v>265000</v>
          </cell>
          <cell r="CR8">
            <v>265000</v>
          </cell>
          <cell r="CS8">
            <v>265000</v>
          </cell>
          <cell r="CT8">
            <v>265000</v>
          </cell>
          <cell r="CU8">
            <v>265000</v>
          </cell>
          <cell r="CV8">
            <v>265000</v>
          </cell>
          <cell r="CW8">
            <v>265000</v>
          </cell>
          <cell r="CX8">
            <v>265000</v>
          </cell>
          <cell r="CY8">
            <v>265000</v>
          </cell>
          <cell r="CZ8">
            <v>265000</v>
          </cell>
          <cell r="DA8">
            <v>0</v>
          </cell>
          <cell r="DB8">
            <v>0</v>
          </cell>
          <cell r="DC8">
            <v>664000</v>
          </cell>
          <cell r="DD8">
            <v>0</v>
          </cell>
        </row>
        <row r="9">
          <cell r="H9">
            <v>54000</v>
          </cell>
          <cell r="I9">
            <v>86000</v>
          </cell>
          <cell r="J9">
            <v>76000</v>
          </cell>
          <cell r="K9">
            <v>54000</v>
          </cell>
          <cell r="L9">
            <v>22000</v>
          </cell>
          <cell r="M9">
            <v>22000</v>
          </cell>
          <cell r="N9">
            <v>22000</v>
          </cell>
          <cell r="O9">
            <v>43000</v>
          </cell>
          <cell r="P9">
            <v>32000</v>
          </cell>
          <cell r="Q9">
            <v>22000</v>
          </cell>
          <cell r="R9">
            <v>32000</v>
          </cell>
          <cell r="S9">
            <v>22000</v>
          </cell>
          <cell r="T9">
            <v>32000</v>
          </cell>
          <cell r="U9">
            <v>43000</v>
          </cell>
          <cell r="V9">
            <v>22000</v>
          </cell>
          <cell r="W9">
            <v>0</v>
          </cell>
          <cell r="X9">
            <v>43000</v>
          </cell>
          <cell r="Y9">
            <v>32000</v>
          </cell>
          <cell r="Z9">
            <v>43000</v>
          </cell>
          <cell r="AA9">
            <v>43000</v>
          </cell>
          <cell r="AB9">
            <v>32000</v>
          </cell>
          <cell r="AC9">
            <v>11000</v>
          </cell>
          <cell r="AD9">
            <v>54000</v>
          </cell>
          <cell r="AE9">
            <v>32000</v>
          </cell>
          <cell r="AF9">
            <v>0</v>
          </cell>
          <cell r="AG9">
            <v>11000</v>
          </cell>
          <cell r="AH9">
            <v>0</v>
          </cell>
          <cell r="AI9">
            <v>32000</v>
          </cell>
          <cell r="AJ9">
            <v>22000</v>
          </cell>
          <cell r="AK9">
            <v>0</v>
          </cell>
          <cell r="AL9">
            <v>11000</v>
          </cell>
          <cell r="AM9">
            <v>0</v>
          </cell>
          <cell r="AN9">
            <v>32000</v>
          </cell>
          <cell r="AO9">
            <v>22000</v>
          </cell>
          <cell r="AP9">
            <v>22000</v>
          </cell>
          <cell r="AQ9">
            <v>11000</v>
          </cell>
          <cell r="AR9">
            <v>22000</v>
          </cell>
          <cell r="AS9">
            <v>22000</v>
          </cell>
          <cell r="AT9">
            <v>22000</v>
          </cell>
          <cell r="AU9">
            <v>22000</v>
          </cell>
          <cell r="AV9">
            <v>32000</v>
          </cell>
          <cell r="AW9">
            <v>22000</v>
          </cell>
          <cell r="AX9">
            <v>22000</v>
          </cell>
          <cell r="AY9">
            <v>0</v>
          </cell>
          <cell r="AZ9">
            <v>0</v>
          </cell>
          <cell r="BA9">
            <v>11000</v>
          </cell>
          <cell r="BB9">
            <v>22000</v>
          </cell>
          <cell r="BC9">
            <v>22000</v>
          </cell>
          <cell r="BD9">
            <v>22000</v>
          </cell>
          <cell r="BE9">
            <v>0</v>
          </cell>
          <cell r="BF9">
            <v>11000</v>
          </cell>
          <cell r="BG9">
            <v>11000</v>
          </cell>
          <cell r="BH9">
            <v>22000</v>
          </cell>
          <cell r="BI9">
            <v>22000</v>
          </cell>
          <cell r="BJ9">
            <v>11000</v>
          </cell>
          <cell r="BK9">
            <v>0</v>
          </cell>
          <cell r="BL9">
            <v>22000</v>
          </cell>
          <cell r="BM9">
            <v>22000</v>
          </cell>
          <cell r="BN9">
            <v>0</v>
          </cell>
          <cell r="BO9">
            <v>54000</v>
          </cell>
          <cell r="BP9">
            <v>22000</v>
          </cell>
          <cell r="BQ9">
            <v>22000</v>
          </cell>
          <cell r="BR9">
            <v>22000</v>
          </cell>
          <cell r="BS9">
            <v>22000</v>
          </cell>
          <cell r="BT9">
            <v>22000</v>
          </cell>
          <cell r="BU9">
            <v>0</v>
          </cell>
          <cell r="BV9">
            <v>11000</v>
          </cell>
          <cell r="BW9">
            <v>11000</v>
          </cell>
          <cell r="BX9">
            <v>22000</v>
          </cell>
          <cell r="BY9">
            <v>22000</v>
          </cell>
          <cell r="BZ9">
            <v>11000</v>
          </cell>
          <cell r="CA9">
            <v>0</v>
          </cell>
          <cell r="CB9">
            <v>22000</v>
          </cell>
          <cell r="CC9">
            <v>22000</v>
          </cell>
          <cell r="CD9">
            <v>22000</v>
          </cell>
          <cell r="CE9">
            <v>0</v>
          </cell>
          <cell r="CF9">
            <v>22000</v>
          </cell>
          <cell r="CG9">
            <v>22000</v>
          </cell>
          <cell r="CH9">
            <v>22000</v>
          </cell>
          <cell r="CI9">
            <v>11000</v>
          </cell>
          <cell r="CJ9">
            <v>0</v>
          </cell>
          <cell r="CK9">
            <v>11000</v>
          </cell>
          <cell r="CL9">
            <v>0</v>
          </cell>
          <cell r="CM9">
            <v>0</v>
          </cell>
          <cell r="CN9">
            <v>22000</v>
          </cell>
          <cell r="CO9">
            <v>22000</v>
          </cell>
          <cell r="CP9">
            <v>0</v>
          </cell>
          <cell r="CQ9">
            <v>22000</v>
          </cell>
          <cell r="CR9">
            <v>22000</v>
          </cell>
          <cell r="CS9">
            <v>22000</v>
          </cell>
          <cell r="CT9">
            <v>22000</v>
          </cell>
          <cell r="CU9">
            <v>11000</v>
          </cell>
          <cell r="CV9">
            <v>11000</v>
          </cell>
          <cell r="CW9">
            <v>22000</v>
          </cell>
          <cell r="CX9">
            <v>22000</v>
          </cell>
          <cell r="CY9">
            <v>11000</v>
          </cell>
          <cell r="CZ9">
            <v>22000</v>
          </cell>
          <cell r="DA9">
            <v>0</v>
          </cell>
          <cell r="DB9">
            <v>0</v>
          </cell>
          <cell r="DC9">
            <v>43000</v>
          </cell>
          <cell r="DD9">
            <v>0</v>
          </cell>
        </row>
        <row r="10">
          <cell r="I10">
            <v>742000</v>
          </cell>
        </row>
        <row r="11">
          <cell r="H11">
            <v>144000</v>
          </cell>
          <cell r="I11">
            <v>696000</v>
          </cell>
          <cell r="J11">
            <v>252000</v>
          </cell>
          <cell r="K11">
            <v>168000</v>
          </cell>
          <cell r="L11">
            <v>480000</v>
          </cell>
          <cell r="M11">
            <v>72000</v>
          </cell>
          <cell r="N11">
            <v>72000</v>
          </cell>
          <cell r="O11">
            <v>168000</v>
          </cell>
          <cell r="P11">
            <v>240000</v>
          </cell>
          <cell r="Q11">
            <v>72000</v>
          </cell>
          <cell r="R11">
            <v>300000</v>
          </cell>
          <cell r="S11">
            <v>72000</v>
          </cell>
          <cell r="T11">
            <v>156000</v>
          </cell>
          <cell r="U11">
            <v>228000</v>
          </cell>
          <cell r="V11">
            <v>72000</v>
          </cell>
          <cell r="W11">
            <v>72000</v>
          </cell>
          <cell r="X11">
            <v>204000</v>
          </cell>
          <cell r="Y11">
            <v>468000</v>
          </cell>
          <cell r="Z11">
            <v>396000</v>
          </cell>
          <cell r="AA11">
            <v>72000</v>
          </cell>
          <cell r="AB11">
            <v>144000</v>
          </cell>
          <cell r="AC11">
            <v>72000</v>
          </cell>
          <cell r="AD11">
            <v>156000</v>
          </cell>
          <cell r="AE11">
            <v>168000</v>
          </cell>
          <cell r="AF11">
            <v>72000</v>
          </cell>
          <cell r="AG11">
            <v>96000</v>
          </cell>
          <cell r="AH11">
            <v>72000</v>
          </cell>
          <cell r="AI11">
            <v>84000</v>
          </cell>
          <cell r="AJ11">
            <v>96000</v>
          </cell>
          <cell r="AK11">
            <v>72000</v>
          </cell>
          <cell r="AL11">
            <v>72000</v>
          </cell>
          <cell r="AM11">
            <v>60000</v>
          </cell>
          <cell r="AN11">
            <v>132000</v>
          </cell>
          <cell r="AO11">
            <v>72000</v>
          </cell>
          <cell r="AP11">
            <v>72000</v>
          </cell>
          <cell r="AQ11">
            <v>72000</v>
          </cell>
          <cell r="AR11">
            <v>72000</v>
          </cell>
          <cell r="AS11">
            <v>72000</v>
          </cell>
          <cell r="AT11">
            <v>84000</v>
          </cell>
          <cell r="AU11">
            <v>72000</v>
          </cell>
          <cell r="AV11">
            <v>72000</v>
          </cell>
          <cell r="AW11">
            <v>156000</v>
          </cell>
          <cell r="AX11">
            <v>72000</v>
          </cell>
          <cell r="AY11">
            <v>72000</v>
          </cell>
          <cell r="AZ11">
            <v>60000</v>
          </cell>
          <cell r="BA11">
            <v>60000</v>
          </cell>
          <cell r="BB11">
            <v>72000</v>
          </cell>
          <cell r="BC11">
            <v>72000</v>
          </cell>
          <cell r="BD11">
            <v>84000</v>
          </cell>
          <cell r="BE11">
            <v>48000</v>
          </cell>
          <cell r="BF11">
            <v>72000</v>
          </cell>
          <cell r="BG11">
            <v>72000</v>
          </cell>
          <cell r="BH11">
            <v>204000</v>
          </cell>
          <cell r="BI11">
            <v>72000</v>
          </cell>
          <cell r="BJ11">
            <v>72000</v>
          </cell>
          <cell r="BK11">
            <v>72000</v>
          </cell>
          <cell r="BL11">
            <v>72000</v>
          </cell>
          <cell r="BM11">
            <v>72000</v>
          </cell>
          <cell r="BN11">
            <v>72000</v>
          </cell>
          <cell r="BO11">
            <v>156000</v>
          </cell>
          <cell r="BP11">
            <v>72000</v>
          </cell>
          <cell r="BQ11">
            <v>72000</v>
          </cell>
          <cell r="BR11">
            <v>72000</v>
          </cell>
          <cell r="BS11">
            <v>72000</v>
          </cell>
          <cell r="BT11">
            <v>84000</v>
          </cell>
          <cell r="BU11">
            <v>72000</v>
          </cell>
          <cell r="BV11">
            <v>72000</v>
          </cell>
          <cell r="BW11">
            <v>72000</v>
          </cell>
          <cell r="BX11">
            <v>72000</v>
          </cell>
          <cell r="BY11">
            <v>72000</v>
          </cell>
          <cell r="BZ11">
            <v>72000</v>
          </cell>
          <cell r="CA11">
            <v>72000</v>
          </cell>
          <cell r="CB11">
            <v>84000</v>
          </cell>
          <cell r="CC11">
            <v>72000</v>
          </cell>
          <cell r="CD11">
            <v>84000</v>
          </cell>
          <cell r="CE11">
            <v>72000</v>
          </cell>
          <cell r="CF11">
            <v>72000</v>
          </cell>
          <cell r="CG11">
            <v>72000</v>
          </cell>
          <cell r="CH11">
            <v>72000</v>
          </cell>
          <cell r="CI11">
            <v>72000</v>
          </cell>
          <cell r="CJ11">
            <v>84000</v>
          </cell>
          <cell r="CK11">
            <v>72000</v>
          </cell>
          <cell r="CL11">
            <v>72000</v>
          </cell>
          <cell r="CM11">
            <v>120000</v>
          </cell>
          <cell r="CN11">
            <v>72000</v>
          </cell>
          <cell r="CO11">
            <v>72000</v>
          </cell>
          <cell r="CP11">
            <v>72000</v>
          </cell>
          <cell r="CQ11">
            <v>72000</v>
          </cell>
          <cell r="CR11">
            <v>72000</v>
          </cell>
          <cell r="CS11">
            <v>72000</v>
          </cell>
          <cell r="CT11">
            <v>72000</v>
          </cell>
          <cell r="CU11">
            <v>72000</v>
          </cell>
          <cell r="CV11">
            <v>72000</v>
          </cell>
          <cell r="CW11">
            <v>72000</v>
          </cell>
          <cell r="CX11">
            <v>72000</v>
          </cell>
          <cell r="CY11">
            <v>72000</v>
          </cell>
          <cell r="CZ11">
            <v>72000</v>
          </cell>
          <cell r="DA11">
            <v>72000</v>
          </cell>
          <cell r="DB11">
            <v>72000</v>
          </cell>
          <cell r="DC11">
            <v>204000</v>
          </cell>
          <cell r="DD11">
            <v>72000</v>
          </cell>
        </row>
        <row r="12">
          <cell r="H12">
            <v>48000</v>
          </cell>
          <cell r="I12">
            <v>0</v>
          </cell>
          <cell r="J12">
            <v>0</v>
          </cell>
          <cell r="K12">
            <v>96000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48000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48000</v>
          </cell>
          <cell r="AC12">
            <v>0</v>
          </cell>
          <cell r="AD12">
            <v>0</v>
          </cell>
          <cell r="AE12">
            <v>48000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48000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48000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96000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48000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96000</v>
          </cell>
          <cell r="DD12">
            <v>0</v>
          </cell>
        </row>
        <row r="13">
          <cell r="H13">
            <v>48000</v>
          </cell>
          <cell r="I13">
            <v>96000</v>
          </cell>
          <cell r="J13">
            <v>24000</v>
          </cell>
          <cell r="K13">
            <v>24000</v>
          </cell>
          <cell r="L13">
            <v>12000</v>
          </cell>
          <cell r="M13">
            <v>12000</v>
          </cell>
          <cell r="N13">
            <v>12000</v>
          </cell>
          <cell r="O13">
            <v>36000</v>
          </cell>
          <cell r="P13">
            <v>24000</v>
          </cell>
          <cell r="Q13">
            <v>12000</v>
          </cell>
          <cell r="R13">
            <v>24000</v>
          </cell>
          <cell r="S13">
            <v>12000</v>
          </cell>
          <cell r="T13">
            <v>12000</v>
          </cell>
          <cell r="U13">
            <v>36000</v>
          </cell>
          <cell r="V13">
            <v>12000</v>
          </cell>
          <cell r="X13">
            <v>24000</v>
          </cell>
          <cell r="Y13">
            <v>12000</v>
          </cell>
          <cell r="Z13">
            <v>36000</v>
          </cell>
          <cell r="AA13">
            <v>12000</v>
          </cell>
          <cell r="AB13">
            <v>36000</v>
          </cell>
          <cell r="AC13">
            <v>24000</v>
          </cell>
          <cell r="AD13">
            <v>24000</v>
          </cell>
          <cell r="AE13">
            <v>24000</v>
          </cell>
          <cell r="AG13">
            <v>24000</v>
          </cell>
          <cell r="AI13">
            <v>12000</v>
          </cell>
          <cell r="AJ13">
            <v>12000</v>
          </cell>
          <cell r="AL13">
            <v>12000</v>
          </cell>
          <cell r="AN13">
            <v>24000</v>
          </cell>
          <cell r="AO13">
            <v>12000</v>
          </cell>
          <cell r="AP13">
            <v>12000</v>
          </cell>
          <cell r="AQ13">
            <v>12000</v>
          </cell>
          <cell r="AR13">
            <v>12000</v>
          </cell>
          <cell r="AS13">
            <v>24000</v>
          </cell>
          <cell r="AT13">
            <v>24000</v>
          </cell>
          <cell r="AU13">
            <v>12000</v>
          </cell>
          <cell r="AV13">
            <v>12000</v>
          </cell>
          <cell r="AW13">
            <v>24000</v>
          </cell>
          <cell r="AX13">
            <v>12000</v>
          </cell>
          <cell r="BA13">
            <v>12000</v>
          </cell>
          <cell r="BB13">
            <v>12000</v>
          </cell>
          <cell r="BC13">
            <v>12000</v>
          </cell>
          <cell r="BD13">
            <v>12000</v>
          </cell>
          <cell r="BF13">
            <v>12000</v>
          </cell>
          <cell r="BG13">
            <v>12000</v>
          </cell>
          <cell r="BH13">
            <v>48000</v>
          </cell>
          <cell r="BI13">
            <v>12000</v>
          </cell>
          <cell r="BJ13">
            <v>24000</v>
          </cell>
          <cell r="BL13">
            <v>12000</v>
          </cell>
          <cell r="BM13">
            <v>12000</v>
          </cell>
          <cell r="BO13">
            <v>24000</v>
          </cell>
          <cell r="BP13">
            <v>12000</v>
          </cell>
          <cell r="BQ13">
            <v>12000</v>
          </cell>
          <cell r="BR13">
            <v>12000</v>
          </cell>
          <cell r="BS13">
            <v>12000</v>
          </cell>
          <cell r="BT13">
            <v>24000</v>
          </cell>
          <cell r="BV13">
            <v>12000</v>
          </cell>
          <cell r="BW13">
            <v>12000</v>
          </cell>
          <cell r="BX13">
            <v>24000</v>
          </cell>
          <cell r="BY13">
            <v>24000</v>
          </cell>
          <cell r="BZ13">
            <v>12000</v>
          </cell>
          <cell r="CB13">
            <v>24000</v>
          </cell>
          <cell r="CC13">
            <v>12000</v>
          </cell>
          <cell r="CD13">
            <v>12000</v>
          </cell>
          <cell r="CF13">
            <v>12000</v>
          </cell>
          <cell r="CG13">
            <v>12000</v>
          </cell>
          <cell r="CH13">
            <v>12000</v>
          </cell>
          <cell r="CI13">
            <v>24000</v>
          </cell>
          <cell r="CK13">
            <v>12000</v>
          </cell>
          <cell r="CN13">
            <v>12000</v>
          </cell>
          <cell r="CO13">
            <v>12000</v>
          </cell>
          <cell r="CQ13">
            <v>24000</v>
          </cell>
          <cell r="CR13">
            <v>12000</v>
          </cell>
          <cell r="CS13">
            <v>12000</v>
          </cell>
          <cell r="CT13">
            <v>12000</v>
          </cell>
          <cell r="CU13">
            <v>12000</v>
          </cell>
          <cell r="CV13">
            <v>12000</v>
          </cell>
          <cell r="CW13">
            <v>12000</v>
          </cell>
          <cell r="CX13">
            <v>12000</v>
          </cell>
          <cell r="CY13">
            <v>12000</v>
          </cell>
          <cell r="CZ13">
            <v>12000</v>
          </cell>
          <cell r="DC13">
            <v>48000</v>
          </cell>
        </row>
        <row r="14">
          <cell r="J14">
            <v>48000</v>
          </cell>
          <cell r="K14">
            <v>23000</v>
          </cell>
          <cell r="T14">
            <v>94000</v>
          </cell>
          <cell r="U14">
            <v>46000</v>
          </cell>
          <cell r="X14">
            <v>48000</v>
          </cell>
          <cell r="Y14">
            <v>114000</v>
          </cell>
          <cell r="AG14">
            <v>23000</v>
          </cell>
          <cell r="AN14">
            <v>48000</v>
          </cell>
          <cell r="AT14">
            <v>23000</v>
          </cell>
          <cell r="AW14">
            <v>23000</v>
          </cell>
          <cell r="BH14">
            <v>71000</v>
          </cell>
          <cell r="DC14">
            <v>96000</v>
          </cell>
        </row>
        <row r="15">
          <cell r="H15">
            <v>1579000</v>
          </cell>
          <cell r="I15">
            <v>3479000</v>
          </cell>
          <cell r="J15">
            <v>1468000</v>
          </cell>
          <cell r="K15">
            <v>1181000</v>
          </cell>
          <cell r="L15">
            <v>1015000</v>
          </cell>
          <cell r="M15">
            <v>1015000</v>
          </cell>
          <cell r="N15">
            <v>1015000</v>
          </cell>
          <cell r="O15">
            <v>1170000</v>
          </cell>
          <cell r="P15">
            <v>1159000</v>
          </cell>
          <cell r="Q15">
            <v>1015000</v>
          </cell>
          <cell r="R15">
            <v>1159000</v>
          </cell>
          <cell r="S15">
            <v>1015000</v>
          </cell>
          <cell r="T15">
            <v>1025000</v>
          </cell>
          <cell r="U15">
            <v>1170000</v>
          </cell>
          <cell r="V15">
            <v>1015000</v>
          </cell>
          <cell r="W15">
            <v>0</v>
          </cell>
          <cell r="X15">
            <v>1170000</v>
          </cell>
          <cell r="Y15">
            <v>1025000</v>
          </cell>
          <cell r="Z15">
            <v>1170000</v>
          </cell>
          <cell r="AA15">
            <v>1170000</v>
          </cell>
          <cell r="AB15">
            <v>1159000</v>
          </cell>
          <cell r="AC15">
            <v>1004000</v>
          </cell>
          <cell r="AD15">
            <v>1181000</v>
          </cell>
          <cell r="AE15">
            <v>1159000</v>
          </cell>
          <cell r="AF15">
            <v>0</v>
          </cell>
          <cell r="AG15">
            <v>1004000</v>
          </cell>
          <cell r="AH15">
            <v>0</v>
          </cell>
          <cell r="AI15">
            <v>1025000</v>
          </cell>
          <cell r="AJ15">
            <v>1015000</v>
          </cell>
          <cell r="AK15">
            <v>0</v>
          </cell>
          <cell r="AL15">
            <v>1004000</v>
          </cell>
          <cell r="AM15">
            <v>0</v>
          </cell>
          <cell r="AN15">
            <v>1159000</v>
          </cell>
          <cell r="AO15">
            <v>1015000</v>
          </cell>
          <cell r="AP15">
            <v>1015000</v>
          </cell>
          <cell r="AQ15">
            <v>1004000</v>
          </cell>
          <cell r="AR15">
            <v>1015000</v>
          </cell>
          <cell r="AS15">
            <v>1015000</v>
          </cell>
          <cell r="AT15">
            <v>1015000</v>
          </cell>
          <cell r="AU15">
            <v>1015000</v>
          </cell>
          <cell r="AV15">
            <v>1025000</v>
          </cell>
          <cell r="AW15">
            <v>1015000</v>
          </cell>
          <cell r="AX15">
            <v>1015000</v>
          </cell>
          <cell r="AY15">
            <v>0</v>
          </cell>
          <cell r="AZ15">
            <v>0</v>
          </cell>
          <cell r="BA15">
            <v>1004000</v>
          </cell>
          <cell r="BB15">
            <v>1015000</v>
          </cell>
          <cell r="BC15">
            <v>1015000</v>
          </cell>
          <cell r="BD15">
            <v>1015000</v>
          </cell>
          <cell r="BE15">
            <v>0</v>
          </cell>
          <cell r="BF15">
            <v>1004000</v>
          </cell>
          <cell r="BG15">
            <v>1004000</v>
          </cell>
          <cell r="BH15">
            <v>1149000</v>
          </cell>
          <cell r="BI15">
            <v>1015000</v>
          </cell>
          <cell r="BJ15">
            <v>1004000</v>
          </cell>
          <cell r="BK15">
            <v>0</v>
          </cell>
          <cell r="BL15">
            <v>1015000</v>
          </cell>
          <cell r="BM15">
            <v>1015000</v>
          </cell>
          <cell r="BN15">
            <v>0</v>
          </cell>
          <cell r="BO15">
            <v>1181000</v>
          </cell>
          <cell r="BP15">
            <v>1015000</v>
          </cell>
          <cell r="BQ15">
            <v>1015000</v>
          </cell>
          <cell r="BR15">
            <v>1015000</v>
          </cell>
          <cell r="BS15">
            <v>1015000</v>
          </cell>
          <cell r="BT15">
            <v>1015000</v>
          </cell>
          <cell r="BU15">
            <v>0</v>
          </cell>
          <cell r="BV15">
            <v>1004000</v>
          </cell>
          <cell r="BW15">
            <v>1004000</v>
          </cell>
          <cell r="BX15">
            <v>1015000</v>
          </cell>
          <cell r="BY15">
            <v>1015000</v>
          </cell>
          <cell r="BZ15">
            <v>1004000</v>
          </cell>
          <cell r="CA15">
            <v>0</v>
          </cell>
          <cell r="CB15">
            <v>1015000</v>
          </cell>
          <cell r="CC15">
            <v>1015000</v>
          </cell>
          <cell r="CD15">
            <v>1015000</v>
          </cell>
          <cell r="CE15">
            <v>0</v>
          </cell>
          <cell r="CF15">
            <v>1015000</v>
          </cell>
          <cell r="CG15">
            <v>1015000</v>
          </cell>
          <cell r="CH15">
            <v>1015000</v>
          </cell>
          <cell r="CI15">
            <v>1004000</v>
          </cell>
          <cell r="CJ15">
            <v>0</v>
          </cell>
          <cell r="CK15">
            <v>1004000</v>
          </cell>
          <cell r="CL15">
            <v>0</v>
          </cell>
          <cell r="CM15">
            <v>0</v>
          </cell>
          <cell r="CN15">
            <v>1015000</v>
          </cell>
          <cell r="CO15">
            <v>1015000</v>
          </cell>
          <cell r="CP15">
            <v>0</v>
          </cell>
          <cell r="CQ15">
            <v>1015000</v>
          </cell>
          <cell r="CR15">
            <v>1015000</v>
          </cell>
          <cell r="CS15">
            <v>1015000</v>
          </cell>
          <cell r="CT15">
            <v>1015000</v>
          </cell>
          <cell r="CU15">
            <v>1004000</v>
          </cell>
          <cell r="CV15">
            <v>1004000</v>
          </cell>
          <cell r="CW15">
            <v>1015000</v>
          </cell>
          <cell r="CX15">
            <v>1015000</v>
          </cell>
          <cell r="CY15">
            <v>1004000</v>
          </cell>
          <cell r="CZ15">
            <v>1015000</v>
          </cell>
          <cell r="DA15">
            <v>0</v>
          </cell>
          <cell r="DB15">
            <v>0</v>
          </cell>
          <cell r="DC15">
            <v>1435000</v>
          </cell>
          <cell r="DD15">
            <v>0</v>
          </cell>
        </row>
        <row r="16">
          <cell r="H16">
            <v>240000</v>
          </cell>
          <cell r="I16">
            <v>792000</v>
          </cell>
          <cell r="J16">
            <v>324000</v>
          </cell>
          <cell r="K16">
            <v>311000</v>
          </cell>
          <cell r="L16">
            <v>492000</v>
          </cell>
          <cell r="M16">
            <v>84000</v>
          </cell>
          <cell r="N16">
            <v>84000</v>
          </cell>
          <cell r="O16">
            <v>204000</v>
          </cell>
          <cell r="P16">
            <v>264000</v>
          </cell>
          <cell r="Q16">
            <v>84000</v>
          </cell>
          <cell r="R16">
            <v>324000</v>
          </cell>
          <cell r="S16">
            <v>84000</v>
          </cell>
          <cell r="T16">
            <v>310000</v>
          </cell>
          <cell r="U16">
            <v>310000</v>
          </cell>
          <cell r="V16">
            <v>84000</v>
          </cell>
          <cell r="W16">
            <v>72000</v>
          </cell>
          <cell r="X16">
            <v>276000</v>
          </cell>
          <cell r="Y16">
            <v>594000</v>
          </cell>
          <cell r="Z16">
            <v>432000</v>
          </cell>
          <cell r="AA16">
            <v>84000</v>
          </cell>
          <cell r="AB16">
            <v>228000</v>
          </cell>
          <cell r="AC16">
            <v>96000</v>
          </cell>
          <cell r="AD16">
            <v>180000</v>
          </cell>
          <cell r="AE16">
            <v>240000</v>
          </cell>
          <cell r="AF16">
            <v>72000</v>
          </cell>
          <cell r="AG16">
            <v>143000</v>
          </cell>
          <cell r="AH16">
            <v>72000</v>
          </cell>
          <cell r="AI16">
            <v>96000</v>
          </cell>
          <cell r="AJ16">
            <v>108000</v>
          </cell>
          <cell r="AK16">
            <v>72000</v>
          </cell>
          <cell r="AL16">
            <v>84000</v>
          </cell>
          <cell r="AM16">
            <v>60000</v>
          </cell>
          <cell r="AN16">
            <v>252000</v>
          </cell>
          <cell r="AO16">
            <v>84000</v>
          </cell>
          <cell r="AP16">
            <v>84000</v>
          </cell>
          <cell r="AQ16">
            <v>84000</v>
          </cell>
          <cell r="AR16">
            <v>84000</v>
          </cell>
          <cell r="AS16">
            <v>96000</v>
          </cell>
          <cell r="AT16">
            <v>131000</v>
          </cell>
          <cell r="AU16">
            <v>84000</v>
          </cell>
          <cell r="AV16">
            <v>84000</v>
          </cell>
          <cell r="AW16">
            <v>251000</v>
          </cell>
          <cell r="AX16">
            <v>84000</v>
          </cell>
          <cell r="AY16">
            <v>72000</v>
          </cell>
          <cell r="AZ16">
            <v>60000</v>
          </cell>
          <cell r="BA16">
            <v>72000</v>
          </cell>
          <cell r="BB16">
            <v>84000</v>
          </cell>
          <cell r="BC16">
            <v>84000</v>
          </cell>
          <cell r="BD16">
            <v>96000</v>
          </cell>
          <cell r="BE16">
            <v>48000</v>
          </cell>
          <cell r="BF16">
            <v>84000</v>
          </cell>
          <cell r="BG16">
            <v>84000</v>
          </cell>
          <cell r="BH16">
            <v>419000</v>
          </cell>
          <cell r="BI16">
            <v>84000</v>
          </cell>
          <cell r="BJ16">
            <v>96000</v>
          </cell>
          <cell r="BK16">
            <v>72000</v>
          </cell>
          <cell r="BL16">
            <v>84000</v>
          </cell>
          <cell r="BM16">
            <v>84000</v>
          </cell>
          <cell r="BN16">
            <v>72000</v>
          </cell>
          <cell r="BO16">
            <v>180000</v>
          </cell>
          <cell r="BP16">
            <v>84000</v>
          </cell>
          <cell r="BQ16">
            <v>84000</v>
          </cell>
          <cell r="BR16">
            <v>84000</v>
          </cell>
          <cell r="BS16">
            <v>84000</v>
          </cell>
          <cell r="BT16">
            <v>156000</v>
          </cell>
          <cell r="BU16">
            <v>72000</v>
          </cell>
          <cell r="BV16">
            <v>84000</v>
          </cell>
          <cell r="BW16">
            <v>84000</v>
          </cell>
          <cell r="BX16">
            <v>96000</v>
          </cell>
          <cell r="BY16">
            <v>96000</v>
          </cell>
          <cell r="BZ16">
            <v>84000</v>
          </cell>
          <cell r="CA16">
            <v>72000</v>
          </cell>
          <cell r="CB16">
            <v>108000</v>
          </cell>
          <cell r="CC16">
            <v>84000</v>
          </cell>
          <cell r="CD16">
            <v>96000</v>
          </cell>
          <cell r="CE16">
            <v>72000</v>
          </cell>
          <cell r="CF16">
            <v>84000</v>
          </cell>
          <cell r="CG16">
            <v>84000</v>
          </cell>
          <cell r="CH16">
            <v>84000</v>
          </cell>
          <cell r="CI16">
            <v>96000</v>
          </cell>
          <cell r="CJ16">
            <v>84000</v>
          </cell>
          <cell r="CK16">
            <v>84000</v>
          </cell>
          <cell r="CL16">
            <v>72000</v>
          </cell>
          <cell r="CM16">
            <v>120000</v>
          </cell>
          <cell r="CN16">
            <v>84000</v>
          </cell>
          <cell r="CO16">
            <v>84000</v>
          </cell>
          <cell r="CP16">
            <v>72000</v>
          </cell>
          <cell r="CQ16">
            <v>96000</v>
          </cell>
          <cell r="CR16">
            <v>84000</v>
          </cell>
          <cell r="CS16">
            <v>84000</v>
          </cell>
          <cell r="CT16">
            <v>84000</v>
          </cell>
          <cell r="CU16">
            <v>84000</v>
          </cell>
          <cell r="CV16">
            <v>84000</v>
          </cell>
          <cell r="CW16">
            <v>84000</v>
          </cell>
          <cell r="CX16">
            <v>84000</v>
          </cell>
          <cell r="CY16">
            <v>84000</v>
          </cell>
          <cell r="CZ16">
            <v>84000</v>
          </cell>
          <cell r="DA16">
            <v>72000</v>
          </cell>
          <cell r="DB16">
            <v>72000</v>
          </cell>
          <cell r="DC16">
            <v>444000</v>
          </cell>
          <cell r="DD16">
            <v>72000</v>
          </cell>
        </row>
        <row r="17">
          <cell r="S17">
            <v>650000</v>
          </cell>
          <cell r="AF17">
            <v>650000</v>
          </cell>
          <cell r="AK17">
            <v>650000</v>
          </cell>
          <cell r="AL17">
            <v>650000</v>
          </cell>
          <cell r="AM17">
            <v>650000</v>
          </cell>
          <cell r="AO17">
            <v>650000</v>
          </cell>
          <cell r="AP17">
            <v>650000</v>
          </cell>
          <cell r="AQ17">
            <v>650000</v>
          </cell>
          <cell r="AR17">
            <v>650000</v>
          </cell>
          <cell r="AY17">
            <v>650000</v>
          </cell>
          <cell r="AZ17">
            <v>650000</v>
          </cell>
          <cell r="BA17">
            <v>650000</v>
          </cell>
          <cell r="BE17">
            <v>650000</v>
          </cell>
          <cell r="BF17">
            <v>650000</v>
          </cell>
          <cell r="BG17">
            <v>650000</v>
          </cell>
          <cell r="BI17">
            <v>650000</v>
          </cell>
          <cell r="BJ17">
            <v>650000</v>
          </cell>
          <cell r="BK17">
            <v>650000</v>
          </cell>
          <cell r="BL17">
            <v>650000</v>
          </cell>
          <cell r="BM17">
            <v>650000</v>
          </cell>
          <cell r="BN17">
            <v>650000</v>
          </cell>
          <cell r="BP17">
            <v>650000</v>
          </cell>
          <cell r="BQ17">
            <v>650000</v>
          </cell>
          <cell r="BU17">
            <v>650000</v>
          </cell>
          <cell r="BV17">
            <v>650000</v>
          </cell>
          <cell r="BW17">
            <v>650000</v>
          </cell>
          <cell r="BY17">
            <v>650000</v>
          </cell>
          <cell r="BZ17">
            <v>650000</v>
          </cell>
          <cell r="CA17">
            <v>650000</v>
          </cell>
          <cell r="CJ17">
            <v>650000</v>
          </cell>
          <cell r="CK17">
            <v>650000</v>
          </cell>
          <cell r="CO17">
            <v>650000</v>
          </cell>
          <cell r="CP17">
            <v>650000</v>
          </cell>
          <cell r="CS17">
            <v>650000</v>
          </cell>
          <cell r="CT17">
            <v>650000</v>
          </cell>
          <cell r="CU17">
            <v>650000</v>
          </cell>
          <cell r="CV17">
            <v>650000</v>
          </cell>
          <cell r="CW17">
            <v>650000</v>
          </cell>
          <cell r="CY17">
            <v>650000</v>
          </cell>
          <cell r="CZ17">
            <v>650000</v>
          </cell>
          <cell r="DA17">
            <v>650000</v>
          </cell>
          <cell r="DB17">
            <v>650000</v>
          </cell>
          <cell r="DD17">
            <v>650000</v>
          </cell>
        </row>
        <row r="18">
          <cell r="H18">
            <v>392000</v>
          </cell>
          <cell r="I18">
            <v>2408000</v>
          </cell>
          <cell r="J18">
            <v>28000</v>
          </cell>
          <cell r="L18">
            <v>420000</v>
          </cell>
          <cell r="M18">
            <v>350000</v>
          </cell>
          <cell r="N18">
            <v>14000</v>
          </cell>
          <cell r="O18">
            <v>1260000</v>
          </cell>
          <cell r="P18">
            <v>392000</v>
          </cell>
          <cell r="Q18">
            <v>420000</v>
          </cell>
          <cell r="R18">
            <v>616000</v>
          </cell>
          <cell r="T18">
            <v>28000</v>
          </cell>
          <cell r="U18">
            <v>658000</v>
          </cell>
          <cell r="X18">
            <v>140000</v>
          </cell>
          <cell r="Y18">
            <v>336000</v>
          </cell>
          <cell r="Z18">
            <v>840000</v>
          </cell>
          <cell r="AA18">
            <v>42000</v>
          </cell>
          <cell r="AB18">
            <v>532000</v>
          </cell>
          <cell r="AC18">
            <v>322000</v>
          </cell>
          <cell r="AD18">
            <v>364000</v>
          </cell>
          <cell r="AE18">
            <v>308000</v>
          </cell>
          <cell r="AG18">
            <v>322000</v>
          </cell>
          <cell r="AJ18">
            <v>168000</v>
          </cell>
          <cell r="AN18">
            <v>350000</v>
          </cell>
          <cell r="AR18">
            <v>420000</v>
          </cell>
          <cell r="AT18">
            <v>560000</v>
          </cell>
          <cell r="AU18">
            <v>28000</v>
          </cell>
          <cell r="AW18">
            <v>630000</v>
          </cell>
          <cell r="BA18">
            <v>112000</v>
          </cell>
          <cell r="BB18">
            <v>420000</v>
          </cell>
          <cell r="BD18">
            <v>392000</v>
          </cell>
          <cell r="BH18">
            <v>532000</v>
          </cell>
          <cell r="BJ18">
            <v>378000</v>
          </cell>
          <cell r="BM18">
            <v>420000</v>
          </cell>
          <cell r="BO18">
            <v>770000</v>
          </cell>
          <cell r="BQ18">
            <v>28000</v>
          </cell>
          <cell r="BR18">
            <v>252000</v>
          </cell>
          <cell r="BT18">
            <v>350000</v>
          </cell>
          <cell r="BV18">
            <v>28000</v>
          </cell>
          <cell r="BX18">
            <v>336000</v>
          </cell>
          <cell r="BY18">
            <v>112000</v>
          </cell>
          <cell r="CB18">
            <v>280000</v>
          </cell>
          <cell r="CD18">
            <v>294000</v>
          </cell>
          <cell r="CG18">
            <v>14000</v>
          </cell>
          <cell r="CH18">
            <v>14000</v>
          </cell>
          <cell r="CI18">
            <v>252000</v>
          </cell>
          <cell r="CN18">
            <v>14000</v>
          </cell>
          <cell r="CO18">
            <v>14000</v>
          </cell>
          <cell r="CQ18">
            <v>434000</v>
          </cell>
          <cell r="CR18">
            <v>392000</v>
          </cell>
          <cell r="CS18">
            <v>420000</v>
          </cell>
          <cell r="CT18">
            <v>28000</v>
          </cell>
          <cell r="CW18">
            <v>238000</v>
          </cell>
          <cell r="CY18">
            <v>210000</v>
          </cell>
          <cell r="CZ18">
            <v>420000</v>
          </cell>
          <cell r="DC18">
            <v>1694000</v>
          </cell>
        </row>
        <row r="19">
          <cell r="AF19">
            <v>650000</v>
          </cell>
          <cell r="AH19">
            <v>1300000</v>
          </cell>
          <cell r="AI19">
            <v>1300000</v>
          </cell>
          <cell r="AO19">
            <v>650000</v>
          </cell>
          <cell r="AS19">
            <v>650000</v>
          </cell>
          <cell r="AT19">
            <v>650000</v>
          </cell>
          <cell r="AU19">
            <v>650000</v>
          </cell>
          <cell r="AV19">
            <v>1300000</v>
          </cell>
          <cell r="AW19">
            <v>650000</v>
          </cell>
          <cell r="AX19">
            <v>650000</v>
          </cell>
          <cell r="BB19">
            <v>650000</v>
          </cell>
          <cell r="BC19">
            <v>650000</v>
          </cell>
          <cell r="BD19">
            <v>1300000</v>
          </cell>
          <cell r="BH19">
            <v>650000</v>
          </cell>
          <cell r="BI19">
            <v>650000</v>
          </cell>
          <cell r="BJ19">
            <v>650000</v>
          </cell>
          <cell r="BL19">
            <v>1300000</v>
          </cell>
          <cell r="BM19">
            <v>1300000</v>
          </cell>
          <cell r="BO19">
            <v>650000</v>
          </cell>
          <cell r="BQ19">
            <v>650000</v>
          </cell>
          <cell r="BR19">
            <v>650000</v>
          </cell>
          <cell r="BT19">
            <v>1300000</v>
          </cell>
          <cell r="BX19">
            <v>1300000</v>
          </cell>
          <cell r="BY19">
            <v>650000</v>
          </cell>
          <cell r="CA19">
            <v>650000</v>
          </cell>
          <cell r="CB19">
            <v>1300000</v>
          </cell>
          <cell r="CC19">
            <v>1300000</v>
          </cell>
          <cell r="CD19">
            <v>1300000</v>
          </cell>
          <cell r="CF19">
            <v>1300000</v>
          </cell>
          <cell r="CH19">
            <v>1300000</v>
          </cell>
          <cell r="CI19">
            <v>650000</v>
          </cell>
          <cell r="CK19">
            <v>650000</v>
          </cell>
          <cell r="CL19">
            <v>650000</v>
          </cell>
          <cell r="CM19">
            <v>1300000</v>
          </cell>
          <cell r="CN19">
            <v>650000</v>
          </cell>
          <cell r="CO19">
            <v>650000</v>
          </cell>
          <cell r="CP19">
            <v>650000</v>
          </cell>
          <cell r="CQ19">
            <v>650000</v>
          </cell>
          <cell r="CR19">
            <v>650000</v>
          </cell>
          <cell r="CS19">
            <v>650000</v>
          </cell>
          <cell r="CT19">
            <v>650000</v>
          </cell>
          <cell r="CU19">
            <v>1300000</v>
          </cell>
          <cell r="CW19">
            <v>650000</v>
          </cell>
          <cell r="CX19">
            <v>650000</v>
          </cell>
          <cell r="CY19">
            <v>650000</v>
          </cell>
          <cell r="DD19">
            <v>650000</v>
          </cell>
        </row>
        <row r="20">
          <cell r="H20">
            <v>14000</v>
          </cell>
          <cell r="I20">
            <v>78000</v>
          </cell>
          <cell r="J20">
            <v>31000</v>
          </cell>
          <cell r="K20">
            <v>17000</v>
          </cell>
          <cell r="L20">
            <v>49000</v>
          </cell>
          <cell r="M20">
            <v>6000</v>
          </cell>
          <cell r="N20">
            <v>6000</v>
          </cell>
          <cell r="O20">
            <v>14000</v>
          </cell>
          <cell r="P20">
            <v>18000</v>
          </cell>
          <cell r="Q20">
            <v>6000</v>
          </cell>
          <cell r="R20">
            <v>21000</v>
          </cell>
          <cell r="S20">
            <v>6000</v>
          </cell>
          <cell r="T20">
            <v>16000</v>
          </cell>
          <cell r="U20">
            <v>20000</v>
          </cell>
          <cell r="V20">
            <v>6000</v>
          </cell>
          <cell r="W20">
            <v>5000</v>
          </cell>
          <cell r="X20">
            <v>18000</v>
          </cell>
          <cell r="Y20">
            <v>55000</v>
          </cell>
          <cell r="Z20">
            <v>43000</v>
          </cell>
          <cell r="AA20">
            <v>7000</v>
          </cell>
          <cell r="AB20">
            <v>13000</v>
          </cell>
          <cell r="AC20">
            <v>6000</v>
          </cell>
          <cell r="AD20">
            <v>13000</v>
          </cell>
          <cell r="AE20">
            <v>14000</v>
          </cell>
          <cell r="AF20">
            <v>5000</v>
          </cell>
          <cell r="AG20">
            <v>9000</v>
          </cell>
          <cell r="AH20">
            <v>5000</v>
          </cell>
          <cell r="AI20">
            <v>8000</v>
          </cell>
          <cell r="AJ20">
            <v>8000</v>
          </cell>
          <cell r="AK20">
            <v>5000</v>
          </cell>
          <cell r="AL20">
            <v>6000</v>
          </cell>
          <cell r="AM20">
            <v>4000</v>
          </cell>
          <cell r="AN20">
            <v>13000</v>
          </cell>
          <cell r="AO20">
            <v>6000</v>
          </cell>
          <cell r="AP20">
            <v>6000</v>
          </cell>
          <cell r="AQ20">
            <v>6000</v>
          </cell>
          <cell r="AR20">
            <v>6000</v>
          </cell>
          <cell r="AS20">
            <v>7000</v>
          </cell>
          <cell r="AT20">
            <v>8000</v>
          </cell>
          <cell r="AU20">
            <v>6000</v>
          </cell>
          <cell r="AV20">
            <v>7000</v>
          </cell>
          <cell r="AW20">
            <v>14000</v>
          </cell>
          <cell r="AX20">
            <v>6000</v>
          </cell>
          <cell r="AY20">
            <v>5000</v>
          </cell>
          <cell r="AZ20">
            <v>4000</v>
          </cell>
          <cell r="BA20">
            <v>6000</v>
          </cell>
          <cell r="BB20">
            <v>6000</v>
          </cell>
          <cell r="BC20">
            <v>6000</v>
          </cell>
          <cell r="BD20">
            <v>7000</v>
          </cell>
          <cell r="BE20">
            <v>3000</v>
          </cell>
          <cell r="BF20">
            <v>6000</v>
          </cell>
          <cell r="BG20">
            <v>6000</v>
          </cell>
          <cell r="BH20">
            <v>20000</v>
          </cell>
          <cell r="BI20">
            <v>6000</v>
          </cell>
          <cell r="BJ20">
            <v>6000</v>
          </cell>
          <cell r="BK20">
            <v>5000</v>
          </cell>
          <cell r="BL20">
            <v>6000</v>
          </cell>
          <cell r="BM20">
            <v>6000</v>
          </cell>
          <cell r="BN20">
            <v>5000</v>
          </cell>
          <cell r="BO20">
            <v>13000</v>
          </cell>
          <cell r="BP20">
            <v>6000</v>
          </cell>
          <cell r="BQ20">
            <v>6000</v>
          </cell>
          <cell r="BR20">
            <v>6000</v>
          </cell>
          <cell r="BS20">
            <v>6000</v>
          </cell>
          <cell r="BT20">
            <v>8000</v>
          </cell>
          <cell r="BU20">
            <v>5000</v>
          </cell>
          <cell r="BV20">
            <v>6000</v>
          </cell>
          <cell r="BW20">
            <v>6000</v>
          </cell>
          <cell r="BX20">
            <v>7000</v>
          </cell>
          <cell r="BY20">
            <v>7000</v>
          </cell>
          <cell r="BZ20">
            <v>6000</v>
          </cell>
          <cell r="CA20">
            <v>5000</v>
          </cell>
          <cell r="CB20">
            <v>8000</v>
          </cell>
          <cell r="CC20">
            <v>6000</v>
          </cell>
          <cell r="CD20">
            <v>7000</v>
          </cell>
          <cell r="CE20">
            <v>5000</v>
          </cell>
          <cell r="CF20">
            <v>6000</v>
          </cell>
          <cell r="CG20">
            <v>6000</v>
          </cell>
          <cell r="CH20">
            <v>6000</v>
          </cell>
          <cell r="CI20">
            <v>6000</v>
          </cell>
          <cell r="CJ20">
            <v>6000</v>
          </cell>
          <cell r="CK20">
            <v>6000</v>
          </cell>
          <cell r="CL20">
            <v>5000</v>
          </cell>
          <cell r="CM20">
            <v>8000</v>
          </cell>
          <cell r="CN20">
            <v>6000</v>
          </cell>
          <cell r="CO20">
            <v>6000</v>
          </cell>
          <cell r="CP20">
            <v>5000</v>
          </cell>
          <cell r="CQ20">
            <v>7000</v>
          </cell>
          <cell r="CR20">
            <v>6000</v>
          </cell>
          <cell r="CS20">
            <v>6000</v>
          </cell>
          <cell r="CT20">
            <v>6000</v>
          </cell>
          <cell r="CU20">
            <v>6000</v>
          </cell>
          <cell r="CV20">
            <v>6000</v>
          </cell>
          <cell r="CW20">
            <v>6000</v>
          </cell>
          <cell r="CX20">
            <v>6000</v>
          </cell>
          <cell r="CY20">
            <v>6000</v>
          </cell>
          <cell r="CZ20">
            <v>6000</v>
          </cell>
          <cell r="DA20">
            <v>5000</v>
          </cell>
          <cell r="DB20">
            <v>5000</v>
          </cell>
          <cell r="DC20">
            <v>21000</v>
          </cell>
          <cell r="DD20">
            <v>5000</v>
          </cell>
        </row>
        <row r="21">
          <cell r="H21">
            <v>48303000</v>
          </cell>
          <cell r="I21">
            <v>215864000</v>
          </cell>
          <cell r="J21">
            <v>87545000</v>
          </cell>
          <cell r="K21">
            <v>58380000</v>
          </cell>
          <cell r="L21">
            <v>132124000</v>
          </cell>
          <cell r="M21">
            <v>27815000</v>
          </cell>
          <cell r="N21">
            <v>34585000</v>
          </cell>
          <cell r="O21">
            <v>55336000</v>
          </cell>
          <cell r="P21">
            <v>73845000</v>
          </cell>
          <cell r="Q21">
            <v>24195000</v>
          </cell>
          <cell r="R21">
            <v>91830000</v>
          </cell>
          <cell r="S21">
            <v>25197000</v>
          </cell>
          <cell r="T21">
            <v>44606000</v>
          </cell>
          <cell r="U21">
            <v>68533000</v>
          </cell>
          <cell r="V21">
            <v>25499000</v>
          </cell>
          <cell r="W21">
            <v>26473000</v>
          </cell>
          <cell r="X21">
            <v>55310000</v>
          </cell>
          <cell r="Y21">
            <v>147149000</v>
          </cell>
          <cell r="Z21">
            <v>105518000</v>
          </cell>
          <cell r="AA21">
            <v>28220000</v>
          </cell>
          <cell r="AB21">
            <v>51793000</v>
          </cell>
          <cell r="AC21">
            <v>29260000</v>
          </cell>
          <cell r="AD21">
            <v>52797000</v>
          </cell>
          <cell r="AE21">
            <v>64444000</v>
          </cell>
          <cell r="AF21">
            <v>24186000</v>
          </cell>
          <cell r="AG21">
            <v>32296000</v>
          </cell>
          <cell r="AH21">
            <v>21619000</v>
          </cell>
          <cell r="AI21">
            <v>22223000</v>
          </cell>
          <cell r="AJ21">
            <v>27760000</v>
          </cell>
          <cell r="AK21">
            <v>21340000</v>
          </cell>
          <cell r="AL21">
            <v>21670000</v>
          </cell>
          <cell r="AM21">
            <v>20149000</v>
          </cell>
          <cell r="AN21">
            <v>47652000</v>
          </cell>
          <cell r="AO21">
            <v>21853000</v>
          </cell>
          <cell r="AP21">
            <v>17989000</v>
          </cell>
          <cell r="AQ21">
            <v>22947000</v>
          </cell>
          <cell r="AR21">
            <v>20665000</v>
          </cell>
          <cell r="AS21">
            <v>27255000</v>
          </cell>
          <cell r="AT21">
            <v>32548000</v>
          </cell>
          <cell r="AU21">
            <v>25822000</v>
          </cell>
          <cell r="AV21">
            <v>25719000</v>
          </cell>
          <cell r="AW21">
            <v>48621000</v>
          </cell>
          <cell r="AX21">
            <v>20219000</v>
          </cell>
          <cell r="AY21">
            <v>14834000</v>
          </cell>
          <cell r="AZ21">
            <v>15650000</v>
          </cell>
          <cell r="BA21">
            <v>20880000</v>
          </cell>
          <cell r="BB21">
            <v>20805000</v>
          </cell>
          <cell r="BC21">
            <v>17776000</v>
          </cell>
          <cell r="BD21">
            <v>23125000</v>
          </cell>
          <cell r="BE21">
            <v>13295000</v>
          </cell>
          <cell r="BF21">
            <v>17212000</v>
          </cell>
          <cell r="BG21">
            <v>18031000</v>
          </cell>
          <cell r="BH21">
            <v>73149000</v>
          </cell>
          <cell r="BI21">
            <v>22374000</v>
          </cell>
          <cell r="BJ21">
            <v>22817000</v>
          </cell>
          <cell r="BK21">
            <v>16286000</v>
          </cell>
          <cell r="BL21">
            <v>13431000</v>
          </cell>
          <cell r="BM21">
            <v>16568000</v>
          </cell>
          <cell r="BN21">
            <v>14572000</v>
          </cell>
          <cell r="BO21">
            <v>47669000</v>
          </cell>
          <cell r="BP21">
            <v>14479000</v>
          </cell>
          <cell r="BQ21">
            <v>21079000</v>
          </cell>
          <cell r="BR21">
            <v>21243000</v>
          </cell>
          <cell r="BS21">
            <v>18417000</v>
          </cell>
          <cell r="BT21">
            <v>24138000</v>
          </cell>
          <cell r="BU21">
            <v>15828000</v>
          </cell>
          <cell r="BV21">
            <v>13544000</v>
          </cell>
          <cell r="BW21">
            <v>16154000</v>
          </cell>
          <cell r="BX21">
            <v>16761000</v>
          </cell>
          <cell r="BY21">
            <v>16583000</v>
          </cell>
          <cell r="BZ21">
            <v>21322000</v>
          </cell>
          <cell r="CA21">
            <v>17347000</v>
          </cell>
          <cell r="CB21">
            <v>29107000</v>
          </cell>
          <cell r="CC21">
            <v>25516000</v>
          </cell>
          <cell r="CD21">
            <v>24640000</v>
          </cell>
          <cell r="CE21">
            <v>22715000</v>
          </cell>
          <cell r="CF21">
            <v>23826000</v>
          </cell>
          <cell r="CG21">
            <v>30237000</v>
          </cell>
          <cell r="CH21">
            <v>20808000</v>
          </cell>
          <cell r="CI21">
            <v>27520000</v>
          </cell>
          <cell r="CJ21">
            <v>26725000</v>
          </cell>
          <cell r="CK21">
            <v>24045000</v>
          </cell>
          <cell r="CL21">
            <v>26341000</v>
          </cell>
          <cell r="CM21">
            <v>28565000</v>
          </cell>
          <cell r="CN21">
            <v>25190000</v>
          </cell>
          <cell r="CO21">
            <v>22616000</v>
          </cell>
          <cell r="CP21">
            <v>27240000</v>
          </cell>
          <cell r="CQ21">
            <v>24807000</v>
          </cell>
          <cell r="CR21">
            <v>27095000</v>
          </cell>
          <cell r="CS21">
            <v>25063000</v>
          </cell>
          <cell r="CT21">
            <v>20646000</v>
          </cell>
          <cell r="CU21">
            <v>23601000</v>
          </cell>
          <cell r="CV21">
            <v>22886000</v>
          </cell>
          <cell r="CW21">
            <v>24010000</v>
          </cell>
          <cell r="CX21">
            <v>22223000</v>
          </cell>
          <cell r="CY21">
            <v>19337000</v>
          </cell>
          <cell r="CZ21">
            <v>16045000</v>
          </cell>
          <cell r="DA21">
            <v>17176000</v>
          </cell>
          <cell r="DB21">
            <v>15993000</v>
          </cell>
          <cell r="DC21">
            <v>69355000</v>
          </cell>
          <cell r="DD21">
            <v>19123000</v>
          </cell>
        </row>
      </sheetData>
      <sheetData sheetId="4">
        <row r="1">
          <cell r="B1" t="str">
            <v>601明禮國小</v>
          </cell>
          <cell r="C1" t="str">
            <v>602明義國小</v>
          </cell>
          <cell r="D1" t="str">
            <v>603明廉國小</v>
          </cell>
          <cell r="E1" t="str">
            <v>604明恥國小</v>
          </cell>
          <cell r="F1" t="str">
            <v>605中正國小</v>
          </cell>
          <cell r="G1" t="str">
            <v>606信義國小</v>
          </cell>
          <cell r="H1" t="str">
            <v>607復興國小</v>
          </cell>
          <cell r="I1" t="str">
            <v>608中華國小</v>
          </cell>
          <cell r="J1" t="str">
            <v>609忠孝國小</v>
          </cell>
          <cell r="K1" t="str">
            <v>610北濱國小</v>
          </cell>
          <cell r="L1" t="str">
            <v>611鑄強國小</v>
          </cell>
          <cell r="M1" t="str">
            <v>612國福國小</v>
          </cell>
          <cell r="N1" t="str">
            <v>613新城國小</v>
          </cell>
          <cell r="O1" t="str">
            <v>614北埔國小</v>
          </cell>
          <cell r="P1" t="str">
            <v>615康樂國小</v>
          </cell>
          <cell r="Q1" t="str">
            <v>616嘉里國小</v>
          </cell>
          <cell r="R1" t="str">
            <v>617吉安國小</v>
          </cell>
          <cell r="S1" t="str">
            <v>618宜昌國小</v>
          </cell>
          <cell r="T1" t="str">
            <v>619北昌國小</v>
          </cell>
          <cell r="U1" t="str">
            <v>620光華國小</v>
          </cell>
          <cell r="V1" t="str">
            <v>621稻香國小</v>
          </cell>
          <cell r="W1" t="str">
            <v>622南華國小</v>
          </cell>
          <cell r="X1" t="str">
            <v>623化仁國小</v>
          </cell>
          <cell r="Y1" t="str">
            <v>624太昌國小</v>
          </cell>
          <cell r="Z1" t="str">
            <v>625平和國小</v>
          </cell>
          <cell r="AA1" t="str">
            <v>626壽豐國小</v>
          </cell>
          <cell r="AB1" t="str">
            <v>627豐裡國小</v>
          </cell>
          <cell r="AC1" t="str">
            <v>628豐山國小</v>
          </cell>
          <cell r="AD1" t="str">
            <v>629志學國小</v>
          </cell>
          <cell r="AE1" t="str">
            <v>630月眉國小</v>
          </cell>
          <cell r="AF1" t="str">
            <v>631水璉國小</v>
          </cell>
          <cell r="AG1" t="str">
            <v>632溪口國小</v>
          </cell>
          <cell r="AH1" t="str">
            <v>633鳳林國小</v>
          </cell>
          <cell r="AI1" t="str">
            <v>634大榮國小</v>
          </cell>
          <cell r="AJ1" t="str">
            <v>635林榮國小</v>
          </cell>
          <cell r="AK1" t="str">
            <v>636長橋國小</v>
          </cell>
          <cell r="AL1" t="str">
            <v>638北林國小</v>
          </cell>
          <cell r="AM1" t="str">
            <v>639鳳仁國小</v>
          </cell>
          <cell r="AN1" t="str">
            <v>641光復國小</v>
          </cell>
          <cell r="AO1" t="str">
            <v>642太巴塱國小</v>
          </cell>
          <cell r="AP1" t="str">
            <v>645大進國小</v>
          </cell>
          <cell r="AQ1" t="str">
            <v>647瑞穗國小</v>
          </cell>
          <cell r="AR1" t="str">
            <v>648瑞美國小</v>
          </cell>
          <cell r="AS1" t="str">
            <v>649鶴岡國小</v>
          </cell>
          <cell r="AT1" t="str">
            <v>650舞鶴國小</v>
          </cell>
          <cell r="AU1" t="str">
            <v>651奇美國小</v>
          </cell>
          <cell r="AV1" t="str">
            <v>652富源國小</v>
          </cell>
          <cell r="AW1" t="str">
            <v>653瑞北國小</v>
          </cell>
          <cell r="AX1" t="str">
            <v>654豐濱國小</v>
          </cell>
          <cell r="AY1" t="str">
            <v>655港口國小</v>
          </cell>
          <cell r="AZ1" t="str">
            <v>656靜浦國小</v>
          </cell>
          <cell r="BA1" t="str">
            <v>657新社國小</v>
          </cell>
          <cell r="BB1" t="str">
            <v>658玉里國小</v>
          </cell>
          <cell r="BC1" t="str">
            <v>659源城國小</v>
          </cell>
          <cell r="BD1" t="str">
            <v>660樂合國小</v>
          </cell>
          <cell r="BE1" t="str">
            <v>661觀音國小</v>
          </cell>
          <cell r="BF1" t="str">
            <v>662三民國小</v>
          </cell>
          <cell r="BG1" t="str">
            <v>663春日國小</v>
          </cell>
          <cell r="BH1" t="str">
            <v>664德武國小</v>
          </cell>
          <cell r="BI1" t="str">
            <v>665中城國小</v>
          </cell>
          <cell r="BJ1" t="str">
            <v>666長良國小</v>
          </cell>
          <cell r="BK1" t="str">
            <v>667大禹國小</v>
          </cell>
          <cell r="BL1" t="str">
            <v>668松浦國小</v>
          </cell>
          <cell r="BM1" t="str">
            <v>669高寮國小</v>
          </cell>
          <cell r="BN1" t="str">
            <v>670富里國小</v>
          </cell>
          <cell r="BO1" t="str">
            <v>671萬寧國小</v>
          </cell>
          <cell r="BP1" t="str">
            <v>672永豐國小</v>
          </cell>
          <cell r="BQ1" t="str">
            <v>673學田國小</v>
          </cell>
          <cell r="BR1" t="str">
            <v>674東竹國小</v>
          </cell>
          <cell r="BS1" t="str">
            <v>675東里國小</v>
          </cell>
          <cell r="BT1" t="str">
            <v>676明里國小</v>
          </cell>
          <cell r="BU1" t="str">
            <v>678吳江國小</v>
          </cell>
          <cell r="BV1" t="str">
            <v>679秀林國小</v>
          </cell>
          <cell r="BW1" t="str">
            <v>680富世國小</v>
          </cell>
          <cell r="BX1" t="str">
            <v>681和平國小</v>
          </cell>
          <cell r="BY1" t="str">
            <v>682佳民國小</v>
          </cell>
          <cell r="BZ1" t="str">
            <v>683銅門國小</v>
          </cell>
          <cell r="CA1" t="str">
            <v>684水源國小</v>
          </cell>
          <cell r="CB1" t="str">
            <v>685崇德國小</v>
          </cell>
          <cell r="CC1" t="str">
            <v>686文蘭國小</v>
          </cell>
          <cell r="CD1" t="str">
            <v>687景美國小</v>
          </cell>
          <cell r="CE1" t="str">
            <v>688三棧國小</v>
          </cell>
          <cell r="CF1" t="str">
            <v>689銅蘭國小</v>
          </cell>
          <cell r="CG1" t="str">
            <v>690萬榮國小</v>
          </cell>
          <cell r="CH1" t="str">
            <v>691西林國小</v>
          </cell>
          <cell r="CI1" t="str">
            <v>692見晴國小</v>
          </cell>
          <cell r="CJ1" t="str">
            <v>693馬遠國小</v>
          </cell>
          <cell r="CK1" t="str">
            <v>694紅葉國小</v>
          </cell>
          <cell r="CL1" t="str">
            <v>695明利國小</v>
          </cell>
          <cell r="CM1" t="str">
            <v>696卓溪國小</v>
          </cell>
          <cell r="CN1" t="str">
            <v>697崙山國小</v>
          </cell>
          <cell r="CO1" t="str">
            <v>698太平國小</v>
          </cell>
          <cell r="CP1" t="str">
            <v>699卓清國小</v>
          </cell>
          <cell r="CQ1" t="str">
            <v>700古風國小</v>
          </cell>
          <cell r="CR1" t="str">
            <v>701立山國小</v>
          </cell>
          <cell r="CS1" t="str">
            <v>702卓樂國小</v>
          </cell>
          <cell r="CT1" t="str">
            <v>703卓楓國小</v>
          </cell>
          <cell r="CU1" t="str">
            <v>705西富國小</v>
          </cell>
          <cell r="CV1" t="str">
            <v>706大興國小</v>
          </cell>
          <cell r="CW1" t="str">
            <v>707中原國小</v>
          </cell>
          <cell r="CX1" t="str">
            <v>708西寶國小</v>
          </cell>
        </row>
        <row r="2">
          <cell r="B2">
            <v>4000</v>
          </cell>
          <cell r="C2">
            <v>791000</v>
          </cell>
          <cell r="D2">
            <v>65000</v>
          </cell>
          <cell r="E2">
            <v>323000</v>
          </cell>
          <cell r="F2">
            <v>110000</v>
          </cell>
          <cell r="G2">
            <v>3000</v>
          </cell>
          <cell r="H2">
            <v>155000</v>
          </cell>
          <cell r="I2">
            <v>350000</v>
          </cell>
          <cell r="J2">
            <v>50000</v>
          </cell>
          <cell r="K2">
            <v>10000</v>
          </cell>
          <cell r="L2">
            <v>400000</v>
          </cell>
          <cell r="M2">
            <v>0</v>
          </cell>
          <cell r="N2">
            <v>80000</v>
          </cell>
          <cell r="O2">
            <v>22000</v>
          </cell>
          <cell r="P2">
            <v>5000</v>
          </cell>
          <cell r="Q2">
            <v>25000</v>
          </cell>
          <cell r="R2">
            <v>270000</v>
          </cell>
          <cell r="S2">
            <v>510000</v>
          </cell>
          <cell r="T2">
            <v>80000</v>
          </cell>
          <cell r="U2">
            <v>20000</v>
          </cell>
          <cell r="V2">
            <v>30000</v>
          </cell>
          <cell r="W2">
            <v>15000</v>
          </cell>
          <cell r="X2">
            <v>100000</v>
          </cell>
          <cell r="Y2">
            <v>66000</v>
          </cell>
          <cell r="Z2">
            <v>0</v>
          </cell>
          <cell r="AA2">
            <v>200000</v>
          </cell>
          <cell r="AB2">
            <v>20000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18000</v>
          </cell>
          <cell r="AH2">
            <v>120000</v>
          </cell>
          <cell r="AI2">
            <v>0</v>
          </cell>
          <cell r="AJ2">
            <v>6000</v>
          </cell>
          <cell r="AK2">
            <v>0</v>
          </cell>
          <cell r="AL2">
            <v>0</v>
          </cell>
          <cell r="AM2">
            <v>50000</v>
          </cell>
          <cell r="AN2">
            <v>20000</v>
          </cell>
          <cell r="AO2">
            <v>5000</v>
          </cell>
          <cell r="AP2">
            <v>15000</v>
          </cell>
          <cell r="AQ2">
            <v>35000</v>
          </cell>
          <cell r="AR2">
            <v>83000</v>
          </cell>
          <cell r="AS2">
            <v>0</v>
          </cell>
          <cell r="AT2">
            <v>0</v>
          </cell>
          <cell r="AU2">
            <v>0</v>
          </cell>
          <cell r="AV2">
            <v>5000</v>
          </cell>
          <cell r="AW2">
            <v>0</v>
          </cell>
          <cell r="AX2">
            <v>10000</v>
          </cell>
          <cell r="AY2">
            <v>10000</v>
          </cell>
          <cell r="AZ2">
            <v>0</v>
          </cell>
          <cell r="BA2">
            <v>0</v>
          </cell>
          <cell r="BB2">
            <v>482000</v>
          </cell>
          <cell r="BC2">
            <v>6000</v>
          </cell>
          <cell r="BD2">
            <v>1000</v>
          </cell>
          <cell r="BE2">
            <v>0</v>
          </cell>
          <cell r="BF2">
            <v>3000</v>
          </cell>
          <cell r="BG2">
            <v>0</v>
          </cell>
          <cell r="BH2">
            <v>0</v>
          </cell>
          <cell r="BI2">
            <v>104000</v>
          </cell>
          <cell r="BJ2">
            <v>7000</v>
          </cell>
          <cell r="BK2">
            <v>40000</v>
          </cell>
          <cell r="BL2">
            <v>0</v>
          </cell>
          <cell r="BM2">
            <v>0</v>
          </cell>
          <cell r="BN2">
            <v>90000</v>
          </cell>
          <cell r="BO2">
            <v>0</v>
          </cell>
          <cell r="BP2">
            <v>0</v>
          </cell>
          <cell r="BQ2">
            <v>0</v>
          </cell>
          <cell r="BR2">
            <v>6000</v>
          </cell>
          <cell r="BS2">
            <v>4000</v>
          </cell>
          <cell r="BT2">
            <v>0</v>
          </cell>
          <cell r="BU2">
            <v>8000</v>
          </cell>
          <cell r="BV2">
            <v>38000</v>
          </cell>
          <cell r="BW2">
            <v>10000</v>
          </cell>
          <cell r="BX2">
            <v>60000</v>
          </cell>
          <cell r="BY2">
            <v>50000</v>
          </cell>
          <cell r="BZ2">
            <v>10000</v>
          </cell>
          <cell r="CA2">
            <v>6000</v>
          </cell>
          <cell r="CB2">
            <v>120000</v>
          </cell>
          <cell r="CC2">
            <v>30000</v>
          </cell>
          <cell r="CD2">
            <v>36000</v>
          </cell>
          <cell r="CE2">
            <v>0</v>
          </cell>
          <cell r="CF2">
            <v>6000</v>
          </cell>
          <cell r="CG2">
            <v>30000</v>
          </cell>
          <cell r="CH2">
            <v>10000</v>
          </cell>
          <cell r="CI2">
            <v>3000</v>
          </cell>
          <cell r="CJ2">
            <v>0</v>
          </cell>
          <cell r="CK2">
            <v>5000</v>
          </cell>
          <cell r="CL2">
            <v>60000</v>
          </cell>
          <cell r="CM2">
            <v>15000</v>
          </cell>
          <cell r="CN2">
            <v>0</v>
          </cell>
          <cell r="CO2">
            <v>6000</v>
          </cell>
          <cell r="CP2">
            <v>0</v>
          </cell>
          <cell r="CQ2">
            <v>0</v>
          </cell>
          <cell r="CR2">
            <v>3000</v>
          </cell>
          <cell r="CS2">
            <v>0</v>
          </cell>
          <cell r="CT2">
            <v>0</v>
          </cell>
          <cell r="CU2">
            <v>8000</v>
          </cell>
          <cell r="CV2">
            <v>0</v>
          </cell>
          <cell r="CW2">
            <v>208000</v>
          </cell>
          <cell r="CX2">
            <v>54000</v>
          </cell>
        </row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300000</v>
          </cell>
          <cell r="I3">
            <v>150000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</row>
        <row r="4">
          <cell r="B4">
            <v>6000</v>
          </cell>
          <cell r="C4">
            <v>26000</v>
          </cell>
          <cell r="D4">
            <v>10000</v>
          </cell>
          <cell r="E4">
            <v>5000</v>
          </cell>
          <cell r="F4">
            <v>9000</v>
          </cell>
          <cell r="G4">
            <v>3000</v>
          </cell>
          <cell r="H4">
            <v>5000</v>
          </cell>
          <cell r="I4">
            <v>5000</v>
          </cell>
          <cell r="J4">
            <v>6000</v>
          </cell>
          <cell r="K4">
            <v>3000</v>
          </cell>
          <cell r="L4">
            <v>8000</v>
          </cell>
          <cell r="M4">
            <v>1000</v>
          </cell>
          <cell r="N4">
            <v>2000</v>
          </cell>
          <cell r="O4">
            <v>2000</v>
          </cell>
          <cell r="P4">
            <v>2000</v>
          </cell>
          <cell r="Q4">
            <v>2000</v>
          </cell>
          <cell r="R4">
            <v>2000</v>
          </cell>
          <cell r="S4">
            <v>5000</v>
          </cell>
          <cell r="T4">
            <v>2000</v>
          </cell>
          <cell r="U4">
            <v>1000</v>
          </cell>
          <cell r="V4">
            <v>2000</v>
          </cell>
          <cell r="W4">
            <v>1000</v>
          </cell>
          <cell r="X4">
            <v>10000</v>
          </cell>
          <cell r="Y4">
            <v>2000</v>
          </cell>
          <cell r="Z4">
            <v>1000</v>
          </cell>
          <cell r="AC4">
            <v>2000</v>
          </cell>
          <cell r="AD4">
            <v>2000</v>
          </cell>
          <cell r="AE4">
            <v>1000</v>
          </cell>
          <cell r="AF4">
            <v>2000</v>
          </cell>
          <cell r="AG4">
            <v>1000</v>
          </cell>
          <cell r="AH4">
            <v>2000</v>
          </cell>
          <cell r="AI4">
            <v>1000</v>
          </cell>
          <cell r="AJ4">
            <v>1000</v>
          </cell>
          <cell r="AK4">
            <v>1000</v>
          </cell>
          <cell r="AL4">
            <v>1000</v>
          </cell>
          <cell r="AM4">
            <v>1000</v>
          </cell>
          <cell r="AN4">
            <v>1000</v>
          </cell>
          <cell r="AO4">
            <v>1000</v>
          </cell>
          <cell r="AP4">
            <v>1000</v>
          </cell>
          <cell r="AQ4">
            <v>2000</v>
          </cell>
          <cell r="AR4">
            <v>2000</v>
          </cell>
          <cell r="AS4">
            <v>1000</v>
          </cell>
          <cell r="AT4">
            <v>1000</v>
          </cell>
          <cell r="AV4">
            <v>1000</v>
          </cell>
          <cell r="AX4">
            <v>1000</v>
          </cell>
          <cell r="AY4">
            <v>1000</v>
          </cell>
          <cell r="AZ4">
            <v>1000</v>
          </cell>
          <cell r="BB4">
            <v>5000</v>
          </cell>
          <cell r="BC4">
            <v>1000</v>
          </cell>
          <cell r="BD4">
            <v>1000</v>
          </cell>
          <cell r="BE4">
            <v>1000</v>
          </cell>
          <cell r="BG4">
            <v>2000</v>
          </cell>
          <cell r="BI4">
            <v>2000</v>
          </cell>
          <cell r="BJ4">
            <v>1000</v>
          </cell>
          <cell r="BK4">
            <v>1000</v>
          </cell>
          <cell r="BL4">
            <v>2000</v>
          </cell>
          <cell r="BM4">
            <v>1000</v>
          </cell>
          <cell r="BN4">
            <v>2000</v>
          </cell>
          <cell r="BP4">
            <v>1000</v>
          </cell>
          <cell r="BQ4">
            <v>1000</v>
          </cell>
          <cell r="BS4">
            <v>1000</v>
          </cell>
          <cell r="BT4">
            <v>1000</v>
          </cell>
          <cell r="BU4">
            <v>1000</v>
          </cell>
          <cell r="BV4">
            <v>2000</v>
          </cell>
          <cell r="BW4">
            <v>1000</v>
          </cell>
          <cell r="BX4">
            <v>7000</v>
          </cell>
          <cell r="BY4">
            <v>1000</v>
          </cell>
          <cell r="BZ4">
            <v>1000</v>
          </cell>
          <cell r="CA4">
            <v>3000</v>
          </cell>
          <cell r="CB4">
            <v>1000</v>
          </cell>
          <cell r="CC4">
            <v>2000</v>
          </cell>
          <cell r="CD4">
            <v>1000</v>
          </cell>
          <cell r="CE4">
            <v>1000</v>
          </cell>
          <cell r="CG4">
            <v>1000</v>
          </cell>
          <cell r="CH4">
            <v>1000</v>
          </cell>
          <cell r="CI4">
            <v>2000</v>
          </cell>
          <cell r="CK4">
            <v>1000</v>
          </cell>
          <cell r="CM4">
            <v>1000</v>
          </cell>
          <cell r="CN4">
            <v>1000</v>
          </cell>
          <cell r="CO4">
            <v>1000</v>
          </cell>
          <cell r="CP4">
            <v>2000</v>
          </cell>
          <cell r="CQ4">
            <v>1000</v>
          </cell>
          <cell r="CR4">
            <v>1000</v>
          </cell>
          <cell r="CS4">
            <v>1000</v>
          </cell>
          <cell r="CT4">
            <v>1000</v>
          </cell>
          <cell r="CV4">
            <v>1000</v>
          </cell>
          <cell r="CW4">
            <v>8000</v>
          </cell>
          <cell r="CX4">
            <v>1000</v>
          </cell>
        </row>
        <row r="5">
          <cell r="B5">
            <v>54128000</v>
          </cell>
          <cell r="C5">
            <v>226511000</v>
          </cell>
          <cell r="D5">
            <v>95886000</v>
          </cell>
          <cell r="E5">
            <v>65059000</v>
          </cell>
          <cell r="F5">
            <v>137737000</v>
          </cell>
          <cell r="G5">
            <v>29270000</v>
          </cell>
          <cell r="H5">
            <v>37004000</v>
          </cell>
          <cell r="I5">
            <v>60374000</v>
          </cell>
          <cell r="J5">
            <v>77268000</v>
          </cell>
          <cell r="K5">
            <v>25720000</v>
          </cell>
          <cell r="L5">
            <v>94880000</v>
          </cell>
          <cell r="M5">
            <v>28252000</v>
          </cell>
          <cell r="N5">
            <v>49035000</v>
          </cell>
          <cell r="O5">
            <v>75721000</v>
          </cell>
          <cell r="P5">
            <v>28194000</v>
          </cell>
          <cell r="Q5">
            <v>26550000</v>
          </cell>
          <cell r="R5">
            <v>61284000</v>
          </cell>
          <cell r="S5">
            <v>150749000</v>
          </cell>
          <cell r="T5">
            <v>109593000</v>
          </cell>
          <cell r="U5">
            <v>32023000</v>
          </cell>
          <cell r="V5">
            <v>56775000</v>
          </cell>
          <cell r="W5">
            <v>30688000</v>
          </cell>
          <cell r="X5">
            <v>56645000</v>
          </cell>
          <cell r="Y5">
            <v>68415000</v>
          </cell>
          <cell r="Z5">
            <v>25563000</v>
          </cell>
          <cell r="AA5">
            <v>34374000</v>
          </cell>
          <cell r="AB5">
            <v>22996000</v>
          </cell>
          <cell r="AC5">
            <v>26552000</v>
          </cell>
          <cell r="AD5">
            <v>29659000</v>
          </cell>
          <cell r="AE5">
            <v>22067000</v>
          </cell>
          <cell r="AF5">
            <v>24114000</v>
          </cell>
          <cell r="AG5">
            <v>20863000</v>
          </cell>
          <cell r="AH5">
            <v>50626000</v>
          </cell>
          <cell r="AI5">
            <v>25558000</v>
          </cell>
          <cell r="AJ5">
            <v>21044000</v>
          </cell>
          <cell r="AK5">
            <v>25391000</v>
          </cell>
          <cell r="AL5">
            <v>24140000</v>
          </cell>
          <cell r="AM5">
            <v>30923000</v>
          </cell>
          <cell r="AN5">
            <v>34912000</v>
          </cell>
          <cell r="AO5">
            <v>28905000</v>
          </cell>
          <cell r="AP5">
            <v>30385000</v>
          </cell>
          <cell r="AQ5">
            <v>51981000</v>
          </cell>
          <cell r="AR5">
            <v>23564000</v>
          </cell>
          <cell r="AS5">
            <v>15561000</v>
          </cell>
          <cell r="AT5">
            <v>16364000</v>
          </cell>
          <cell r="AU5">
            <v>22724000</v>
          </cell>
          <cell r="AV5">
            <v>22980000</v>
          </cell>
          <cell r="AW5">
            <v>20831000</v>
          </cell>
          <cell r="AX5">
            <v>25935000</v>
          </cell>
          <cell r="AY5">
            <v>13996000</v>
          </cell>
          <cell r="AZ5">
            <v>19656000</v>
          </cell>
          <cell r="BA5">
            <v>20475000</v>
          </cell>
          <cell r="BB5">
            <v>78169000</v>
          </cell>
          <cell r="BC5">
            <v>26369000</v>
          </cell>
          <cell r="BD5">
            <v>25601000</v>
          </cell>
          <cell r="BE5">
            <v>17013000</v>
          </cell>
          <cell r="BF5">
            <v>17946000</v>
          </cell>
          <cell r="BG5">
            <v>20043000</v>
          </cell>
          <cell r="BH5">
            <v>15299000</v>
          </cell>
          <cell r="BI5">
            <v>52663000</v>
          </cell>
          <cell r="BJ5">
            <v>17534000</v>
          </cell>
          <cell r="BK5">
            <v>24972000</v>
          </cell>
          <cell r="BL5">
            <v>23250000</v>
          </cell>
          <cell r="BM5">
            <v>20822000</v>
          </cell>
          <cell r="BN5">
            <v>27567000</v>
          </cell>
          <cell r="BO5">
            <v>16555000</v>
          </cell>
          <cell r="BP5">
            <v>16016000</v>
          </cell>
          <cell r="BQ5">
            <v>18598000</v>
          </cell>
          <cell r="BR5">
            <v>20175000</v>
          </cell>
          <cell r="BS5">
            <v>21013000</v>
          </cell>
          <cell r="BT5">
            <v>23866000</v>
          </cell>
          <cell r="BU5">
            <v>18724000</v>
          </cell>
          <cell r="BV5">
            <v>32418000</v>
          </cell>
          <cell r="BW5">
            <v>29221000</v>
          </cell>
          <cell r="BX5">
            <v>27352000</v>
          </cell>
          <cell r="BY5">
            <v>22792000</v>
          </cell>
          <cell r="BZ5">
            <v>27531000</v>
          </cell>
          <cell r="CA5">
            <v>32656000</v>
          </cell>
          <cell r="CB5">
            <v>24527000</v>
          </cell>
          <cell r="CC5">
            <v>29528000</v>
          </cell>
          <cell r="CD5">
            <v>27465000</v>
          </cell>
          <cell r="CE5">
            <v>27139000</v>
          </cell>
          <cell r="CF5">
            <v>27068000</v>
          </cell>
          <cell r="CG5">
            <v>29993000</v>
          </cell>
          <cell r="CH5">
            <v>28259000</v>
          </cell>
          <cell r="CI5">
            <v>26335000</v>
          </cell>
          <cell r="CJ5">
            <v>28617000</v>
          </cell>
          <cell r="CK5">
            <v>27609000</v>
          </cell>
          <cell r="CL5">
            <v>29242000</v>
          </cell>
          <cell r="CM5">
            <v>27888000</v>
          </cell>
          <cell r="CN5">
            <v>24379000</v>
          </cell>
          <cell r="CO5">
            <v>27345000</v>
          </cell>
          <cell r="CP5">
            <v>25330000</v>
          </cell>
          <cell r="CQ5">
            <v>26653000</v>
          </cell>
          <cell r="CR5">
            <v>25278000</v>
          </cell>
          <cell r="CS5">
            <v>22641000</v>
          </cell>
          <cell r="CT5">
            <v>19520000</v>
          </cell>
          <cell r="CU5">
            <v>17903000</v>
          </cell>
          <cell r="CV5">
            <v>16720000</v>
          </cell>
          <cell r="CW5">
            <v>74409000</v>
          </cell>
          <cell r="CX5">
            <v>20500000</v>
          </cell>
        </row>
      </sheetData>
      <sheetData sheetId="5">
        <row r="3">
          <cell r="A3" t="str">
            <v>場租收支對列</v>
          </cell>
          <cell r="B3" t="str">
            <v>601明禮國小</v>
          </cell>
          <cell r="C3" t="str">
            <v>602明義國小</v>
          </cell>
          <cell r="D3" t="str">
            <v>603明廉國小</v>
          </cell>
          <cell r="E3" t="str">
            <v>604明恥國小</v>
          </cell>
          <cell r="F3" t="str">
            <v>605中正國小</v>
          </cell>
          <cell r="G3" t="str">
            <v>606信義國小</v>
          </cell>
          <cell r="H3" t="str">
            <v>607復興國小</v>
          </cell>
          <cell r="I3" t="str">
            <v>608中華國小</v>
          </cell>
          <cell r="J3" t="str">
            <v>609忠孝國小</v>
          </cell>
          <cell r="K3" t="str">
            <v>610北濱國小</v>
          </cell>
          <cell r="L3" t="str">
            <v>611鑄強國小</v>
          </cell>
          <cell r="M3" t="str">
            <v>612國福國小</v>
          </cell>
          <cell r="N3" t="str">
            <v>613新城國小</v>
          </cell>
          <cell r="O3" t="str">
            <v>614北埔國小</v>
          </cell>
          <cell r="P3" t="str">
            <v>615康樂國小</v>
          </cell>
          <cell r="Q3" t="str">
            <v>616嘉里國小</v>
          </cell>
          <cell r="R3" t="str">
            <v>617吉安國小</v>
          </cell>
          <cell r="S3" t="str">
            <v>618宜昌國小</v>
          </cell>
          <cell r="T3" t="str">
            <v>619北昌國小</v>
          </cell>
          <cell r="U3" t="str">
            <v>620光華國小</v>
          </cell>
          <cell r="V3" t="str">
            <v>621稻香國小</v>
          </cell>
          <cell r="W3" t="str">
            <v>622南華國小</v>
          </cell>
          <cell r="X3" t="str">
            <v>623化仁國小</v>
          </cell>
          <cell r="Y3" t="str">
            <v>624太昌國小</v>
          </cell>
          <cell r="Z3" t="str">
            <v>625平和國小</v>
          </cell>
          <cell r="AA3" t="str">
            <v>626壽豐國小</v>
          </cell>
          <cell r="AB3" t="str">
            <v>627豐裡國小</v>
          </cell>
          <cell r="AC3" t="str">
            <v>628豐山國小</v>
          </cell>
          <cell r="AD3" t="str">
            <v>629志學國小</v>
          </cell>
          <cell r="AE3" t="str">
            <v>630月眉國小</v>
          </cell>
          <cell r="AF3" t="str">
            <v>631水璉國小</v>
          </cell>
          <cell r="AG3" t="str">
            <v>632溪口國小</v>
          </cell>
          <cell r="AH3" t="str">
            <v>633鳳林國小</v>
          </cell>
          <cell r="AI3" t="str">
            <v>634大榮國小</v>
          </cell>
          <cell r="AJ3" t="str">
            <v>635林榮國小</v>
          </cell>
          <cell r="AK3" t="str">
            <v>636長橋國小</v>
          </cell>
          <cell r="AL3" t="str">
            <v>638北林國小</v>
          </cell>
          <cell r="AM3" t="str">
            <v>639鳳仁國小</v>
          </cell>
          <cell r="AN3" t="str">
            <v>641光復國小</v>
          </cell>
          <cell r="AO3" t="str">
            <v>642太巴塱國小</v>
          </cell>
          <cell r="AP3" t="str">
            <v>645大進國小</v>
          </cell>
          <cell r="AQ3" t="str">
            <v>647瑞穗國小</v>
          </cell>
          <cell r="AR3" t="str">
            <v>648瑞美國小</v>
          </cell>
          <cell r="AS3" t="str">
            <v>649鶴岡國小</v>
          </cell>
          <cell r="AT3" t="str">
            <v>650舞鶴國小</v>
          </cell>
          <cell r="AU3" t="str">
            <v>651奇美國小</v>
          </cell>
          <cell r="AV3" t="str">
            <v>652富源國小</v>
          </cell>
          <cell r="AW3" t="str">
            <v>653瑞北國小</v>
          </cell>
          <cell r="AX3" t="str">
            <v>654豐濱國小</v>
          </cell>
          <cell r="AY3" t="str">
            <v>655港口國小</v>
          </cell>
          <cell r="AZ3" t="str">
            <v>656靜浦國小</v>
          </cell>
          <cell r="BA3" t="str">
            <v>657新社國小</v>
          </cell>
          <cell r="BB3" t="str">
            <v>658玉里國小</v>
          </cell>
          <cell r="BC3" t="str">
            <v>659源城國小</v>
          </cell>
          <cell r="BD3" t="str">
            <v>660樂合國小</v>
          </cell>
          <cell r="BE3" t="str">
            <v>661觀音國小</v>
          </cell>
          <cell r="BF3" t="str">
            <v>662三民國小</v>
          </cell>
          <cell r="BG3" t="str">
            <v>663春日國小</v>
          </cell>
          <cell r="BH3" t="str">
            <v>664德武國小</v>
          </cell>
          <cell r="BI3" t="str">
            <v>665中城國小</v>
          </cell>
          <cell r="BJ3" t="str">
            <v>666長良國小</v>
          </cell>
          <cell r="BK3" t="str">
            <v>667大禹國小</v>
          </cell>
          <cell r="BL3" t="str">
            <v>668松浦國小</v>
          </cell>
          <cell r="BM3" t="str">
            <v>669高寮國小</v>
          </cell>
          <cell r="BN3" t="str">
            <v>670富里國小</v>
          </cell>
          <cell r="BO3" t="str">
            <v>671萬寧國小</v>
          </cell>
          <cell r="BP3" t="str">
            <v>672永豐國小</v>
          </cell>
          <cell r="BQ3" t="str">
            <v>673學田國小</v>
          </cell>
          <cell r="BR3" t="str">
            <v>674東竹國小</v>
          </cell>
          <cell r="BS3" t="str">
            <v>675東里國小</v>
          </cell>
          <cell r="BT3" t="str">
            <v>676明里國小</v>
          </cell>
          <cell r="BU3" t="str">
            <v>678吳江國小</v>
          </cell>
          <cell r="BV3" t="str">
            <v>679秀林國小</v>
          </cell>
          <cell r="BW3" t="str">
            <v>680富世國小</v>
          </cell>
          <cell r="BX3" t="str">
            <v>681和平國小</v>
          </cell>
          <cell r="BY3" t="str">
            <v>682佳民國小</v>
          </cell>
          <cell r="BZ3" t="str">
            <v>683銅門國小</v>
          </cell>
          <cell r="CA3" t="str">
            <v>684水源國小</v>
          </cell>
          <cell r="CB3" t="str">
            <v>685崇德國小</v>
          </cell>
          <cell r="CC3" t="str">
            <v>686文蘭國小</v>
          </cell>
          <cell r="CD3" t="str">
            <v>687景美國小</v>
          </cell>
          <cell r="CE3" t="str">
            <v>688三棧國小</v>
          </cell>
          <cell r="CF3" t="str">
            <v>689銅蘭國小</v>
          </cell>
          <cell r="CG3" t="str">
            <v>690萬榮國小</v>
          </cell>
          <cell r="CH3" t="str">
            <v>691西林國小</v>
          </cell>
          <cell r="CI3" t="str">
            <v>692見晴國小</v>
          </cell>
          <cell r="CJ3" t="str">
            <v>693馬遠國小</v>
          </cell>
          <cell r="CK3" t="str">
            <v>694紅葉國小</v>
          </cell>
          <cell r="CL3" t="str">
            <v>695明利國小</v>
          </cell>
          <cell r="CM3" t="str">
            <v>696卓溪國小</v>
          </cell>
          <cell r="CN3" t="str">
            <v>697崙山國小</v>
          </cell>
          <cell r="CO3" t="str">
            <v>698太平國小</v>
          </cell>
          <cell r="CP3" t="str">
            <v>699卓清國小</v>
          </cell>
          <cell r="CQ3" t="str">
            <v>700古風國小</v>
          </cell>
          <cell r="CR3" t="str">
            <v>701立山國小</v>
          </cell>
          <cell r="CS3" t="str">
            <v>702卓樂國小</v>
          </cell>
          <cell r="CT3" t="str">
            <v>703卓楓國小</v>
          </cell>
          <cell r="CU3" t="str">
            <v>705西富國小</v>
          </cell>
          <cell r="CV3" t="str">
            <v>706大興國小</v>
          </cell>
          <cell r="CW3" t="str">
            <v>707中原國小</v>
          </cell>
          <cell r="CX3" t="str">
            <v>708西寶國小</v>
          </cell>
        </row>
        <row r="4">
          <cell r="A4">
            <v>1</v>
          </cell>
          <cell r="B4">
            <v>0</v>
          </cell>
          <cell r="C4">
            <v>0</v>
          </cell>
          <cell r="D4">
            <v>10</v>
          </cell>
          <cell r="E4">
            <v>20</v>
          </cell>
          <cell r="F4">
            <v>0</v>
          </cell>
          <cell r="G4">
            <v>0</v>
          </cell>
          <cell r="H4">
            <v>10</v>
          </cell>
          <cell r="I4">
            <v>30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5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10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4</v>
          </cell>
        </row>
        <row r="5">
          <cell r="A5">
            <v>2</v>
          </cell>
          <cell r="B5">
            <v>0</v>
          </cell>
          <cell r="C5">
            <v>600</v>
          </cell>
          <cell r="D5">
            <v>50</v>
          </cell>
          <cell r="E5">
            <v>255</v>
          </cell>
          <cell r="F5">
            <v>100</v>
          </cell>
          <cell r="G5">
            <v>3</v>
          </cell>
          <cell r="H5">
            <v>0</v>
          </cell>
          <cell r="I5">
            <v>220</v>
          </cell>
          <cell r="J5">
            <v>50</v>
          </cell>
          <cell r="K5">
            <v>0</v>
          </cell>
          <cell r="L5">
            <v>350</v>
          </cell>
          <cell r="M5">
            <v>0</v>
          </cell>
          <cell r="N5">
            <v>20</v>
          </cell>
          <cell r="O5">
            <v>20</v>
          </cell>
          <cell r="P5">
            <v>0</v>
          </cell>
          <cell r="Q5">
            <v>15</v>
          </cell>
          <cell r="R5">
            <v>215</v>
          </cell>
          <cell r="S5">
            <v>350</v>
          </cell>
          <cell r="T5">
            <v>75</v>
          </cell>
          <cell r="U5">
            <v>8</v>
          </cell>
          <cell r="V5">
            <v>30</v>
          </cell>
          <cell r="W5">
            <v>15</v>
          </cell>
          <cell r="X5">
            <v>100</v>
          </cell>
          <cell r="Y5">
            <v>30</v>
          </cell>
          <cell r="Z5">
            <v>0</v>
          </cell>
          <cell r="AA5">
            <v>150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18</v>
          </cell>
          <cell r="AH5">
            <v>90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50</v>
          </cell>
          <cell r="AN5">
            <v>20</v>
          </cell>
          <cell r="AO5">
            <v>5</v>
          </cell>
          <cell r="AP5">
            <v>15</v>
          </cell>
          <cell r="AQ5">
            <v>20</v>
          </cell>
          <cell r="AR5">
            <v>10</v>
          </cell>
          <cell r="AS5">
            <v>0</v>
          </cell>
          <cell r="AT5">
            <v>0</v>
          </cell>
          <cell r="AU5">
            <v>0</v>
          </cell>
          <cell r="AV5">
            <v>5</v>
          </cell>
          <cell r="AW5">
            <v>0</v>
          </cell>
          <cell r="AX5">
            <v>10</v>
          </cell>
          <cell r="AY5">
            <v>10</v>
          </cell>
          <cell r="AZ5">
            <v>0</v>
          </cell>
          <cell r="BA5">
            <v>0</v>
          </cell>
          <cell r="BB5">
            <v>310</v>
          </cell>
          <cell r="BC5">
            <v>0</v>
          </cell>
          <cell r="BD5">
            <v>0</v>
          </cell>
          <cell r="BE5">
            <v>0</v>
          </cell>
          <cell r="BF5">
            <v>3</v>
          </cell>
          <cell r="BG5">
            <v>0</v>
          </cell>
          <cell r="BH5">
            <v>0</v>
          </cell>
          <cell r="BI5">
            <v>60</v>
          </cell>
          <cell r="BJ5">
            <v>0</v>
          </cell>
          <cell r="BK5">
            <v>6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6</v>
          </cell>
          <cell r="BS5">
            <v>4</v>
          </cell>
          <cell r="BT5">
            <v>0</v>
          </cell>
          <cell r="BU5">
            <v>0</v>
          </cell>
          <cell r="BV5">
            <v>35</v>
          </cell>
          <cell r="BW5">
            <v>0</v>
          </cell>
          <cell r="BX5">
            <v>30</v>
          </cell>
          <cell r="BY5">
            <v>0</v>
          </cell>
          <cell r="BZ5">
            <v>0</v>
          </cell>
          <cell r="CA5">
            <v>6</v>
          </cell>
          <cell r="CB5">
            <v>80</v>
          </cell>
          <cell r="CC5">
            <v>15</v>
          </cell>
          <cell r="CD5">
            <v>36</v>
          </cell>
          <cell r="CE5">
            <v>0</v>
          </cell>
          <cell r="CF5">
            <v>6</v>
          </cell>
          <cell r="CG5">
            <v>30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15</v>
          </cell>
          <cell r="CN5">
            <v>0</v>
          </cell>
          <cell r="CO5">
            <v>3</v>
          </cell>
          <cell r="CP5">
            <v>0</v>
          </cell>
          <cell r="CQ5">
            <v>0</v>
          </cell>
          <cell r="CR5">
            <v>3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200</v>
          </cell>
          <cell r="CX5">
            <v>41</v>
          </cell>
        </row>
        <row r="6">
          <cell r="A6">
            <v>3</v>
          </cell>
          <cell r="B6">
            <v>4</v>
          </cell>
          <cell r="C6">
            <v>0</v>
          </cell>
          <cell r="D6">
            <v>0</v>
          </cell>
          <cell r="E6">
            <v>35</v>
          </cell>
          <cell r="F6">
            <v>0</v>
          </cell>
          <cell r="G6">
            <v>0</v>
          </cell>
          <cell r="H6">
            <v>100</v>
          </cell>
          <cell r="I6">
            <v>50</v>
          </cell>
          <cell r="J6">
            <v>0</v>
          </cell>
          <cell r="K6">
            <v>10</v>
          </cell>
          <cell r="L6">
            <v>15</v>
          </cell>
          <cell r="M6">
            <v>0</v>
          </cell>
          <cell r="N6">
            <v>0</v>
          </cell>
          <cell r="O6">
            <v>0</v>
          </cell>
          <cell r="P6">
            <v>5</v>
          </cell>
          <cell r="Q6">
            <v>10</v>
          </cell>
          <cell r="R6">
            <v>50</v>
          </cell>
          <cell r="S6">
            <v>100</v>
          </cell>
          <cell r="T6">
            <v>0</v>
          </cell>
          <cell r="U6">
            <v>12</v>
          </cell>
          <cell r="V6">
            <v>0</v>
          </cell>
          <cell r="W6">
            <v>0</v>
          </cell>
          <cell r="X6">
            <v>0</v>
          </cell>
          <cell r="Y6">
            <v>30</v>
          </cell>
          <cell r="Z6">
            <v>0</v>
          </cell>
          <cell r="AA6">
            <v>50</v>
          </cell>
          <cell r="AB6">
            <v>20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30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80</v>
          </cell>
          <cell r="BC6">
            <v>6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30</v>
          </cell>
          <cell r="BJ6">
            <v>7</v>
          </cell>
          <cell r="BK6">
            <v>0</v>
          </cell>
          <cell r="BL6">
            <v>0</v>
          </cell>
          <cell r="BM6">
            <v>0</v>
          </cell>
          <cell r="BN6">
            <v>40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10</v>
          </cell>
          <cell r="BX6">
            <v>0</v>
          </cell>
          <cell r="BY6">
            <v>50</v>
          </cell>
          <cell r="BZ6">
            <v>10</v>
          </cell>
          <cell r="CA6">
            <v>0</v>
          </cell>
          <cell r="CB6">
            <v>0</v>
          </cell>
          <cell r="CC6">
            <v>15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10</v>
          </cell>
          <cell r="CI6">
            <v>3</v>
          </cell>
          <cell r="CJ6">
            <v>0</v>
          </cell>
          <cell r="CK6">
            <v>5</v>
          </cell>
          <cell r="CL6">
            <v>60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5</v>
          </cell>
        </row>
        <row r="7">
          <cell r="A7">
            <v>514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50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</row>
        <row r="8">
          <cell r="A8">
            <v>516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40</v>
          </cell>
          <cell r="I8">
            <v>0</v>
          </cell>
          <cell r="J8">
            <v>0</v>
          </cell>
          <cell r="K8">
            <v>0</v>
          </cell>
          <cell r="L8">
            <v>35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50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</row>
        <row r="14">
          <cell r="A14" t="str">
            <v>移用留存數</v>
          </cell>
          <cell r="B14" t="str">
            <v>601明禮國小</v>
          </cell>
          <cell r="C14" t="str">
            <v>602明義國小</v>
          </cell>
          <cell r="D14" t="str">
            <v>603明廉國小</v>
          </cell>
          <cell r="E14" t="str">
            <v>604明恥國小</v>
          </cell>
          <cell r="F14" t="str">
            <v>605中正國小</v>
          </cell>
          <cell r="G14" t="str">
            <v>606信義國小</v>
          </cell>
          <cell r="H14" t="str">
            <v>607復興國小</v>
          </cell>
          <cell r="I14" t="str">
            <v>608中華國小</v>
          </cell>
          <cell r="J14" t="str">
            <v>609忠孝國小</v>
          </cell>
          <cell r="K14" t="str">
            <v>610北濱國小</v>
          </cell>
          <cell r="L14" t="str">
            <v>611鑄強國小</v>
          </cell>
          <cell r="M14" t="str">
            <v>612國福國小</v>
          </cell>
          <cell r="N14" t="str">
            <v>613新城國小</v>
          </cell>
          <cell r="O14" t="str">
            <v>614北埔國小</v>
          </cell>
          <cell r="P14" t="str">
            <v>615康樂國小</v>
          </cell>
          <cell r="Q14" t="str">
            <v>616嘉里國小</v>
          </cell>
          <cell r="R14" t="str">
            <v>617吉安國小</v>
          </cell>
          <cell r="S14" t="str">
            <v>618宜昌國小</v>
          </cell>
          <cell r="T14" t="str">
            <v>619北昌國小</v>
          </cell>
          <cell r="U14" t="str">
            <v>620光華國小</v>
          </cell>
          <cell r="V14" t="str">
            <v>621稻香國小</v>
          </cell>
          <cell r="W14" t="str">
            <v>622南華國小</v>
          </cell>
          <cell r="X14" t="str">
            <v>623化仁國小</v>
          </cell>
          <cell r="Y14" t="str">
            <v>624太昌國小</v>
          </cell>
          <cell r="Z14" t="str">
            <v>625平和國小</v>
          </cell>
          <cell r="AA14" t="str">
            <v>626壽豐國小</v>
          </cell>
          <cell r="AB14" t="str">
            <v>627豐裡國小</v>
          </cell>
          <cell r="AC14" t="str">
            <v>628豐山國小</v>
          </cell>
          <cell r="AD14" t="str">
            <v>629志學國小</v>
          </cell>
          <cell r="AE14" t="str">
            <v>630月眉國小</v>
          </cell>
          <cell r="AF14" t="str">
            <v>631水璉國小</v>
          </cell>
          <cell r="AG14" t="str">
            <v>632溪口國小</v>
          </cell>
          <cell r="AH14" t="str">
            <v>633鳳林國小</v>
          </cell>
          <cell r="AI14" t="str">
            <v>634大榮國小</v>
          </cell>
          <cell r="AJ14" t="str">
            <v>635林榮國小</v>
          </cell>
          <cell r="AK14" t="str">
            <v>636長橋國小</v>
          </cell>
          <cell r="AL14" t="str">
            <v>638北林國小</v>
          </cell>
          <cell r="AM14" t="str">
            <v>639鳳仁國小</v>
          </cell>
          <cell r="AN14" t="str">
            <v>641光復國小</v>
          </cell>
          <cell r="AO14" t="str">
            <v>642太巴塱國小</v>
          </cell>
          <cell r="AP14" t="str">
            <v>645大進國小</v>
          </cell>
          <cell r="AQ14" t="str">
            <v>647瑞穗國小</v>
          </cell>
          <cell r="AR14" t="str">
            <v>648瑞美國小</v>
          </cell>
          <cell r="AS14" t="str">
            <v>649鶴岡國小</v>
          </cell>
          <cell r="AT14" t="str">
            <v>650舞鶴國小</v>
          </cell>
          <cell r="AU14" t="str">
            <v>651奇美國小</v>
          </cell>
          <cell r="AV14" t="str">
            <v>652富源國小</v>
          </cell>
          <cell r="AW14" t="str">
            <v>653瑞北國小</v>
          </cell>
          <cell r="AX14" t="str">
            <v>654豐濱國小</v>
          </cell>
          <cell r="AY14" t="str">
            <v>655港口國小</v>
          </cell>
          <cell r="AZ14" t="str">
            <v>656靜浦國小</v>
          </cell>
          <cell r="BA14" t="str">
            <v>657新社國小</v>
          </cell>
          <cell r="BB14" t="str">
            <v>658玉里國小</v>
          </cell>
          <cell r="BC14" t="str">
            <v>659源城國小</v>
          </cell>
          <cell r="BD14" t="str">
            <v>660樂合國小</v>
          </cell>
          <cell r="BE14" t="str">
            <v>661觀音國小</v>
          </cell>
          <cell r="BF14" t="str">
            <v>662三民國小</v>
          </cell>
          <cell r="BG14" t="str">
            <v>663春日國小</v>
          </cell>
          <cell r="BH14" t="str">
            <v>664德武國小</v>
          </cell>
          <cell r="BI14" t="str">
            <v>665中城國小</v>
          </cell>
          <cell r="BJ14" t="str">
            <v>666長良國小</v>
          </cell>
          <cell r="BK14" t="str">
            <v>667大禹國小</v>
          </cell>
          <cell r="BL14" t="str">
            <v>668松浦國小</v>
          </cell>
          <cell r="BM14" t="str">
            <v>669高寮國小</v>
          </cell>
          <cell r="BN14" t="str">
            <v>670富里國小</v>
          </cell>
          <cell r="BO14" t="str">
            <v>671萬寧國小</v>
          </cell>
          <cell r="BP14" t="str">
            <v>672永豐國小</v>
          </cell>
          <cell r="BQ14" t="str">
            <v>673學田國小</v>
          </cell>
          <cell r="BR14" t="str">
            <v>674東竹國小</v>
          </cell>
          <cell r="BS14" t="str">
            <v>675東里國小</v>
          </cell>
          <cell r="BT14" t="str">
            <v>676明里國小</v>
          </cell>
          <cell r="BU14" t="str">
            <v>678吳江國小</v>
          </cell>
          <cell r="BV14" t="str">
            <v>679秀林國小</v>
          </cell>
          <cell r="BW14" t="str">
            <v>680富世國小</v>
          </cell>
          <cell r="BX14" t="str">
            <v>681和平國小</v>
          </cell>
          <cell r="BY14" t="str">
            <v>682佳民國小</v>
          </cell>
          <cell r="BZ14" t="str">
            <v>683銅門國小</v>
          </cell>
          <cell r="CA14" t="str">
            <v>684水源國小</v>
          </cell>
          <cell r="CB14" t="str">
            <v>685崇德國小</v>
          </cell>
          <cell r="CC14" t="str">
            <v>686文蘭國小</v>
          </cell>
          <cell r="CD14" t="str">
            <v>687景美國小</v>
          </cell>
          <cell r="CE14" t="str">
            <v>688三棧國小</v>
          </cell>
          <cell r="CF14" t="str">
            <v>689銅蘭國小</v>
          </cell>
          <cell r="CG14" t="str">
            <v>690萬榮國小</v>
          </cell>
          <cell r="CH14" t="str">
            <v>691西林國小</v>
          </cell>
          <cell r="CI14" t="str">
            <v>692見晴國小</v>
          </cell>
          <cell r="CJ14" t="str">
            <v>693馬遠國小</v>
          </cell>
          <cell r="CK14" t="str">
            <v>694紅葉國小</v>
          </cell>
          <cell r="CL14" t="str">
            <v>695明利國小</v>
          </cell>
          <cell r="CM14" t="str">
            <v>696卓溪國小</v>
          </cell>
          <cell r="CN14" t="str">
            <v>697崙山國小</v>
          </cell>
          <cell r="CO14" t="str">
            <v>698太平國小</v>
          </cell>
          <cell r="CP14" t="str">
            <v>699卓清國小</v>
          </cell>
          <cell r="CQ14" t="str">
            <v>700古風國小</v>
          </cell>
          <cell r="CR14" t="str">
            <v>701立山國小</v>
          </cell>
          <cell r="CS14" t="str">
            <v>702卓樂國小</v>
          </cell>
          <cell r="CT14" t="str">
            <v>703卓楓國小</v>
          </cell>
          <cell r="CU14" t="str">
            <v>705西富國小</v>
          </cell>
          <cell r="CV14" t="str">
            <v>706大興國小</v>
          </cell>
          <cell r="CW14" t="str">
            <v>707中原國小</v>
          </cell>
          <cell r="CX14" t="str">
            <v>708西寶國小</v>
          </cell>
        </row>
        <row r="15">
          <cell r="A15">
            <v>2</v>
          </cell>
          <cell r="B15">
            <v>14</v>
          </cell>
          <cell r="C15">
            <v>0</v>
          </cell>
          <cell r="D15">
            <v>108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268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100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80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40</v>
          </cell>
          <cell r="BY15">
            <v>0</v>
          </cell>
          <cell r="BZ15">
            <v>0</v>
          </cell>
          <cell r="CA15">
            <v>0</v>
          </cell>
          <cell r="CB15">
            <v>100</v>
          </cell>
          <cell r="CC15">
            <v>200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60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</row>
        <row r="16">
          <cell r="A16">
            <v>3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50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460</v>
          </cell>
          <cell r="BY16">
            <v>0</v>
          </cell>
          <cell r="BZ16">
            <v>0</v>
          </cell>
          <cell r="CA16">
            <v>0</v>
          </cell>
          <cell r="CB16">
            <v>15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20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</row>
        <row r="17">
          <cell r="A17">
            <v>513</v>
          </cell>
          <cell r="B17">
            <v>500</v>
          </cell>
          <cell r="AZ17">
            <v>100</v>
          </cell>
          <cell r="BX17">
            <v>900</v>
          </cell>
        </row>
        <row r="18">
          <cell r="A18">
            <v>514</v>
          </cell>
          <cell r="B18">
            <v>75</v>
          </cell>
          <cell r="H18">
            <v>25</v>
          </cell>
          <cell r="AA18">
            <v>100</v>
          </cell>
          <cell r="AR18">
            <v>160</v>
          </cell>
          <cell r="CK18">
            <v>20</v>
          </cell>
          <cell r="CU18">
            <v>50</v>
          </cell>
        </row>
        <row r="19">
          <cell r="A19">
            <v>515</v>
          </cell>
          <cell r="B19">
            <v>23</v>
          </cell>
        </row>
        <row r="20">
          <cell r="A20">
            <v>516</v>
          </cell>
          <cell r="B20">
            <v>0</v>
          </cell>
          <cell r="AA20">
            <v>10</v>
          </cell>
          <cell r="AO20">
            <v>100</v>
          </cell>
          <cell r="BG20">
            <v>65</v>
          </cell>
          <cell r="CJ20">
            <v>30</v>
          </cell>
          <cell r="CK20">
            <v>26</v>
          </cell>
        </row>
        <row r="23">
          <cell r="A23" t="str">
            <v>其餘收支對列</v>
          </cell>
          <cell r="B23" t="str">
            <v>601明禮國小</v>
          </cell>
          <cell r="C23" t="str">
            <v>602明義國小</v>
          </cell>
          <cell r="D23" t="str">
            <v>603明廉國小</v>
          </cell>
          <cell r="E23" t="str">
            <v>604明恥國小</v>
          </cell>
          <cell r="F23" t="str">
            <v>605中正國小</v>
          </cell>
          <cell r="G23" t="str">
            <v>606信義國小</v>
          </cell>
          <cell r="H23" t="str">
            <v>607復興國小</v>
          </cell>
          <cell r="I23" t="str">
            <v>608中華國小</v>
          </cell>
          <cell r="J23" t="str">
            <v>609忠孝國小</v>
          </cell>
          <cell r="K23" t="str">
            <v>610北濱國小</v>
          </cell>
          <cell r="L23" t="str">
            <v>611鑄強國小</v>
          </cell>
          <cell r="M23" t="str">
            <v>612國福國小</v>
          </cell>
          <cell r="N23" t="str">
            <v>613新城國小</v>
          </cell>
          <cell r="O23" t="str">
            <v>614北埔國小</v>
          </cell>
          <cell r="P23" t="str">
            <v>615康樂國小</v>
          </cell>
          <cell r="Q23" t="str">
            <v>616嘉里國小</v>
          </cell>
          <cell r="R23" t="str">
            <v>617吉安國小</v>
          </cell>
          <cell r="S23" t="str">
            <v>618宜昌國小</v>
          </cell>
          <cell r="T23" t="str">
            <v>619北昌國小</v>
          </cell>
          <cell r="U23" t="str">
            <v>620光華國小</v>
          </cell>
          <cell r="V23" t="str">
            <v>621稻香國小</v>
          </cell>
          <cell r="W23" t="str">
            <v>622南華國小</v>
          </cell>
          <cell r="X23" t="str">
            <v>623化仁國小</v>
          </cell>
          <cell r="Y23" t="str">
            <v>624太昌國小</v>
          </cell>
          <cell r="Z23" t="str">
            <v>625平和國小</v>
          </cell>
          <cell r="AA23" t="str">
            <v>626壽豐國小</v>
          </cell>
          <cell r="AB23" t="str">
            <v>627豐裡國小</v>
          </cell>
          <cell r="AC23" t="str">
            <v>628豐山國小</v>
          </cell>
          <cell r="AD23" t="str">
            <v>629志學國小</v>
          </cell>
          <cell r="AE23" t="str">
            <v>630月眉國小</v>
          </cell>
          <cell r="AF23" t="str">
            <v>631水璉國小</v>
          </cell>
          <cell r="AG23" t="str">
            <v>632溪口國小</v>
          </cell>
          <cell r="AH23" t="str">
            <v>633鳳林國小</v>
          </cell>
          <cell r="AI23" t="str">
            <v>634大榮國小</v>
          </cell>
          <cell r="AJ23" t="str">
            <v>635林榮國小</v>
          </cell>
          <cell r="AK23" t="str">
            <v>636長橋國小</v>
          </cell>
          <cell r="AL23" t="str">
            <v>638北林國小</v>
          </cell>
          <cell r="AM23" t="str">
            <v>639鳳仁國小</v>
          </cell>
          <cell r="AN23" t="str">
            <v>641光復國小</v>
          </cell>
          <cell r="AO23" t="str">
            <v>642太巴塱國小</v>
          </cell>
          <cell r="AP23" t="str">
            <v>645大進國小</v>
          </cell>
          <cell r="AQ23" t="str">
            <v>647瑞穗國小</v>
          </cell>
          <cell r="AR23" t="str">
            <v>648瑞美國小</v>
          </cell>
          <cell r="AS23" t="str">
            <v>649鶴岡國小</v>
          </cell>
          <cell r="AT23" t="str">
            <v>650舞鶴國小</v>
          </cell>
          <cell r="AU23" t="str">
            <v>651奇美國小</v>
          </cell>
          <cell r="AV23" t="str">
            <v>652富源國小</v>
          </cell>
          <cell r="AW23" t="str">
            <v>653瑞北國小</v>
          </cell>
          <cell r="AX23" t="str">
            <v>654豐濱國小</v>
          </cell>
          <cell r="AY23" t="str">
            <v>655港口國小</v>
          </cell>
          <cell r="AZ23" t="str">
            <v>656靜浦國小</v>
          </cell>
          <cell r="BA23" t="str">
            <v>657新社國小</v>
          </cell>
          <cell r="BB23" t="str">
            <v>658玉里國小</v>
          </cell>
          <cell r="BC23" t="str">
            <v>659源城國小</v>
          </cell>
          <cell r="BD23" t="str">
            <v>660樂合國小</v>
          </cell>
          <cell r="BE23" t="str">
            <v>661觀音國小</v>
          </cell>
          <cell r="BF23" t="str">
            <v>662三民國小</v>
          </cell>
          <cell r="BG23" t="str">
            <v>663春日國小</v>
          </cell>
          <cell r="BH23" t="str">
            <v>664德武國小</v>
          </cell>
          <cell r="BI23" t="str">
            <v>665中城國小</v>
          </cell>
          <cell r="BJ23" t="str">
            <v>666長良國小</v>
          </cell>
          <cell r="BK23" t="str">
            <v>667大禹國小</v>
          </cell>
          <cell r="BL23" t="str">
            <v>668松浦國小</v>
          </cell>
          <cell r="BM23" t="str">
            <v>669高寮國小</v>
          </cell>
          <cell r="BN23" t="str">
            <v>670富里國小</v>
          </cell>
          <cell r="BO23" t="str">
            <v>671萬寧國小</v>
          </cell>
          <cell r="BP23" t="str">
            <v>672永豐國小</v>
          </cell>
          <cell r="BQ23" t="str">
            <v>673學田國小</v>
          </cell>
          <cell r="BR23" t="str">
            <v>674東竹國小</v>
          </cell>
          <cell r="BS23" t="str">
            <v>675東里國小</v>
          </cell>
          <cell r="BT23" t="str">
            <v>676明里國小</v>
          </cell>
          <cell r="BU23" t="str">
            <v>678吳江國小</v>
          </cell>
          <cell r="BV23" t="str">
            <v>679秀林國小</v>
          </cell>
          <cell r="BW23" t="str">
            <v>680富世國小</v>
          </cell>
          <cell r="BX23" t="str">
            <v>681和平國小</v>
          </cell>
          <cell r="BY23" t="str">
            <v>682佳民國小</v>
          </cell>
          <cell r="BZ23" t="str">
            <v>683銅門國小</v>
          </cell>
          <cell r="CA23" t="str">
            <v>684水源國小</v>
          </cell>
          <cell r="CB23" t="str">
            <v>685崇德國小</v>
          </cell>
          <cell r="CC23" t="str">
            <v>686文蘭國小</v>
          </cell>
          <cell r="CD23" t="str">
            <v>687景美國小</v>
          </cell>
          <cell r="CE23" t="str">
            <v>688三棧國小</v>
          </cell>
          <cell r="CF23" t="str">
            <v>689銅蘭國小</v>
          </cell>
          <cell r="CG23" t="str">
            <v>690萬榮國小</v>
          </cell>
          <cell r="CH23" t="str">
            <v>691西林國小</v>
          </cell>
          <cell r="CI23" t="str">
            <v>692見晴國小</v>
          </cell>
          <cell r="CJ23" t="str">
            <v>693馬遠國小</v>
          </cell>
          <cell r="CK23" t="str">
            <v>694紅葉國小</v>
          </cell>
          <cell r="CL23" t="str">
            <v>695明利國小</v>
          </cell>
          <cell r="CM23" t="str">
            <v>696卓溪國小</v>
          </cell>
          <cell r="CN23" t="str">
            <v>697崙山國小</v>
          </cell>
          <cell r="CO23" t="str">
            <v>698太平國小</v>
          </cell>
          <cell r="CP23" t="str">
            <v>699卓清國小</v>
          </cell>
          <cell r="CQ23" t="str">
            <v>700古風國小</v>
          </cell>
          <cell r="CR23" t="str">
            <v>701立山國小</v>
          </cell>
          <cell r="CS23" t="str">
            <v>702卓樂國小</v>
          </cell>
          <cell r="CT23" t="str">
            <v>703卓楓國小</v>
          </cell>
          <cell r="CU23" t="str">
            <v>705西富國小</v>
          </cell>
          <cell r="CV23" t="str">
            <v>706大興國小</v>
          </cell>
          <cell r="CW23" t="str">
            <v>707中原國小</v>
          </cell>
          <cell r="CX23" t="str">
            <v>708西寶國小</v>
          </cell>
        </row>
        <row r="24">
          <cell r="A24" t="str">
            <v>權利金</v>
          </cell>
          <cell r="F24">
            <v>300000</v>
          </cell>
          <cell r="I24">
            <v>150000</v>
          </cell>
        </row>
        <row r="25">
          <cell r="A25" t="str">
            <v>考試</v>
          </cell>
          <cell r="C25">
            <v>170000</v>
          </cell>
          <cell r="D25">
            <v>5000</v>
          </cell>
          <cell r="E25">
            <v>13000</v>
          </cell>
          <cell r="F25">
            <v>10000</v>
          </cell>
          <cell r="O25">
            <v>2000</v>
          </cell>
          <cell r="S25">
            <v>10000</v>
          </cell>
          <cell r="T25">
            <v>5000</v>
          </cell>
          <cell r="Y25">
            <v>6000</v>
          </cell>
          <cell r="AQ25">
            <v>5000</v>
          </cell>
          <cell r="BD25">
            <v>1000</v>
          </cell>
          <cell r="BI25">
            <v>10000</v>
          </cell>
          <cell r="BV25">
            <v>3000</v>
          </cell>
          <cell r="CU25">
            <v>2000</v>
          </cell>
          <cell r="CW25">
            <v>8000</v>
          </cell>
          <cell r="CX25">
            <v>4000</v>
          </cell>
        </row>
        <row r="26">
          <cell r="A26" t="str">
            <v>游泳池收支對列</v>
          </cell>
          <cell r="N26">
            <v>60000</v>
          </cell>
          <cell r="AR26">
            <v>50000</v>
          </cell>
          <cell r="BB26">
            <v>80000</v>
          </cell>
          <cell r="BN26">
            <v>50000</v>
          </cell>
        </row>
        <row r="27">
          <cell r="A27" t="str">
            <v>合計</v>
          </cell>
          <cell r="B27">
            <v>0</v>
          </cell>
          <cell r="C27">
            <v>170000</v>
          </cell>
          <cell r="D27">
            <v>5000</v>
          </cell>
          <cell r="E27">
            <v>13000</v>
          </cell>
          <cell r="F27">
            <v>310000</v>
          </cell>
          <cell r="G27">
            <v>0</v>
          </cell>
          <cell r="H27">
            <v>0</v>
          </cell>
          <cell r="I27">
            <v>150000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60000</v>
          </cell>
          <cell r="O27">
            <v>2000</v>
          </cell>
          <cell r="P27">
            <v>0</v>
          </cell>
          <cell r="Q27">
            <v>0</v>
          </cell>
          <cell r="R27">
            <v>0</v>
          </cell>
          <cell r="S27">
            <v>10000</v>
          </cell>
          <cell r="T27">
            <v>5000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6000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5000</v>
          </cell>
          <cell r="AR27">
            <v>50000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80000</v>
          </cell>
          <cell r="BC27">
            <v>0</v>
          </cell>
          <cell r="BD27">
            <v>1000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10000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50000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3000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2000</v>
          </cell>
          <cell r="CV27">
            <v>0</v>
          </cell>
          <cell r="CW27">
            <v>8000</v>
          </cell>
          <cell r="CX27">
            <v>4000</v>
          </cell>
        </row>
      </sheetData>
      <sheetData sheetId="6">
        <row r="12">
          <cell r="E12" t="str">
            <v>601明禮國小</v>
          </cell>
          <cell r="F12" t="str">
            <v>602明義國小</v>
          </cell>
          <cell r="G12" t="str">
            <v>603明廉國小</v>
          </cell>
          <cell r="H12" t="str">
            <v>604明恥國小</v>
          </cell>
          <cell r="I12" t="str">
            <v>605中正國小</v>
          </cell>
          <cell r="J12" t="str">
            <v>606信義國小</v>
          </cell>
          <cell r="K12" t="str">
            <v>607復興國小</v>
          </cell>
          <cell r="L12" t="str">
            <v>608中華國小</v>
          </cell>
          <cell r="M12" t="str">
            <v>609忠孝國小</v>
          </cell>
          <cell r="N12" t="str">
            <v>610北濱國小</v>
          </cell>
          <cell r="O12" t="str">
            <v>611鑄強國小</v>
          </cell>
          <cell r="P12" t="str">
            <v>612國福國小</v>
          </cell>
          <cell r="Q12" t="str">
            <v>613新城國小</v>
          </cell>
          <cell r="R12" t="str">
            <v>614北埔國小</v>
          </cell>
          <cell r="S12" t="str">
            <v>615康樂國小</v>
          </cell>
          <cell r="T12" t="str">
            <v>616嘉里國小</v>
          </cell>
          <cell r="U12" t="str">
            <v>617吉安國小</v>
          </cell>
          <cell r="V12" t="str">
            <v>618宜昌國小</v>
          </cell>
          <cell r="W12" t="str">
            <v>619北昌國小</v>
          </cell>
          <cell r="X12" t="str">
            <v>620光華國小</v>
          </cell>
          <cell r="Y12" t="str">
            <v>621稻香國小</v>
          </cell>
          <cell r="Z12" t="str">
            <v>622南華國小</v>
          </cell>
          <cell r="AA12" t="str">
            <v>623化仁國小</v>
          </cell>
          <cell r="AB12" t="str">
            <v>624太昌國小</v>
          </cell>
          <cell r="AC12" t="str">
            <v>625平和國小</v>
          </cell>
          <cell r="AD12" t="str">
            <v>626壽豐國小</v>
          </cell>
          <cell r="AE12" t="str">
            <v>627豐裡國小</v>
          </cell>
          <cell r="AF12" t="str">
            <v>628豐山國小</v>
          </cell>
          <cell r="AG12" t="str">
            <v>629志學國小</v>
          </cell>
          <cell r="AH12" t="str">
            <v>630月眉國小</v>
          </cell>
          <cell r="AI12" t="str">
            <v>631水璉國小</v>
          </cell>
          <cell r="AJ12" t="str">
            <v>632溪口國小</v>
          </cell>
          <cell r="AK12" t="str">
            <v>633鳳林國小</v>
          </cell>
          <cell r="AL12" t="str">
            <v>634大榮國小</v>
          </cell>
          <cell r="AM12" t="str">
            <v>635林榮國小</v>
          </cell>
          <cell r="AN12" t="str">
            <v>636長橋國小</v>
          </cell>
          <cell r="AO12" t="str">
            <v>638北林國小</v>
          </cell>
          <cell r="AP12" t="str">
            <v>639鳳仁國小</v>
          </cell>
          <cell r="AQ12" t="str">
            <v>641光復國小</v>
          </cell>
          <cell r="AR12" t="str">
            <v>642太巴塱國小</v>
          </cell>
          <cell r="AS12" t="str">
            <v>645大進國小</v>
          </cell>
          <cell r="AT12" t="str">
            <v>647瑞穗國小</v>
          </cell>
          <cell r="AU12" t="str">
            <v>648瑞美國小</v>
          </cell>
          <cell r="AV12" t="str">
            <v>649鶴岡國小</v>
          </cell>
          <cell r="AW12" t="str">
            <v>650舞鶴國小</v>
          </cell>
          <cell r="AX12" t="str">
            <v>651奇美國小</v>
          </cell>
          <cell r="AY12" t="str">
            <v>652富源國小</v>
          </cell>
          <cell r="AZ12" t="str">
            <v>653瑞北國小</v>
          </cell>
          <cell r="BA12" t="str">
            <v>654豐濱國小</v>
          </cell>
          <cell r="BB12" t="str">
            <v>655港口國小</v>
          </cell>
          <cell r="BC12" t="str">
            <v>656靜浦國小</v>
          </cell>
          <cell r="BD12" t="str">
            <v>657新社國小</v>
          </cell>
          <cell r="BE12" t="str">
            <v>658玉里國小</v>
          </cell>
          <cell r="BF12" t="str">
            <v>659源城國小</v>
          </cell>
          <cell r="BG12" t="str">
            <v>660樂合國小</v>
          </cell>
          <cell r="BH12" t="str">
            <v>661觀音國小</v>
          </cell>
          <cell r="BI12" t="str">
            <v>662三民國小</v>
          </cell>
          <cell r="BJ12" t="str">
            <v>663春日國小</v>
          </cell>
          <cell r="BK12" t="str">
            <v>664德武國小</v>
          </cell>
          <cell r="BL12" t="str">
            <v>665中城國小</v>
          </cell>
          <cell r="BM12" t="str">
            <v>666長良國小</v>
          </cell>
          <cell r="BN12" t="str">
            <v>667大禹國小</v>
          </cell>
          <cell r="BO12" t="str">
            <v>668松浦國小</v>
          </cell>
          <cell r="BP12" t="str">
            <v>669高寮國小</v>
          </cell>
          <cell r="BQ12" t="str">
            <v>670富里國小</v>
          </cell>
          <cell r="BR12" t="str">
            <v>671萬寧國小</v>
          </cell>
          <cell r="BS12" t="str">
            <v>672永豐國小</v>
          </cell>
          <cell r="BT12" t="str">
            <v>673學田國小</v>
          </cell>
          <cell r="BU12" t="str">
            <v>674東竹國小</v>
          </cell>
          <cell r="BV12" t="str">
            <v>675東里國小</v>
          </cell>
          <cell r="BW12" t="str">
            <v>676明里國小</v>
          </cell>
          <cell r="BX12" t="str">
            <v>678吳江國小</v>
          </cell>
          <cell r="BY12" t="str">
            <v>679秀林國小</v>
          </cell>
          <cell r="BZ12" t="str">
            <v>680富世國小</v>
          </cell>
          <cell r="CA12" t="str">
            <v>681和平國小</v>
          </cell>
          <cell r="CB12" t="str">
            <v>682佳民國小</v>
          </cell>
          <cell r="CC12" t="str">
            <v>683銅門國小</v>
          </cell>
          <cell r="CD12" t="str">
            <v>684水源國小</v>
          </cell>
          <cell r="CE12" t="str">
            <v>685崇德國小</v>
          </cell>
          <cell r="CF12" t="str">
            <v>686文蘭國小</v>
          </cell>
          <cell r="CG12" t="str">
            <v>687景美國小</v>
          </cell>
          <cell r="CH12" t="str">
            <v>688三棧國小</v>
          </cell>
          <cell r="CI12" t="str">
            <v>689銅蘭國小</v>
          </cell>
          <cell r="CJ12" t="str">
            <v>690萬榮國小</v>
          </cell>
          <cell r="CK12" t="str">
            <v>691西林國小</v>
          </cell>
          <cell r="CL12" t="str">
            <v>692見晴國小</v>
          </cell>
          <cell r="CM12" t="str">
            <v>693馬遠國小</v>
          </cell>
          <cell r="CN12" t="str">
            <v>694紅葉國小</v>
          </cell>
          <cell r="CO12" t="str">
            <v>695明利國小</v>
          </cell>
          <cell r="CP12" t="str">
            <v>696卓溪國小</v>
          </cell>
          <cell r="CQ12" t="str">
            <v>697崙山國小</v>
          </cell>
          <cell r="CR12" t="str">
            <v>698太平國小</v>
          </cell>
          <cell r="CS12" t="str">
            <v>699卓清國小</v>
          </cell>
          <cell r="CT12" t="str">
            <v>700古風國小</v>
          </cell>
          <cell r="CU12" t="str">
            <v>701立山國小</v>
          </cell>
          <cell r="CV12" t="str">
            <v>702卓樂國小</v>
          </cell>
          <cell r="CW12" t="str">
            <v>703卓楓國小</v>
          </cell>
          <cell r="CX12" t="str">
            <v>705西富國小</v>
          </cell>
          <cell r="CY12" t="str">
            <v>706大興國小</v>
          </cell>
          <cell r="CZ12" t="str">
            <v>707中原國小</v>
          </cell>
          <cell r="DA12" t="str">
            <v>708西寶國小</v>
          </cell>
        </row>
        <row r="13">
          <cell r="E13">
            <v>54750000</v>
          </cell>
          <cell r="F13">
            <v>227328000</v>
          </cell>
          <cell r="G13">
            <v>96069000</v>
          </cell>
          <cell r="H13">
            <v>65387000</v>
          </cell>
          <cell r="I13">
            <v>138156000</v>
          </cell>
          <cell r="J13">
            <v>29276000</v>
          </cell>
          <cell r="K13">
            <v>37189000</v>
          </cell>
          <cell r="L13">
            <v>60879000</v>
          </cell>
          <cell r="M13">
            <v>77324000</v>
          </cell>
          <cell r="N13">
            <v>25733000</v>
          </cell>
          <cell r="O13">
            <v>95288000</v>
          </cell>
          <cell r="P13">
            <v>28253000</v>
          </cell>
          <cell r="Q13">
            <v>49385000</v>
          </cell>
          <cell r="R13">
            <v>75745000</v>
          </cell>
          <cell r="S13">
            <v>28201000</v>
          </cell>
          <cell r="T13">
            <v>26577000</v>
          </cell>
          <cell r="U13">
            <v>61556000</v>
          </cell>
          <cell r="V13">
            <v>151264000</v>
          </cell>
          <cell r="W13">
            <v>109675000</v>
          </cell>
          <cell r="X13">
            <v>32044000</v>
          </cell>
          <cell r="Y13">
            <v>56807000</v>
          </cell>
          <cell r="Z13">
            <v>30704000</v>
          </cell>
          <cell r="AA13">
            <v>56755000</v>
          </cell>
          <cell r="AB13">
            <v>68483000</v>
          </cell>
          <cell r="AC13">
            <v>25564000</v>
          </cell>
          <cell r="AD13">
            <v>34684000</v>
          </cell>
          <cell r="AE13">
            <v>23016000</v>
          </cell>
          <cell r="AF13">
            <v>26554000</v>
          </cell>
          <cell r="AG13">
            <v>29661000</v>
          </cell>
          <cell r="AH13">
            <v>22068000</v>
          </cell>
          <cell r="AI13">
            <v>24116000</v>
          </cell>
          <cell r="AJ13">
            <v>20882000</v>
          </cell>
          <cell r="AK13">
            <v>50748000</v>
          </cell>
          <cell r="AL13">
            <v>25559000</v>
          </cell>
          <cell r="AM13">
            <v>21051000</v>
          </cell>
          <cell r="AN13">
            <v>25392000</v>
          </cell>
          <cell r="AO13">
            <v>24141000</v>
          </cell>
          <cell r="AP13">
            <v>30974000</v>
          </cell>
          <cell r="AQ13">
            <v>34933000</v>
          </cell>
          <cell r="AR13">
            <v>29111000</v>
          </cell>
          <cell r="AS13">
            <v>30401000</v>
          </cell>
          <cell r="AT13">
            <v>52018000</v>
          </cell>
          <cell r="AU13">
            <v>23809000</v>
          </cell>
          <cell r="AV13">
            <v>15562000</v>
          </cell>
          <cell r="AW13">
            <v>16365000</v>
          </cell>
          <cell r="AX13">
            <v>22724000</v>
          </cell>
          <cell r="AY13">
            <v>22986000</v>
          </cell>
          <cell r="AZ13">
            <v>20831000</v>
          </cell>
          <cell r="BA13">
            <v>25946000</v>
          </cell>
          <cell r="BB13">
            <v>14007000</v>
          </cell>
          <cell r="BC13">
            <v>19797000</v>
          </cell>
          <cell r="BD13">
            <v>20475000</v>
          </cell>
          <cell r="BE13">
            <v>78656000</v>
          </cell>
          <cell r="BF13">
            <v>26376000</v>
          </cell>
          <cell r="BG13">
            <v>25603000</v>
          </cell>
          <cell r="BH13">
            <v>17094000</v>
          </cell>
          <cell r="BI13">
            <v>17949000</v>
          </cell>
          <cell r="BJ13">
            <v>20160000</v>
          </cell>
          <cell r="BK13">
            <v>15299000</v>
          </cell>
          <cell r="BL13">
            <v>52769000</v>
          </cell>
          <cell r="BM13">
            <v>17542000</v>
          </cell>
          <cell r="BN13">
            <v>25013000</v>
          </cell>
          <cell r="BO13">
            <v>23252000</v>
          </cell>
          <cell r="BP13">
            <v>20823000</v>
          </cell>
          <cell r="BQ13">
            <v>27659000</v>
          </cell>
          <cell r="BR13">
            <v>16555000</v>
          </cell>
          <cell r="BS13">
            <v>16017000</v>
          </cell>
          <cell r="BT13">
            <v>18599000</v>
          </cell>
          <cell r="BU13">
            <v>20181000</v>
          </cell>
          <cell r="BV13">
            <v>21018000</v>
          </cell>
          <cell r="BW13">
            <v>23867000</v>
          </cell>
          <cell r="BX13">
            <v>18733000</v>
          </cell>
          <cell r="BY13">
            <v>32458000</v>
          </cell>
          <cell r="BZ13">
            <v>29232000</v>
          </cell>
          <cell r="CA13">
            <v>28819000</v>
          </cell>
          <cell r="CB13">
            <v>22843000</v>
          </cell>
          <cell r="CC13">
            <v>27542000</v>
          </cell>
          <cell r="CD13">
            <v>32665000</v>
          </cell>
          <cell r="CE13">
            <v>24763000</v>
          </cell>
          <cell r="CF13">
            <v>29760000</v>
          </cell>
          <cell r="CG13">
            <v>27502000</v>
          </cell>
          <cell r="CH13">
            <v>27140000</v>
          </cell>
          <cell r="CI13">
            <v>27074000</v>
          </cell>
          <cell r="CJ13">
            <v>30024000</v>
          </cell>
          <cell r="CK13">
            <v>28270000</v>
          </cell>
          <cell r="CL13">
            <v>26340000</v>
          </cell>
          <cell r="CM13">
            <v>28647000</v>
          </cell>
          <cell r="CN13">
            <v>27741000</v>
          </cell>
          <cell r="CO13">
            <v>29302000</v>
          </cell>
          <cell r="CP13">
            <v>27904000</v>
          </cell>
          <cell r="CQ13">
            <v>24380000</v>
          </cell>
          <cell r="CR13">
            <v>27352000</v>
          </cell>
          <cell r="CS13">
            <v>25332000</v>
          </cell>
          <cell r="CT13">
            <v>26654000</v>
          </cell>
          <cell r="CU13">
            <v>25282000</v>
          </cell>
          <cell r="CV13">
            <v>22642000</v>
          </cell>
          <cell r="CW13">
            <v>19521000</v>
          </cell>
          <cell r="CX13">
            <v>17961000</v>
          </cell>
          <cell r="CY13">
            <v>16721000</v>
          </cell>
          <cell r="CZ13">
            <v>74625000</v>
          </cell>
          <cell r="DA13">
            <v>20555000</v>
          </cell>
        </row>
        <row r="14">
          <cell r="E14">
            <v>283000</v>
          </cell>
          <cell r="F14">
            <v>1035000</v>
          </cell>
          <cell r="G14">
            <v>391000</v>
          </cell>
          <cell r="H14">
            <v>321000</v>
          </cell>
          <cell r="I14">
            <v>538000</v>
          </cell>
          <cell r="J14">
            <v>136000</v>
          </cell>
          <cell r="K14">
            <v>136000</v>
          </cell>
          <cell r="L14">
            <v>325000</v>
          </cell>
          <cell r="M14">
            <v>346000</v>
          </cell>
          <cell r="N14">
            <v>136000</v>
          </cell>
          <cell r="O14">
            <v>401000</v>
          </cell>
          <cell r="P14">
            <v>136000</v>
          </cell>
          <cell r="Q14">
            <v>309000</v>
          </cell>
          <cell r="R14">
            <v>372000</v>
          </cell>
          <cell r="S14">
            <v>136000</v>
          </cell>
          <cell r="T14">
            <v>120000</v>
          </cell>
          <cell r="U14">
            <v>334000</v>
          </cell>
          <cell r="V14">
            <v>587000</v>
          </cell>
          <cell r="W14">
            <v>489000</v>
          </cell>
          <cell r="X14">
            <v>153000</v>
          </cell>
          <cell r="Y14">
            <v>271000</v>
          </cell>
          <cell r="Z14">
            <v>136000</v>
          </cell>
          <cell r="AA14">
            <v>271000</v>
          </cell>
          <cell r="AB14">
            <v>283000</v>
          </cell>
          <cell r="AC14">
            <v>120000</v>
          </cell>
          <cell r="AD14">
            <v>204000</v>
          </cell>
          <cell r="AE14">
            <v>120000</v>
          </cell>
          <cell r="AF14">
            <v>170000</v>
          </cell>
          <cell r="AG14">
            <v>170000</v>
          </cell>
          <cell r="AH14">
            <v>120000</v>
          </cell>
          <cell r="AI14">
            <v>136000</v>
          </cell>
          <cell r="AJ14">
            <v>101000</v>
          </cell>
          <cell r="AK14">
            <v>258000</v>
          </cell>
          <cell r="AL14">
            <v>136000</v>
          </cell>
          <cell r="AM14">
            <v>136000</v>
          </cell>
          <cell r="AN14">
            <v>136000</v>
          </cell>
          <cell r="AO14">
            <v>136000</v>
          </cell>
          <cell r="AP14">
            <v>153000</v>
          </cell>
          <cell r="AQ14">
            <v>187000</v>
          </cell>
          <cell r="AR14">
            <v>136000</v>
          </cell>
          <cell r="AS14">
            <v>153000</v>
          </cell>
          <cell r="AT14">
            <v>283000</v>
          </cell>
          <cell r="AU14">
            <v>136000</v>
          </cell>
          <cell r="AV14">
            <v>120000</v>
          </cell>
          <cell r="AW14">
            <v>101000</v>
          </cell>
          <cell r="AX14">
            <v>120000</v>
          </cell>
          <cell r="AY14">
            <v>136000</v>
          </cell>
          <cell r="AZ14">
            <v>136000</v>
          </cell>
          <cell r="BA14">
            <v>153000</v>
          </cell>
          <cell r="BB14">
            <v>82000</v>
          </cell>
          <cell r="BC14">
            <v>136000</v>
          </cell>
          <cell r="BD14">
            <v>136000</v>
          </cell>
          <cell r="BE14">
            <v>372000</v>
          </cell>
          <cell r="BF14">
            <v>136000</v>
          </cell>
          <cell r="BG14">
            <v>136000</v>
          </cell>
          <cell r="BH14">
            <v>120000</v>
          </cell>
          <cell r="BI14">
            <v>136000</v>
          </cell>
          <cell r="BJ14">
            <v>136000</v>
          </cell>
          <cell r="BK14">
            <v>120000</v>
          </cell>
          <cell r="BL14">
            <v>271000</v>
          </cell>
          <cell r="BM14">
            <v>136000</v>
          </cell>
          <cell r="BN14">
            <v>136000</v>
          </cell>
          <cell r="BO14">
            <v>136000</v>
          </cell>
          <cell r="BP14">
            <v>136000</v>
          </cell>
          <cell r="BQ14">
            <v>187000</v>
          </cell>
          <cell r="BR14">
            <v>120000</v>
          </cell>
          <cell r="BS14">
            <v>136000</v>
          </cell>
          <cell r="BT14">
            <v>136000</v>
          </cell>
          <cell r="BU14">
            <v>153000</v>
          </cell>
          <cell r="BV14">
            <v>153000</v>
          </cell>
          <cell r="BW14">
            <v>136000</v>
          </cell>
          <cell r="BX14">
            <v>120000</v>
          </cell>
          <cell r="BY14">
            <v>170000</v>
          </cell>
          <cell r="BZ14">
            <v>136000</v>
          </cell>
          <cell r="CA14">
            <v>153000</v>
          </cell>
          <cell r="CB14">
            <v>120000</v>
          </cell>
          <cell r="CC14">
            <v>136000</v>
          </cell>
          <cell r="CD14">
            <v>136000</v>
          </cell>
          <cell r="CE14">
            <v>136000</v>
          </cell>
          <cell r="CF14">
            <v>136000</v>
          </cell>
          <cell r="CG14">
            <v>136000</v>
          </cell>
          <cell r="CH14">
            <v>136000</v>
          </cell>
          <cell r="CI14">
            <v>120000</v>
          </cell>
          <cell r="CJ14">
            <v>187000</v>
          </cell>
          <cell r="CK14">
            <v>136000</v>
          </cell>
          <cell r="CL14">
            <v>136000</v>
          </cell>
          <cell r="CM14">
            <v>120000</v>
          </cell>
          <cell r="CN14">
            <v>153000</v>
          </cell>
          <cell r="CO14">
            <v>136000</v>
          </cell>
          <cell r="CP14">
            <v>136000</v>
          </cell>
          <cell r="CQ14">
            <v>136000</v>
          </cell>
          <cell r="CR14">
            <v>136000</v>
          </cell>
          <cell r="CS14">
            <v>136000</v>
          </cell>
          <cell r="CT14">
            <v>136000</v>
          </cell>
          <cell r="CU14">
            <v>136000</v>
          </cell>
          <cell r="CV14">
            <v>136000</v>
          </cell>
          <cell r="CW14">
            <v>136000</v>
          </cell>
          <cell r="CX14">
            <v>120000</v>
          </cell>
          <cell r="CY14">
            <v>120000</v>
          </cell>
          <cell r="CZ14">
            <v>381000</v>
          </cell>
          <cell r="DA14">
            <v>120000</v>
          </cell>
        </row>
        <row r="15">
          <cell r="E15">
            <v>122000</v>
          </cell>
          <cell r="F15">
            <v>443000</v>
          </cell>
          <cell r="G15">
            <v>168000</v>
          </cell>
          <cell r="H15">
            <v>138000</v>
          </cell>
          <cell r="I15">
            <v>231000</v>
          </cell>
          <cell r="J15">
            <v>59000</v>
          </cell>
          <cell r="K15">
            <v>59000</v>
          </cell>
          <cell r="L15">
            <v>139000</v>
          </cell>
          <cell r="M15">
            <v>149000</v>
          </cell>
          <cell r="N15">
            <v>59000</v>
          </cell>
          <cell r="O15">
            <v>172000</v>
          </cell>
          <cell r="P15">
            <v>59000</v>
          </cell>
          <cell r="Q15">
            <v>132000</v>
          </cell>
          <cell r="R15">
            <v>159000</v>
          </cell>
          <cell r="S15">
            <v>59000</v>
          </cell>
          <cell r="T15">
            <v>51000</v>
          </cell>
          <cell r="U15">
            <v>143000</v>
          </cell>
          <cell r="V15">
            <v>252000</v>
          </cell>
          <cell r="W15">
            <v>210000</v>
          </cell>
          <cell r="X15">
            <v>66000</v>
          </cell>
          <cell r="Y15">
            <v>116000</v>
          </cell>
          <cell r="Z15">
            <v>59000</v>
          </cell>
          <cell r="AA15">
            <v>116000</v>
          </cell>
          <cell r="AB15">
            <v>122000</v>
          </cell>
          <cell r="AC15">
            <v>51000</v>
          </cell>
          <cell r="AD15">
            <v>87000</v>
          </cell>
          <cell r="AE15">
            <v>51000</v>
          </cell>
          <cell r="AF15">
            <v>73000</v>
          </cell>
          <cell r="AG15">
            <v>73000</v>
          </cell>
          <cell r="AH15">
            <v>51000</v>
          </cell>
          <cell r="AI15">
            <v>59000</v>
          </cell>
          <cell r="AJ15">
            <v>43000</v>
          </cell>
          <cell r="AK15">
            <v>111000</v>
          </cell>
          <cell r="AL15">
            <v>59000</v>
          </cell>
          <cell r="AM15">
            <v>59000</v>
          </cell>
          <cell r="AN15">
            <v>59000</v>
          </cell>
          <cell r="AO15">
            <v>59000</v>
          </cell>
          <cell r="AP15">
            <v>66000</v>
          </cell>
          <cell r="AQ15">
            <v>80000</v>
          </cell>
          <cell r="AR15">
            <v>59000</v>
          </cell>
          <cell r="AS15">
            <v>66000</v>
          </cell>
          <cell r="AT15">
            <v>122000</v>
          </cell>
          <cell r="AU15">
            <v>59000</v>
          </cell>
          <cell r="AV15">
            <v>51000</v>
          </cell>
          <cell r="AW15">
            <v>43000</v>
          </cell>
          <cell r="AX15">
            <v>51000</v>
          </cell>
          <cell r="AY15">
            <v>59000</v>
          </cell>
          <cell r="AZ15">
            <v>59000</v>
          </cell>
          <cell r="BA15">
            <v>66000</v>
          </cell>
          <cell r="BB15">
            <v>35000</v>
          </cell>
          <cell r="BC15">
            <v>59000</v>
          </cell>
          <cell r="BD15">
            <v>59000</v>
          </cell>
          <cell r="BE15">
            <v>159000</v>
          </cell>
          <cell r="BF15">
            <v>59000</v>
          </cell>
          <cell r="BG15">
            <v>59000</v>
          </cell>
          <cell r="BH15">
            <v>51000</v>
          </cell>
          <cell r="BI15">
            <v>59000</v>
          </cell>
          <cell r="BJ15">
            <v>59000</v>
          </cell>
          <cell r="BK15">
            <v>51000</v>
          </cell>
          <cell r="BL15">
            <v>116000</v>
          </cell>
          <cell r="BM15">
            <v>59000</v>
          </cell>
          <cell r="BN15">
            <v>59000</v>
          </cell>
          <cell r="BO15">
            <v>59000</v>
          </cell>
          <cell r="BP15">
            <v>59000</v>
          </cell>
          <cell r="BQ15">
            <v>80000</v>
          </cell>
          <cell r="BR15">
            <v>51000</v>
          </cell>
          <cell r="BS15">
            <v>59000</v>
          </cell>
          <cell r="BT15">
            <v>59000</v>
          </cell>
          <cell r="BU15">
            <v>66000</v>
          </cell>
          <cell r="BV15">
            <v>66000</v>
          </cell>
          <cell r="BW15">
            <v>59000</v>
          </cell>
          <cell r="BX15">
            <v>51000</v>
          </cell>
          <cell r="BY15">
            <v>73000</v>
          </cell>
          <cell r="BZ15">
            <v>59000</v>
          </cell>
          <cell r="CA15">
            <v>66000</v>
          </cell>
          <cell r="CB15">
            <v>51000</v>
          </cell>
          <cell r="CC15">
            <v>59000</v>
          </cell>
          <cell r="CD15">
            <v>59000</v>
          </cell>
          <cell r="CE15">
            <v>59000</v>
          </cell>
          <cell r="CF15">
            <v>59000</v>
          </cell>
          <cell r="CG15">
            <v>59000</v>
          </cell>
          <cell r="CH15">
            <v>59000</v>
          </cell>
          <cell r="CI15">
            <v>51000</v>
          </cell>
          <cell r="CJ15">
            <v>80000</v>
          </cell>
          <cell r="CK15">
            <v>59000</v>
          </cell>
          <cell r="CL15">
            <v>59000</v>
          </cell>
          <cell r="CM15">
            <v>51000</v>
          </cell>
          <cell r="CN15">
            <v>66000</v>
          </cell>
          <cell r="CO15">
            <v>59000</v>
          </cell>
          <cell r="CP15">
            <v>59000</v>
          </cell>
          <cell r="CQ15">
            <v>59000</v>
          </cell>
          <cell r="CR15">
            <v>59000</v>
          </cell>
          <cell r="CS15">
            <v>59000</v>
          </cell>
          <cell r="CT15">
            <v>59000</v>
          </cell>
          <cell r="CU15">
            <v>59000</v>
          </cell>
          <cell r="CV15">
            <v>59000</v>
          </cell>
          <cell r="CW15">
            <v>59000</v>
          </cell>
          <cell r="CX15">
            <v>51000</v>
          </cell>
          <cell r="CY15">
            <v>51000</v>
          </cell>
          <cell r="CZ15">
            <v>164000</v>
          </cell>
          <cell r="DA15">
            <v>51000</v>
          </cell>
        </row>
        <row r="16">
          <cell r="E16">
            <v>0</v>
          </cell>
          <cell r="F16">
            <v>45000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30000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45000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</row>
        <row r="17">
          <cell r="E17">
            <v>0</v>
          </cell>
          <cell r="F17">
            <v>182000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213000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71000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175000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166000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</row>
        <row r="18">
          <cell r="E18">
            <v>70000</v>
          </cell>
          <cell r="F18">
            <v>99000</v>
          </cell>
          <cell r="G18">
            <v>76000</v>
          </cell>
          <cell r="H18">
            <v>72000</v>
          </cell>
          <cell r="I18">
            <v>84000</v>
          </cell>
          <cell r="J18">
            <v>64000</v>
          </cell>
          <cell r="K18">
            <v>64000</v>
          </cell>
          <cell r="L18">
            <v>70000</v>
          </cell>
          <cell r="M18">
            <v>73000</v>
          </cell>
          <cell r="N18">
            <v>64000</v>
          </cell>
          <cell r="O18">
            <v>76000</v>
          </cell>
          <cell r="P18">
            <v>64000</v>
          </cell>
          <cell r="Q18">
            <v>71000</v>
          </cell>
          <cell r="R18">
            <v>74000</v>
          </cell>
          <cell r="S18">
            <v>64000</v>
          </cell>
          <cell r="T18">
            <v>64000</v>
          </cell>
          <cell r="U18">
            <v>73000</v>
          </cell>
          <cell r="V18">
            <v>88000</v>
          </cell>
          <cell r="W18">
            <v>81000</v>
          </cell>
          <cell r="X18">
            <v>64000</v>
          </cell>
          <cell r="Y18">
            <v>69000</v>
          </cell>
          <cell r="Z18">
            <v>64000</v>
          </cell>
          <cell r="AA18">
            <v>70000</v>
          </cell>
          <cell r="AB18">
            <v>70000</v>
          </cell>
          <cell r="AC18">
            <v>63000</v>
          </cell>
          <cell r="AD18">
            <v>66000</v>
          </cell>
          <cell r="AE18">
            <v>63000</v>
          </cell>
          <cell r="AF18">
            <v>65000</v>
          </cell>
          <cell r="AG18">
            <v>65000</v>
          </cell>
          <cell r="AH18">
            <v>63000</v>
          </cell>
          <cell r="AI18">
            <v>64000</v>
          </cell>
          <cell r="AJ18">
            <v>63000</v>
          </cell>
          <cell r="AK18">
            <v>69000</v>
          </cell>
          <cell r="AL18">
            <v>64000</v>
          </cell>
          <cell r="AM18">
            <v>64000</v>
          </cell>
          <cell r="AN18">
            <v>64000</v>
          </cell>
          <cell r="AO18">
            <v>64000</v>
          </cell>
          <cell r="AP18">
            <v>64000</v>
          </cell>
          <cell r="AQ18">
            <v>66000</v>
          </cell>
          <cell r="AR18">
            <v>64000</v>
          </cell>
          <cell r="AS18">
            <v>65000</v>
          </cell>
          <cell r="AT18">
            <v>70000</v>
          </cell>
          <cell r="AU18">
            <v>64000</v>
          </cell>
          <cell r="AV18">
            <v>63000</v>
          </cell>
          <cell r="AW18">
            <v>63000</v>
          </cell>
          <cell r="AX18">
            <v>63000</v>
          </cell>
          <cell r="AY18">
            <v>64000</v>
          </cell>
          <cell r="AZ18">
            <v>64000</v>
          </cell>
          <cell r="BA18">
            <v>64000</v>
          </cell>
          <cell r="BB18">
            <v>62000</v>
          </cell>
          <cell r="BC18">
            <v>64000</v>
          </cell>
          <cell r="BD18">
            <v>64000</v>
          </cell>
          <cell r="BE18">
            <v>74000</v>
          </cell>
          <cell r="BF18">
            <v>64000</v>
          </cell>
          <cell r="BG18">
            <v>64000</v>
          </cell>
          <cell r="BH18">
            <v>63000</v>
          </cell>
          <cell r="BI18">
            <v>64000</v>
          </cell>
          <cell r="BJ18">
            <v>64000</v>
          </cell>
          <cell r="BK18">
            <v>63000</v>
          </cell>
          <cell r="BL18">
            <v>69000</v>
          </cell>
          <cell r="BM18">
            <v>64000</v>
          </cell>
          <cell r="BN18">
            <v>64000</v>
          </cell>
          <cell r="BO18">
            <v>64000</v>
          </cell>
          <cell r="BP18">
            <v>64000</v>
          </cell>
          <cell r="BQ18">
            <v>66000</v>
          </cell>
          <cell r="BR18">
            <v>63000</v>
          </cell>
          <cell r="BS18">
            <v>64000</v>
          </cell>
          <cell r="BT18">
            <v>64000</v>
          </cell>
          <cell r="BU18">
            <v>64000</v>
          </cell>
          <cell r="BV18">
            <v>64000</v>
          </cell>
          <cell r="BW18">
            <v>64000</v>
          </cell>
          <cell r="BX18">
            <v>63000</v>
          </cell>
          <cell r="BY18">
            <v>65000</v>
          </cell>
          <cell r="BZ18">
            <v>64000</v>
          </cell>
          <cell r="CA18">
            <v>64000</v>
          </cell>
          <cell r="CB18">
            <v>63000</v>
          </cell>
          <cell r="CC18">
            <v>64000</v>
          </cell>
          <cell r="CD18">
            <v>64000</v>
          </cell>
          <cell r="CE18">
            <v>64000</v>
          </cell>
          <cell r="CF18">
            <v>64000</v>
          </cell>
          <cell r="CG18">
            <v>64000</v>
          </cell>
          <cell r="CH18">
            <v>64000</v>
          </cell>
          <cell r="CI18">
            <v>63000</v>
          </cell>
          <cell r="CJ18">
            <v>66000</v>
          </cell>
          <cell r="CK18">
            <v>64000</v>
          </cell>
          <cell r="CL18">
            <v>64000</v>
          </cell>
          <cell r="CM18">
            <v>63000</v>
          </cell>
          <cell r="CN18">
            <v>64000</v>
          </cell>
          <cell r="CO18">
            <v>64000</v>
          </cell>
          <cell r="CP18">
            <v>64000</v>
          </cell>
          <cell r="CQ18">
            <v>64000</v>
          </cell>
          <cell r="CR18">
            <v>64000</v>
          </cell>
          <cell r="CS18">
            <v>64000</v>
          </cell>
          <cell r="CT18">
            <v>64000</v>
          </cell>
          <cell r="CU18">
            <v>64000</v>
          </cell>
          <cell r="CV18">
            <v>64000</v>
          </cell>
          <cell r="CW18">
            <v>64000</v>
          </cell>
          <cell r="CX18">
            <v>63000</v>
          </cell>
          <cell r="CY18">
            <v>63000</v>
          </cell>
          <cell r="CZ18">
            <v>75000</v>
          </cell>
          <cell r="DA18">
            <v>63000</v>
          </cell>
        </row>
        <row r="19">
          <cell r="E19">
            <v>60000</v>
          </cell>
          <cell r="F19">
            <v>120000</v>
          </cell>
          <cell r="G19">
            <v>90000</v>
          </cell>
          <cell r="H19">
            <v>60000</v>
          </cell>
          <cell r="I19">
            <v>90000</v>
          </cell>
          <cell r="J19">
            <v>30000</v>
          </cell>
          <cell r="K19">
            <v>30000</v>
          </cell>
          <cell r="L19">
            <v>30000</v>
          </cell>
          <cell r="M19">
            <v>60000</v>
          </cell>
          <cell r="N19">
            <v>0</v>
          </cell>
          <cell r="O19">
            <v>72000</v>
          </cell>
          <cell r="P19">
            <v>0</v>
          </cell>
          <cell r="Q19">
            <v>30000</v>
          </cell>
          <cell r="R19">
            <v>60000</v>
          </cell>
          <cell r="S19">
            <v>0</v>
          </cell>
          <cell r="T19">
            <v>0</v>
          </cell>
          <cell r="U19">
            <v>30000</v>
          </cell>
          <cell r="V19">
            <v>90000</v>
          </cell>
          <cell r="W19">
            <v>90000</v>
          </cell>
          <cell r="X19">
            <v>30000</v>
          </cell>
          <cell r="Y19">
            <v>60000</v>
          </cell>
          <cell r="Z19">
            <v>30000</v>
          </cell>
          <cell r="AA19">
            <v>60000</v>
          </cell>
          <cell r="AB19">
            <v>60000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30000</v>
          </cell>
          <cell r="AH19">
            <v>0</v>
          </cell>
          <cell r="AI19">
            <v>30000</v>
          </cell>
          <cell r="AJ19">
            <v>0</v>
          </cell>
          <cell r="AK19">
            <v>30000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30000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30000</v>
          </cell>
          <cell r="BE19">
            <v>30000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30000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30000</v>
          </cell>
          <cell r="BW19">
            <v>0</v>
          </cell>
          <cell r="BX19">
            <v>30000</v>
          </cell>
          <cell r="BY19">
            <v>30000</v>
          </cell>
          <cell r="BZ19">
            <v>0</v>
          </cell>
          <cell r="CA19">
            <v>30000</v>
          </cell>
          <cell r="CB19">
            <v>30000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30000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30000</v>
          </cell>
          <cell r="CP19">
            <v>30000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30000</v>
          </cell>
          <cell r="CV19">
            <v>30000</v>
          </cell>
          <cell r="CW19">
            <v>0</v>
          </cell>
          <cell r="CX19">
            <v>30000</v>
          </cell>
          <cell r="CY19">
            <v>30000</v>
          </cell>
          <cell r="CZ19">
            <v>90000</v>
          </cell>
          <cell r="DA19">
            <v>0</v>
          </cell>
        </row>
        <row r="20">
          <cell r="E20">
            <v>3000</v>
          </cell>
          <cell r="F20">
            <v>53000</v>
          </cell>
          <cell r="G20">
            <v>9000</v>
          </cell>
          <cell r="H20">
            <v>6000</v>
          </cell>
          <cell r="I20">
            <v>9000</v>
          </cell>
          <cell r="J20">
            <v>3000</v>
          </cell>
          <cell r="K20">
            <v>3000</v>
          </cell>
          <cell r="L20">
            <v>6000</v>
          </cell>
          <cell r="M20">
            <v>6000</v>
          </cell>
          <cell r="N20">
            <v>0</v>
          </cell>
          <cell r="O20">
            <v>6000</v>
          </cell>
          <cell r="P20">
            <v>0</v>
          </cell>
          <cell r="Q20">
            <v>3000</v>
          </cell>
          <cell r="R20">
            <v>6000</v>
          </cell>
          <cell r="S20">
            <v>0</v>
          </cell>
          <cell r="T20">
            <v>0</v>
          </cell>
          <cell r="U20">
            <v>6000</v>
          </cell>
          <cell r="V20">
            <v>9000</v>
          </cell>
          <cell r="W20">
            <v>15000</v>
          </cell>
          <cell r="X20">
            <v>6000</v>
          </cell>
          <cell r="Y20">
            <v>6000</v>
          </cell>
          <cell r="Z20">
            <v>6000</v>
          </cell>
          <cell r="AA20">
            <v>6000</v>
          </cell>
          <cell r="AB20">
            <v>6000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6000</v>
          </cell>
          <cell r="AH20">
            <v>0</v>
          </cell>
          <cell r="AI20">
            <v>3000</v>
          </cell>
          <cell r="AJ20">
            <v>0</v>
          </cell>
          <cell r="AK20">
            <v>3000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3000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3000</v>
          </cell>
          <cell r="BE20">
            <v>3000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6000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3000</v>
          </cell>
          <cell r="BW20">
            <v>0</v>
          </cell>
          <cell r="BX20">
            <v>6000</v>
          </cell>
          <cell r="BY20">
            <v>6000</v>
          </cell>
          <cell r="BZ20">
            <v>0</v>
          </cell>
          <cell r="CA20">
            <v>3000</v>
          </cell>
          <cell r="CB20">
            <v>3000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6000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3000</v>
          </cell>
          <cell r="CP20">
            <v>3000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3000</v>
          </cell>
          <cell r="CV20">
            <v>3000</v>
          </cell>
          <cell r="CW20">
            <v>0</v>
          </cell>
          <cell r="CX20">
            <v>4000</v>
          </cell>
          <cell r="CY20">
            <v>3000</v>
          </cell>
          <cell r="CZ20">
            <v>15000</v>
          </cell>
          <cell r="DA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25000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51000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8000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25000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8000</v>
          </cell>
          <cell r="AI21">
            <v>0</v>
          </cell>
          <cell r="AJ21">
            <v>0</v>
          </cell>
          <cell r="AK21">
            <v>76000</v>
          </cell>
          <cell r="AL21">
            <v>25000</v>
          </cell>
          <cell r="AM21">
            <v>0</v>
          </cell>
          <cell r="AN21">
            <v>0</v>
          </cell>
          <cell r="AO21">
            <v>25000</v>
          </cell>
          <cell r="AP21">
            <v>0</v>
          </cell>
          <cell r="AQ21">
            <v>26000</v>
          </cell>
          <cell r="AR21">
            <v>51000</v>
          </cell>
          <cell r="AS21">
            <v>26000</v>
          </cell>
          <cell r="AT21">
            <v>85000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25000</v>
          </cell>
          <cell r="BB21">
            <v>0</v>
          </cell>
          <cell r="BC21">
            <v>0</v>
          </cell>
          <cell r="BD21">
            <v>8000</v>
          </cell>
          <cell r="BE21">
            <v>102000</v>
          </cell>
          <cell r="BF21">
            <v>0</v>
          </cell>
          <cell r="BG21">
            <v>25000</v>
          </cell>
          <cell r="BH21">
            <v>0</v>
          </cell>
          <cell r="BI21">
            <v>0</v>
          </cell>
          <cell r="BJ21">
            <v>60000</v>
          </cell>
          <cell r="BK21">
            <v>0</v>
          </cell>
          <cell r="BL21">
            <v>0</v>
          </cell>
          <cell r="BM21">
            <v>25000</v>
          </cell>
          <cell r="BN21">
            <v>0</v>
          </cell>
          <cell r="BO21">
            <v>0</v>
          </cell>
          <cell r="BP21">
            <v>0</v>
          </cell>
          <cell r="BQ21">
            <v>51000</v>
          </cell>
          <cell r="BR21">
            <v>0</v>
          </cell>
          <cell r="BS21">
            <v>9000</v>
          </cell>
          <cell r="BT21">
            <v>0</v>
          </cell>
          <cell r="BU21">
            <v>26000</v>
          </cell>
          <cell r="BV21">
            <v>0</v>
          </cell>
          <cell r="BW21">
            <v>0</v>
          </cell>
          <cell r="BX21">
            <v>34000</v>
          </cell>
          <cell r="BY21">
            <v>0</v>
          </cell>
          <cell r="BZ21">
            <v>0</v>
          </cell>
          <cell r="CA21">
            <v>25000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60000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25000</v>
          </cell>
          <cell r="CS21">
            <v>0</v>
          </cell>
          <cell r="CT21">
            <v>34000</v>
          </cell>
          <cell r="CU21">
            <v>17000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26000</v>
          </cell>
          <cell r="DA21">
            <v>25000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21000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27000</v>
          </cell>
          <cell r="R22">
            <v>0</v>
          </cell>
          <cell r="S22">
            <v>0</v>
          </cell>
          <cell r="T22" t="str">
            <v xml:space="preserve"> </v>
          </cell>
          <cell r="U22">
            <v>0</v>
          </cell>
          <cell r="V22">
            <v>0</v>
          </cell>
          <cell r="W22">
            <v>0</v>
          </cell>
          <cell r="X22">
            <v>23000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23000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23000</v>
          </cell>
          <cell r="AI22">
            <v>0</v>
          </cell>
          <cell r="AJ22">
            <v>0</v>
          </cell>
          <cell r="AK22">
            <v>27000</v>
          </cell>
          <cell r="AL22">
            <v>23000</v>
          </cell>
          <cell r="AM22">
            <v>0</v>
          </cell>
          <cell r="AN22">
            <v>0</v>
          </cell>
          <cell r="AO22">
            <v>23000</v>
          </cell>
          <cell r="AP22">
            <v>0</v>
          </cell>
          <cell r="AQ22">
            <v>21000</v>
          </cell>
          <cell r="AR22">
            <v>8000</v>
          </cell>
          <cell r="AS22">
            <v>23000</v>
          </cell>
          <cell r="AT22">
            <v>31000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23000</v>
          </cell>
          <cell r="BB22">
            <v>0</v>
          </cell>
          <cell r="BC22">
            <v>0</v>
          </cell>
          <cell r="BD22">
            <v>23000</v>
          </cell>
          <cell r="BE22">
            <v>27000</v>
          </cell>
          <cell r="BF22">
            <v>0</v>
          </cell>
          <cell r="BG22">
            <v>23000</v>
          </cell>
          <cell r="BH22">
            <v>0</v>
          </cell>
          <cell r="BI22">
            <v>0</v>
          </cell>
          <cell r="BJ22">
            <v>37000</v>
          </cell>
          <cell r="BK22">
            <v>0</v>
          </cell>
          <cell r="BL22">
            <v>0</v>
          </cell>
          <cell r="BM22">
            <v>23000</v>
          </cell>
          <cell r="BN22">
            <v>0</v>
          </cell>
          <cell r="BO22">
            <v>0</v>
          </cell>
          <cell r="BP22">
            <v>0</v>
          </cell>
          <cell r="BQ22">
            <v>7000</v>
          </cell>
          <cell r="BR22">
            <v>0</v>
          </cell>
          <cell r="BS22">
            <v>8000</v>
          </cell>
          <cell r="BT22">
            <v>0</v>
          </cell>
          <cell r="BU22">
            <v>23000</v>
          </cell>
          <cell r="BV22">
            <v>0</v>
          </cell>
          <cell r="BW22">
            <v>0</v>
          </cell>
          <cell r="BX22">
            <v>23000</v>
          </cell>
          <cell r="BY22">
            <v>0</v>
          </cell>
          <cell r="BZ22">
            <v>0</v>
          </cell>
          <cell r="CA22">
            <v>37000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37000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23000</v>
          </cell>
          <cell r="CS22">
            <v>0</v>
          </cell>
          <cell r="CT22">
            <v>37000</v>
          </cell>
          <cell r="CU22">
            <v>38000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21000</v>
          </cell>
          <cell r="DA22">
            <v>36000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515000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1029000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515000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514000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515000</v>
          </cell>
          <cell r="AI23">
            <v>0</v>
          </cell>
          <cell r="AJ23">
            <v>0</v>
          </cell>
          <cell r="AK23">
            <v>769000</v>
          </cell>
          <cell r="AL23">
            <v>515000</v>
          </cell>
          <cell r="AM23">
            <v>0</v>
          </cell>
          <cell r="AN23">
            <v>0</v>
          </cell>
          <cell r="AO23">
            <v>515000</v>
          </cell>
          <cell r="AP23">
            <v>0</v>
          </cell>
          <cell r="AQ23">
            <v>514000</v>
          </cell>
          <cell r="AR23">
            <v>515000</v>
          </cell>
          <cell r="AS23">
            <v>514000</v>
          </cell>
          <cell r="AT23">
            <v>1029000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515000</v>
          </cell>
          <cell r="BB23">
            <v>0</v>
          </cell>
          <cell r="BC23">
            <v>0</v>
          </cell>
          <cell r="BD23">
            <v>515000</v>
          </cell>
          <cell r="BE23">
            <v>769000</v>
          </cell>
          <cell r="BF23">
            <v>0</v>
          </cell>
          <cell r="BG23">
            <v>515000</v>
          </cell>
          <cell r="BH23">
            <v>0</v>
          </cell>
          <cell r="BI23">
            <v>0</v>
          </cell>
          <cell r="BJ23">
            <v>726000</v>
          </cell>
          <cell r="BK23">
            <v>0</v>
          </cell>
          <cell r="BL23">
            <v>0</v>
          </cell>
          <cell r="BM23">
            <v>514000</v>
          </cell>
          <cell r="BN23">
            <v>0</v>
          </cell>
          <cell r="BO23">
            <v>0</v>
          </cell>
          <cell r="BP23">
            <v>0</v>
          </cell>
          <cell r="BQ23">
            <v>515000</v>
          </cell>
          <cell r="BR23">
            <v>0</v>
          </cell>
          <cell r="BS23">
            <v>189000</v>
          </cell>
          <cell r="BT23">
            <v>0</v>
          </cell>
          <cell r="BU23">
            <v>515000</v>
          </cell>
          <cell r="BV23">
            <v>0</v>
          </cell>
          <cell r="BW23">
            <v>0</v>
          </cell>
          <cell r="BX23">
            <v>515000</v>
          </cell>
          <cell r="BY23">
            <v>0</v>
          </cell>
          <cell r="BZ23">
            <v>0</v>
          </cell>
          <cell r="CA23">
            <v>514000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726000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514000</v>
          </cell>
          <cell r="CS23">
            <v>0</v>
          </cell>
          <cell r="CT23">
            <v>726000</v>
          </cell>
          <cell r="CU23">
            <v>726000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514000</v>
          </cell>
          <cell r="DA23">
            <v>514000</v>
          </cell>
        </row>
        <row r="24">
          <cell r="E24">
            <v>164000</v>
          </cell>
          <cell r="F24">
            <v>138000</v>
          </cell>
          <cell r="G24">
            <v>164000</v>
          </cell>
          <cell r="H24">
            <v>68000</v>
          </cell>
          <cell r="I24">
            <v>69000</v>
          </cell>
          <cell r="J24">
            <v>86000</v>
          </cell>
          <cell r="K24">
            <v>101000</v>
          </cell>
          <cell r="L24">
            <v>68000</v>
          </cell>
          <cell r="M24">
            <v>164000</v>
          </cell>
          <cell r="N24">
            <v>65000</v>
          </cell>
          <cell r="O24">
            <v>69000</v>
          </cell>
          <cell r="P24">
            <v>68000</v>
          </cell>
          <cell r="Q24">
            <v>164000</v>
          </cell>
          <cell r="R24">
            <v>68000</v>
          </cell>
          <cell r="S24">
            <v>68000</v>
          </cell>
          <cell r="T24">
            <v>68000</v>
          </cell>
          <cell r="U24">
            <v>68000</v>
          </cell>
          <cell r="V24">
            <v>164000</v>
          </cell>
          <cell r="W24">
            <v>164000</v>
          </cell>
          <cell r="X24">
            <v>68000</v>
          </cell>
          <cell r="Y24">
            <v>164000</v>
          </cell>
          <cell r="Z24">
            <v>0</v>
          </cell>
          <cell r="AA24">
            <v>68000</v>
          </cell>
          <cell r="AB24">
            <v>89000</v>
          </cell>
          <cell r="AC24">
            <v>68000</v>
          </cell>
          <cell r="AD24">
            <v>68000</v>
          </cell>
          <cell r="AE24">
            <v>68000</v>
          </cell>
          <cell r="AF24">
            <v>68000</v>
          </cell>
          <cell r="AG24">
            <v>68000</v>
          </cell>
          <cell r="AH24">
            <v>128000</v>
          </cell>
          <cell r="AI24">
            <v>164000</v>
          </cell>
          <cell r="AJ24">
            <v>68000</v>
          </cell>
          <cell r="AK24">
            <v>164000</v>
          </cell>
          <cell r="AL24">
            <v>68000</v>
          </cell>
          <cell r="AM24">
            <v>164000</v>
          </cell>
          <cell r="AN24">
            <v>68000</v>
          </cell>
          <cell r="AO24">
            <v>164000</v>
          </cell>
          <cell r="AP24">
            <v>164000</v>
          </cell>
          <cell r="AQ24">
            <v>164000</v>
          </cell>
          <cell r="AR24">
            <v>164000</v>
          </cell>
          <cell r="AS24">
            <v>157000</v>
          </cell>
          <cell r="AT24">
            <v>55000</v>
          </cell>
          <cell r="AU24">
            <v>68000</v>
          </cell>
          <cell r="AV24">
            <v>164000</v>
          </cell>
          <cell r="AW24">
            <v>0</v>
          </cell>
          <cell r="AX24">
            <v>68000</v>
          </cell>
          <cell r="AY24">
            <v>164000</v>
          </cell>
          <cell r="AZ24">
            <v>164000</v>
          </cell>
          <cell r="BA24">
            <v>164000</v>
          </cell>
          <cell r="BB24">
            <v>88000</v>
          </cell>
          <cell r="BC24">
            <v>68000</v>
          </cell>
          <cell r="BD24">
            <v>68000</v>
          </cell>
          <cell r="BE24">
            <v>329000</v>
          </cell>
          <cell r="BF24">
            <v>108000</v>
          </cell>
          <cell r="BG24">
            <v>68000</v>
          </cell>
          <cell r="BH24">
            <v>68000</v>
          </cell>
          <cell r="BI24">
            <v>0</v>
          </cell>
          <cell r="BJ24">
            <v>164000</v>
          </cell>
          <cell r="BK24">
            <v>164000</v>
          </cell>
          <cell r="BL24">
            <v>0</v>
          </cell>
          <cell r="BM24">
            <v>164000</v>
          </cell>
          <cell r="BN24">
            <v>68000</v>
          </cell>
          <cell r="BO24">
            <v>68000</v>
          </cell>
          <cell r="BP24">
            <v>68000</v>
          </cell>
          <cell r="BQ24">
            <v>164000</v>
          </cell>
          <cell r="BR24">
            <v>164000</v>
          </cell>
          <cell r="BS24">
            <v>164000</v>
          </cell>
          <cell r="BT24">
            <v>80000</v>
          </cell>
          <cell r="BU24">
            <v>24000</v>
          </cell>
          <cell r="BV24">
            <v>164000</v>
          </cell>
          <cell r="BW24">
            <v>0</v>
          </cell>
          <cell r="BX24">
            <v>0</v>
          </cell>
          <cell r="BY24">
            <v>80000</v>
          </cell>
          <cell r="BZ24">
            <v>92000</v>
          </cell>
          <cell r="CA24">
            <v>80000</v>
          </cell>
          <cell r="CB24">
            <v>68000</v>
          </cell>
          <cell r="CC24">
            <v>68000</v>
          </cell>
          <cell r="CD24">
            <v>116000</v>
          </cell>
          <cell r="CE24">
            <v>92000</v>
          </cell>
          <cell r="CF24">
            <v>114000</v>
          </cell>
          <cell r="CG24">
            <v>92000</v>
          </cell>
          <cell r="CH24">
            <v>80000</v>
          </cell>
          <cell r="CI24">
            <v>86000</v>
          </cell>
          <cell r="CJ24">
            <v>0</v>
          </cell>
          <cell r="CK24">
            <v>68000</v>
          </cell>
          <cell r="CL24">
            <v>164000</v>
          </cell>
          <cell r="CM24">
            <v>68000</v>
          </cell>
          <cell r="CN24">
            <v>68000</v>
          </cell>
          <cell r="CO24">
            <v>58000</v>
          </cell>
          <cell r="CP24">
            <v>0</v>
          </cell>
          <cell r="CQ24">
            <v>68000</v>
          </cell>
          <cell r="CR24">
            <v>164000</v>
          </cell>
          <cell r="CS24">
            <v>68000</v>
          </cell>
          <cell r="CT24">
            <v>164000</v>
          </cell>
          <cell r="CU24">
            <v>68000</v>
          </cell>
          <cell r="CV24">
            <v>0</v>
          </cell>
          <cell r="CW24">
            <v>68000</v>
          </cell>
          <cell r="CX24">
            <v>164000</v>
          </cell>
          <cell r="CY24">
            <v>0</v>
          </cell>
          <cell r="CZ24">
            <v>89000</v>
          </cell>
          <cell r="DA24">
            <v>164000</v>
          </cell>
        </row>
        <row r="25">
          <cell r="E25">
            <v>60000</v>
          </cell>
          <cell r="F25">
            <v>0</v>
          </cell>
          <cell r="G25">
            <v>0</v>
          </cell>
          <cell r="H25">
            <v>80000</v>
          </cell>
          <cell r="I25">
            <v>0</v>
          </cell>
          <cell r="J25">
            <v>60000</v>
          </cell>
          <cell r="K25">
            <v>0</v>
          </cell>
          <cell r="L25">
            <v>0</v>
          </cell>
          <cell r="M25">
            <v>60000</v>
          </cell>
          <cell r="N25">
            <v>60000</v>
          </cell>
          <cell r="O25">
            <v>0</v>
          </cell>
          <cell r="P25">
            <v>0</v>
          </cell>
          <cell r="Q25">
            <v>60000</v>
          </cell>
          <cell r="R25">
            <v>80000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80000</v>
          </cell>
          <cell r="Y25">
            <v>60000</v>
          </cell>
          <cell r="Z25">
            <v>0</v>
          </cell>
          <cell r="AA25">
            <v>80000</v>
          </cell>
          <cell r="AB25">
            <v>0</v>
          </cell>
          <cell r="AC25">
            <v>0</v>
          </cell>
          <cell r="AD25">
            <v>80000</v>
          </cell>
          <cell r="AE25">
            <v>80000</v>
          </cell>
          <cell r="AF25">
            <v>80000</v>
          </cell>
          <cell r="AG25">
            <v>80000</v>
          </cell>
          <cell r="AH25">
            <v>0</v>
          </cell>
          <cell r="AI25">
            <v>80000</v>
          </cell>
          <cell r="AJ25">
            <v>80000</v>
          </cell>
          <cell r="AK25">
            <v>80000</v>
          </cell>
          <cell r="AL25">
            <v>0</v>
          </cell>
          <cell r="AM25">
            <v>60000</v>
          </cell>
          <cell r="AN25">
            <v>60000</v>
          </cell>
          <cell r="AO25">
            <v>60000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80000</v>
          </cell>
          <cell r="AU25">
            <v>80000</v>
          </cell>
          <cell r="AV25">
            <v>60000</v>
          </cell>
          <cell r="AW25">
            <v>80000</v>
          </cell>
          <cell r="AX25">
            <v>0</v>
          </cell>
          <cell r="AY25">
            <v>80000</v>
          </cell>
          <cell r="AZ25">
            <v>0</v>
          </cell>
          <cell r="BA25">
            <v>60000</v>
          </cell>
          <cell r="BB25">
            <v>60000</v>
          </cell>
          <cell r="BC25">
            <v>60000</v>
          </cell>
          <cell r="BD25">
            <v>60000</v>
          </cell>
          <cell r="BE25">
            <v>80000</v>
          </cell>
          <cell r="BF25">
            <v>0</v>
          </cell>
          <cell r="BG25">
            <v>60000</v>
          </cell>
          <cell r="BH25">
            <v>80000</v>
          </cell>
          <cell r="BI25">
            <v>60000</v>
          </cell>
          <cell r="BJ25">
            <v>80000</v>
          </cell>
          <cell r="BK25">
            <v>0</v>
          </cell>
          <cell r="BL25">
            <v>0</v>
          </cell>
          <cell r="BM25">
            <v>80000</v>
          </cell>
          <cell r="BN25">
            <v>60000</v>
          </cell>
          <cell r="BO25">
            <v>0</v>
          </cell>
          <cell r="BP25">
            <v>60000</v>
          </cell>
          <cell r="BQ25">
            <v>80000</v>
          </cell>
          <cell r="BR25">
            <v>0</v>
          </cell>
          <cell r="BS25">
            <v>80000</v>
          </cell>
          <cell r="BT25">
            <v>80000</v>
          </cell>
          <cell r="BU25">
            <v>80000</v>
          </cell>
          <cell r="BV25">
            <v>80000</v>
          </cell>
          <cell r="BW25">
            <v>0</v>
          </cell>
          <cell r="BX25">
            <v>60000</v>
          </cell>
          <cell r="BY25">
            <v>60000</v>
          </cell>
          <cell r="BZ25">
            <v>80000</v>
          </cell>
          <cell r="CA25">
            <v>0</v>
          </cell>
          <cell r="CB25">
            <v>80000</v>
          </cell>
          <cell r="CC25">
            <v>60000</v>
          </cell>
          <cell r="CD25">
            <v>60000</v>
          </cell>
          <cell r="CE25">
            <v>0</v>
          </cell>
          <cell r="CF25">
            <v>0</v>
          </cell>
          <cell r="CG25">
            <v>60000</v>
          </cell>
          <cell r="CH25">
            <v>60000</v>
          </cell>
          <cell r="CI25">
            <v>0</v>
          </cell>
          <cell r="CJ25">
            <v>0</v>
          </cell>
          <cell r="CK25">
            <v>80000</v>
          </cell>
          <cell r="CL25">
            <v>60000</v>
          </cell>
          <cell r="CM25">
            <v>60000</v>
          </cell>
          <cell r="CN25">
            <v>60000</v>
          </cell>
          <cell r="CO25">
            <v>80000</v>
          </cell>
          <cell r="CP25">
            <v>60000</v>
          </cell>
          <cell r="CQ25">
            <v>0</v>
          </cell>
          <cell r="CR25">
            <v>0</v>
          </cell>
          <cell r="CS25">
            <v>60000</v>
          </cell>
          <cell r="CT25">
            <v>0</v>
          </cell>
          <cell r="CU25">
            <v>60000</v>
          </cell>
          <cell r="CV25">
            <v>0</v>
          </cell>
          <cell r="CW25">
            <v>60000</v>
          </cell>
          <cell r="CX25">
            <v>0</v>
          </cell>
          <cell r="CY25">
            <v>60000</v>
          </cell>
          <cell r="CZ25">
            <v>0</v>
          </cell>
          <cell r="DA25">
            <v>60000</v>
          </cell>
        </row>
        <row r="26">
          <cell r="E26">
            <v>58000</v>
          </cell>
          <cell r="F26">
            <v>252000</v>
          </cell>
          <cell r="G26">
            <v>98000</v>
          </cell>
          <cell r="H26">
            <v>76000</v>
          </cell>
          <cell r="I26">
            <v>158000</v>
          </cell>
          <cell r="J26">
            <v>28000</v>
          </cell>
          <cell r="K26">
            <v>32000</v>
          </cell>
          <cell r="L26">
            <v>72000</v>
          </cell>
          <cell r="M26">
            <v>88000</v>
          </cell>
          <cell r="N26">
            <v>28000</v>
          </cell>
          <cell r="O26">
            <v>104000</v>
          </cell>
          <cell r="P26">
            <v>30000</v>
          </cell>
          <cell r="Q26">
            <v>78000</v>
          </cell>
          <cell r="R26">
            <v>94000</v>
          </cell>
          <cell r="S26">
            <v>30000</v>
          </cell>
          <cell r="T26">
            <v>32000</v>
          </cell>
          <cell r="U26">
            <v>82000</v>
          </cell>
          <cell r="V26">
            <v>178000</v>
          </cell>
          <cell r="W26">
            <v>136000</v>
          </cell>
          <cell r="X26">
            <v>28000</v>
          </cell>
          <cell r="Y26">
            <v>66000</v>
          </cell>
          <cell r="Z26">
            <v>34000</v>
          </cell>
          <cell r="AA26">
            <v>64000</v>
          </cell>
          <cell r="AB26">
            <v>70000</v>
          </cell>
          <cell r="AC26">
            <v>34000</v>
          </cell>
          <cell r="AD26">
            <v>42000</v>
          </cell>
          <cell r="AE26">
            <v>30000</v>
          </cell>
          <cell r="AF26">
            <v>36000</v>
          </cell>
          <cell r="AG26">
            <v>36000</v>
          </cell>
          <cell r="AH26">
            <v>28000</v>
          </cell>
          <cell r="AI26">
            <v>28000</v>
          </cell>
          <cell r="AJ26">
            <v>24000</v>
          </cell>
          <cell r="AK26">
            <v>58000</v>
          </cell>
          <cell r="AL26">
            <v>34000</v>
          </cell>
          <cell r="AM26">
            <v>28000</v>
          </cell>
          <cell r="AN26">
            <v>28000</v>
          </cell>
          <cell r="AO26">
            <v>28000</v>
          </cell>
          <cell r="AP26">
            <v>38000</v>
          </cell>
          <cell r="AQ26">
            <v>44000</v>
          </cell>
          <cell r="AR26">
            <v>34000</v>
          </cell>
          <cell r="AS26">
            <v>34000</v>
          </cell>
          <cell r="AT26">
            <v>72000</v>
          </cell>
          <cell r="AU26">
            <v>32000</v>
          </cell>
          <cell r="AV26">
            <v>28000</v>
          </cell>
          <cell r="AW26">
            <v>24000</v>
          </cell>
          <cell r="AX26">
            <v>32000</v>
          </cell>
          <cell r="AY26">
            <v>32000</v>
          </cell>
          <cell r="AZ26">
            <v>34000</v>
          </cell>
          <cell r="BA26">
            <v>36000</v>
          </cell>
          <cell r="BB26">
            <v>20000</v>
          </cell>
          <cell r="BC26">
            <v>30000</v>
          </cell>
          <cell r="BD26">
            <v>28000</v>
          </cell>
          <cell r="BE26">
            <v>108000</v>
          </cell>
          <cell r="BF26">
            <v>34000</v>
          </cell>
          <cell r="BG26">
            <v>36000</v>
          </cell>
          <cell r="BH26">
            <v>26000</v>
          </cell>
          <cell r="BI26">
            <v>32000</v>
          </cell>
          <cell r="BJ26">
            <v>32000</v>
          </cell>
          <cell r="BK26">
            <v>28000</v>
          </cell>
          <cell r="BL26">
            <v>68000</v>
          </cell>
          <cell r="BM26">
            <v>28000</v>
          </cell>
          <cell r="BN26">
            <v>32000</v>
          </cell>
          <cell r="BO26">
            <v>34000</v>
          </cell>
          <cell r="BP26">
            <v>28000</v>
          </cell>
          <cell r="BQ26">
            <v>42000</v>
          </cell>
          <cell r="BR26">
            <v>28000</v>
          </cell>
          <cell r="BS26">
            <v>28000</v>
          </cell>
          <cell r="BT26">
            <v>28000</v>
          </cell>
          <cell r="BU26">
            <v>34000</v>
          </cell>
          <cell r="BV26">
            <v>34000</v>
          </cell>
          <cell r="BW26">
            <v>30000</v>
          </cell>
          <cell r="BX26">
            <v>30000</v>
          </cell>
          <cell r="BY26">
            <v>38000</v>
          </cell>
          <cell r="BZ26">
            <v>32000</v>
          </cell>
          <cell r="CA26">
            <v>38000</v>
          </cell>
          <cell r="CB26">
            <v>26000</v>
          </cell>
          <cell r="CC26">
            <v>32000</v>
          </cell>
          <cell r="CD26">
            <v>28000</v>
          </cell>
          <cell r="CE26">
            <v>34000</v>
          </cell>
          <cell r="CF26">
            <v>36000</v>
          </cell>
          <cell r="CG26">
            <v>30000</v>
          </cell>
          <cell r="CH26">
            <v>32000</v>
          </cell>
          <cell r="CI26">
            <v>32000</v>
          </cell>
          <cell r="CJ26">
            <v>46000</v>
          </cell>
          <cell r="CK26">
            <v>32000</v>
          </cell>
          <cell r="CL26">
            <v>32000</v>
          </cell>
          <cell r="CM26">
            <v>30000</v>
          </cell>
          <cell r="CN26">
            <v>34000</v>
          </cell>
          <cell r="CO26">
            <v>32000</v>
          </cell>
          <cell r="CP26">
            <v>32000</v>
          </cell>
          <cell r="CQ26">
            <v>34000</v>
          </cell>
          <cell r="CR26">
            <v>36000</v>
          </cell>
          <cell r="CS26">
            <v>28000</v>
          </cell>
          <cell r="CT26">
            <v>34000</v>
          </cell>
          <cell r="CU26">
            <v>32000</v>
          </cell>
          <cell r="CV26">
            <v>34000</v>
          </cell>
          <cell r="CW26">
            <v>28000</v>
          </cell>
          <cell r="CX26">
            <v>28000</v>
          </cell>
          <cell r="CY26">
            <v>26000</v>
          </cell>
          <cell r="CZ26">
            <v>102000</v>
          </cell>
          <cell r="DA26">
            <v>34000</v>
          </cell>
        </row>
        <row r="27">
          <cell r="E27">
            <v>60000</v>
          </cell>
          <cell r="F27">
            <v>751000</v>
          </cell>
          <cell r="G27">
            <v>0</v>
          </cell>
          <cell r="H27">
            <v>96000</v>
          </cell>
          <cell r="I27">
            <v>96000</v>
          </cell>
          <cell r="J27">
            <v>78000</v>
          </cell>
          <cell r="K27">
            <v>63000</v>
          </cell>
          <cell r="L27">
            <v>96000</v>
          </cell>
          <cell r="M27">
            <v>0</v>
          </cell>
          <cell r="N27">
            <v>98000</v>
          </cell>
          <cell r="O27">
            <v>95000</v>
          </cell>
          <cell r="P27">
            <v>96000</v>
          </cell>
          <cell r="Q27">
            <v>0</v>
          </cell>
          <cell r="R27">
            <v>96000</v>
          </cell>
          <cell r="S27">
            <v>96000</v>
          </cell>
          <cell r="T27">
            <v>96000</v>
          </cell>
          <cell r="U27">
            <v>96000</v>
          </cell>
          <cell r="V27">
            <v>0</v>
          </cell>
          <cell r="W27">
            <v>0</v>
          </cell>
          <cell r="X27">
            <v>96000</v>
          </cell>
          <cell r="Y27">
            <v>0</v>
          </cell>
          <cell r="Z27">
            <v>90000</v>
          </cell>
          <cell r="AA27">
            <v>96000</v>
          </cell>
          <cell r="AB27">
            <v>75000</v>
          </cell>
          <cell r="AC27">
            <v>96000</v>
          </cell>
          <cell r="AD27">
            <v>96000</v>
          </cell>
          <cell r="AE27">
            <v>96000</v>
          </cell>
          <cell r="AF27">
            <v>96000</v>
          </cell>
          <cell r="AG27">
            <v>96000</v>
          </cell>
          <cell r="AH27">
            <v>36000</v>
          </cell>
          <cell r="AI27">
            <v>0</v>
          </cell>
          <cell r="AJ27">
            <v>96000</v>
          </cell>
          <cell r="AK27">
            <v>0</v>
          </cell>
          <cell r="AL27">
            <v>96000</v>
          </cell>
          <cell r="AM27">
            <v>0</v>
          </cell>
          <cell r="AN27">
            <v>96000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109000</v>
          </cell>
          <cell r="AU27">
            <v>96000</v>
          </cell>
          <cell r="AV27">
            <v>0</v>
          </cell>
          <cell r="AW27">
            <v>96000</v>
          </cell>
          <cell r="AX27">
            <v>96000</v>
          </cell>
          <cell r="AY27">
            <v>0</v>
          </cell>
          <cell r="AZ27">
            <v>0</v>
          </cell>
          <cell r="BA27">
            <v>0</v>
          </cell>
          <cell r="BB27">
            <v>76000</v>
          </cell>
          <cell r="BC27">
            <v>96000</v>
          </cell>
          <cell r="BD27">
            <v>96000</v>
          </cell>
          <cell r="BE27">
            <v>0</v>
          </cell>
          <cell r="BF27">
            <v>57000</v>
          </cell>
          <cell r="BG27">
            <v>96000</v>
          </cell>
          <cell r="BH27">
            <v>96000</v>
          </cell>
          <cell r="BI27">
            <v>96000</v>
          </cell>
          <cell r="BJ27">
            <v>0</v>
          </cell>
          <cell r="BK27">
            <v>0</v>
          </cell>
          <cell r="BL27">
            <v>96000</v>
          </cell>
          <cell r="BM27">
            <v>0</v>
          </cell>
          <cell r="BN27">
            <v>96000</v>
          </cell>
          <cell r="BO27">
            <v>96000</v>
          </cell>
          <cell r="BP27">
            <v>96000</v>
          </cell>
          <cell r="BQ27">
            <v>0</v>
          </cell>
          <cell r="BR27">
            <v>0</v>
          </cell>
          <cell r="BS27">
            <v>0</v>
          </cell>
          <cell r="BT27">
            <v>84000</v>
          </cell>
          <cell r="BU27">
            <v>140000</v>
          </cell>
          <cell r="BV27">
            <v>0</v>
          </cell>
          <cell r="BW27">
            <v>0</v>
          </cell>
          <cell r="BX27">
            <v>164000</v>
          </cell>
          <cell r="BY27">
            <v>84000</v>
          </cell>
          <cell r="BZ27">
            <v>72000</v>
          </cell>
          <cell r="CA27">
            <v>84000</v>
          </cell>
          <cell r="CB27">
            <v>96000</v>
          </cell>
          <cell r="CC27">
            <v>96000</v>
          </cell>
          <cell r="CD27">
            <v>48000</v>
          </cell>
          <cell r="CE27">
            <v>72000</v>
          </cell>
          <cell r="CF27">
            <v>100000</v>
          </cell>
          <cell r="CG27">
            <v>72000</v>
          </cell>
          <cell r="CH27">
            <v>84000</v>
          </cell>
          <cell r="CI27">
            <v>78000</v>
          </cell>
          <cell r="CJ27">
            <v>164000</v>
          </cell>
          <cell r="CK27">
            <v>96000</v>
          </cell>
          <cell r="CL27">
            <v>0</v>
          </cell>
          <cell r="CM27">
            <v>96000</v>
          </cell>
          <cell r="CN27">
            <v>96000</v>
          </cell>
          <cell r="CO27">
            <v>105000</v>
          </cell>
          <cell r="CP27">
            <v>164000</v>
          </cell>
          <cell r="CQ27">
            <v>96000</v>
          </cell>
          <cell r="CR27">
            <v>0</v>
          </cell>
          <cell r="CS27">
            <v>96000</v>
          </cell>
          <cell r="CT27">
            <v>0</v>
          </cell>
          <cell r="CU27">
            <v>96000</v>
          </cell>
          <cell r="CV27">
            <v>164000</v>
          </cell>
          <cell r="CW27">
            <v>96000</v>
          </cell>
          <cell r="CX27">
            <v>0</v>
          </cell>
          <cell r="CY27">
            <v>164000</v>
          </cell>
          <cell r="CZ27">
            <v>76000</v>
          </cell>
          <cell r="DA27">
            <v>0</v>
          </cell>
        </row>
        <row r="28">
          <cell r="E28">
            <v>54000</v>
          </cell>
          <cell r="F28">
            <v>98000</v>
          </cell>
          <cell r="G28">
            <v>64000</v>
          </cell>
          <cell r="H28">
            <v>57000</v>
          </cell>
          <cell r="I28">
            <v>72000</v>
          </cell>
          <cell r="J28">
            <v>43000</v>
          </cell>
          <cell r="K28">
            <v>43000</v>
          </cell>
          <cell r="L28">
            <v>54000</v>
          </cell>
          <cell r="M28">
            <v>59000</v>
          </cell>
          <cell r="N28">
            <v>43000</v>
          </cell>
          <cell r="O28">
            <v>65000</v>
          </cell>
          <cell r="P28">
            <v>43000</v>
          </cell>
          <cell r="Q28">
            <v>56000</v>
          </cell>
          <cell r="R28">
            <v>61000</v>
          </cell>
          <cell r="S28">
            <v>43000</v>
          </cell>
          <cell r="T28">
            <v>42000</v>
          </cell>
          <cell r="U28">
            <v>58000</v>
          </cell>
          <cell r="V28">
            <v>72000</v>
          </cell>
          <cell r="W28">
            <v>72000</v>
          </cell>
          <cell r="X28">
            <v>44000</v>
          </cell>
          <cell r="Y28">
            <v>53000</v>
          </cell>
          <cell r="Z28">
            <v>43000</v>
          </cell>
          <cell r="AA28">
            <v>53000</v>
          </cell>
          <cell r="AB28">
            <v>54000</v>
          </cell>
          <cell r="AC28">
            <v>42000</v>
          </cell>
          <cell r="AD28">
            <v>47000</v>
          </cell>
          <cell r="AE28">
            <v>42000</v>
          </cell>
          <cell r="AF28">
            <v>45000</v>
          </cell>
          <cell r="AG28">
            <v>45000</v>
          </cell>
          <cell r="AH28">
            <v>42000</v>
          </cell>
          <cell r="AI28">
            <v>43000</v>
          </cell>
          <cell r="AJ28">
            <v>41000</v>
          </cell>
          <cell r="AK28">
            <v>52000</v>
          </cell>
          <cell r="AL28">
            <v>43000</v>
          </cell>
          <cell r="AM28">
            <v>43000</v>
          </cell>
          <cell r="AN28">
            <v>43000</v>
          </cell>
          <cell r="AO28">
            <v>43000</v>
          </cell>
          <cell r="AP28">
            <v>44000</v>
          </cell>
          <cell r="AQ28">
            <v>46000</v>
          </cell>
          <cell r="AR28">
            <v>43000</v>
          </cell>
          <cell r="AS28">
            <v>44000</v>
          </cell>
          <cell r="AT28">
            <v>54000</v>
          </cell>
          <cell r="AU28">
            <v>43000</v>
          </cell>
          <cell r="AV28">
            <v>42000</v>
          </cell>
          <cell r="AW28">
            <v>41000</v>
          </cell>
          <cell r="AX28">
            <v>42000</v>
          </cell>
          <cell r="AY28">
            <v>43000</v>
          </cell>
          <cell r="AZ28">
            <v>43000</v>
          </cell>
          <cell r="BA28">
            <v>44000</v>
          </cell>
          <cell r="BB28">
            <v>40000</v>
          </cell>
          <cell r="BC28">
            <v>43000</v>
          </cell>
          <cell r="BD28">
            <v>43000</v>
          </cell>
          <cell r="BE28">
            <v>72000</v>
          </cell>
          <cell r="BF28">
            <v>43000</v>
          </cell>
          <cell r="BG28">
            <v>43000</v>
          </cell>
          <cell r="BH28">
            <v>42000</v>
          </cell>
          <cell r="BI28">
            <v>43000</v>
          </cell>
          <cell r="BJ28">
            <v>43000</v>
          </cell>
          <cell r="BK28">
            <v>42000</v>
          </cell>
          <cell r="BL28">
            <v>53000</v>
          </cell>
          <cell r="BM28">
            <v>43000</v>
          </cell>
          <cell r="BN28">
            <v>43000</v>
          </cell>
          <cell r="BO28">
            <v>43000</v>
          </cell>
          <cell r="BP28">
            <v>43000</v>
          </cell>
          <cell r="BQ28">
            <v>46000</v>
          </cell>
          <cell r="BR28">
            <v>42000</v>
          </cell>
          <cell r="BS28">
            <v>43000</v>
          </cell>
          <cell r="BT28">
            <v>43000</v>
          </cell>
          <cell r="BU28">
            <v>44000</v>
          </cell>
          <cell r="BV28">
            <v>44000</v>
          </cell>
          <cell r="BW28">
            <v>43000</v>
          </cell>
          <cell r="BX28">
            <v>42000</v>
          </cell>
          <cell r="BY28">
            <v>45000</v>
          </cell>
          <cell r="BZ28">
            <v>43000</v>
          </cell>
          <cell r="CA28">
            <v>44000</v>
          </cell>
          <cell r="CB28">
            <v>42000</v>
          </cell>
          <cell r="CC28">
            <v>43000</v>
          </cell>
          <cell r="CD28">
            <v>43000</v>
          </cell>
          <cell r="CE28">
            <v>43000</v>
          </cell>
          <cell r="CF28">
            <v>43000</v>
          </cell>
          <cell r="CG28">
            <v>43000</v>
          </cell>
          <cell r="CH28">
            <v>43000</v>
          </cell>
          <cell r="CI28">
            <v>42000</v>
          </cell>
          <cell r="CJ28">
            <v>46000</v>
          </cell>
          <cell r="CK28">
            <v>43000</v>
          </cell>
          <cell r="CL28">
            <v>43000</v>
          </cell>
          <cell r="CM28">
            <v>42000</v>
          </cell>
          <cell r="CN28">
            <v>44000</v>
          </cell>
          <cell r="CO28">
            <v>43000</v>
          </cell>
          <cell r="CP28">
            <v>43000</v>
          </cell>
          <cell r="CQ28">
            <v>43000</v>
          </cell>
          <cell r="CR28">
            <v>43000</v>
          </cell>
          <cell r="CS28">
            <v>43000</v>
          </cell>
          <cell r="CT28">
            <v>43000</v>
          </cell>
          <cell r="CU28">
            <v>43000</v>
          </cell>
          <cell r="CV28">
            <v>43000</v>
          </cell>
          <cell r="CW28">
            <v>43000</v>
          </cell>
          <cell r="CX28">
            <v>42000</v>
          </cell>
          <cell r="CY28">
            <v>42000</v>
          </cell>
          <cell r="CZ28">
            <v>63000</v>
          </cell>
          <cell r="DA28">
            <v>42000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58000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101000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66000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56000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50000</v>
          </cell>
          <cell r="AI29">
            <v>0</v>
          </cell>
          <cell r="AJ29">
            <v>0</v>
          </cell>
          <cell r="AK29">
            <v>127000</v>
          </cell>
          <cell r="AL29">
            <v>55000</v>
          </cell>
          <cell r="AM29">
            <v>0</v>
          </cell>
          <cell r="AN29">
            <v>0</v>
          </cell>
          <cell r="AO29">
            <v>64000</v>
          </cell>
          <cell r="AP29">
            <v>0</v>
          </cell>
          <cell r="AQ29">
            <v>81000</v>
          </cell>
          <cell r="AR29">
            <v>55000</v>
          </cell>
          <cell r="AS29">
            <v>63000</v>
          </cell>
          <cell r="AT29">
            <v>100000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60000</v>
          </cell>
          <cell r="BB29">
            <v>0</v>
          </cell>
          <cell r="BC29">
            <v>0</v>
          </cell>
          <cell r="BD29">
            <v>56000</v>
          </cell>
          <cell r="BE29">
            <v>173000</v>
          </cell>
          <cell r="BF29">
            <v>0</v>
          </cell>
          <cell r="BG29">
            <v>56000</v>
          </cell>
          <cell r="BH29">
            <v>0</v>
          </cell>
          <cell r="BI29">
            <v>0</v>
          </cell>
          <cell r="BJ29">
            <v>95000</v>
          </cell>
          <cell r="BK29">
            <v>0</v>
          </cell>
          <cell r="BL29">
            <v>0</v>
          </cell>
          <cell r="BM29">
            <v>79000</v>
          </cell>
          <cell r="BN29">
            <v>0</v>
          </cell>
          <cell r="BO29">
            <v>0</v>
          </cell>
          <cell r="BP29">
            <v>0</v>
          </cell>
          <cell r="BQ29">
            <v>46000</v>
          </cell>
          <cell r="BR29">
            <v>0</v>
          </cell>
          <cell r="BS29">
            <v>50000</v>
          </cell>
          <cell r="BT29">
            <v>0</v>
          </cell>
          <cell r="BU29">
            <v>66000</v>
          </cell>
          <cell r="BV29">
            <v>0</v>
          </cell>
          <cell r="BW29">
            <v>0</v>
          </cell>
          <cell r="BX29">
            <v>65000</v>
          </cell>
          <cell r="BY29">
            <v>0</v>
          </cell>
          <cell r="BZ29">
            <v>0</v>
          </cell>
          <cell r="CA29">
            <v>74000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94000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51000</v>
          </cell>
          <cell r="CS29">
            <v>0</v>
          </cell>
          <cell r="CT29">
            <v>109000</v>
          </cell>
          <cell r="CU29">
            <v>101000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58000</v>
          </cell>
          <cell r="DA29">
            <v>68000</v>
          </cell>
        </row>
        <row r="30">
          <cell r="E30">
            <v>308000</v>
          </cell>
          <cell r="F30">
            <v>730000</v>
          </cell>
          <cell r="G30">
            <v>363000</v>
          </cell>
          <cell r="H30">
            <v>327000</v>
          </cell>
          <cell r="I30">
            <v>463000</v>
          </cell>
          <cell r="J30">
            <v>247000</v>
          </cell>
          <cell r="K30">
            <v>247000</v>
          </cell>
          <cell r="L30">
            <v>309000</v>
          </cell>
          <cell r="M30">
            <v>340000</v>
          </cell>
          <cell r="N30">
            <v>247000</v>
          </cell>
          <cell r="O30">
            <v>369000</v>
          </cell>
          <cell r="P30">
            <v>247000</v>
          </cell>
          <cell r="Q30">
            <v>320000</v>
          </cell>
          <cell r="R30">
            <v>352000</v>
          </cell>
          <cell r="S30">
            <v>247000</v>
          </cell>
          <cell r="T30">
            <v>241000</v>
          </cell>
          <cell r="U30">
            <v>333000</v>
          </cell>
          <cell r="V30">
            <v>619000</v>
          </cell>
          <cell r="W30">
            <v>427000</v>
          </cell>
          <cell r="X30">
            <v>253000</v>
          </cell>
          <cell r="Y30">
            <v>302000</v>
          </cell>
          <cell r="Z30">
            <v>247000</v>
          </cell>
          <cell r="AA30">
            <v>302000</v>
          </cell>
          <cell r="AB30">
            <v>309000</v>
          </cell>
          <cell r="AC30">
            <v>241000</v>
          </cell>
          <cell r="AD30">
            <v>272000</v>
          </cell>
          <cell r="AE30">
            <v>241000</v>
          </cell>
          <cell r="AF30">
            <v>259000</v>
          </cell>
          <cell r="AG30">
            <v>259000</v>
          </cell>
          <cell r="AH30">
            <v>241000</v>
          </cell>
          <cell r="AI30">
            <v>247000</v>
          </cell>
          <cell r="AJ30">
            <v>235000</v>
          </cell>
          <cell r="AK30">
            <v>296000</v>
          </cell>
          <cell r="AL30">
            <v>247000</v>
          </cell>
          <cell r="AM30">
            <v>247000</v>
          </cell>
          <cell r="AN30">
            <v>247000</v>
          </cell>
          <cell r="AO30">
            <v>247000</v>
          </cell>
          <cell r="AP30">
            <v>253000</v>
          </cell>
          <cell r="AQ30">
            <v>266000</v>
          </cell>
          <cell r="AR30">
            <v>247000</v>
          </cell>
          <cell r="AS30">
            <v>254000</v>
          </cell>
          <cell r="AT30">
            <v>308000</v>
          </cell>
          <cell r="AU30">
            <v>248000</v>
          </cell>
          <cell r="AV30">
            <v>241000</v>
          </cell>
          <cell r="AW30">
            <v>235000</v>
          </cell>
          <cell r="AX30">
            <v>241000</v>
          </cell>
          <cell r="AY30">
            <v>247000</v>
          </cell>
          <cell r="AZ30">
            <v>247000</v>
          </cell>
          <cell r="BA30">
            <v>253000</v>
          </cell>
          <cell r="BB30">
            <v>228000</v>
          </cell>
          <cell r="BC30">
            <v>247000</v>
          </cell>
          <cell r="BD30">
            <v>247000</v>
          </cell>
          <cell r="BE30">
            <v>461000</v>
          </cell>
          <cell r="BF30">
            <v>247000</v>
          </cell>
          <cell r="BG30">
            <v>247000</v>
          </cell>
          <cell r="BH30">
            <v>241000</v>
          </cell>
          <cell r="BI30">
            <v>247000</v>
          </cell>
          <cell r="BJ30">
            <v>247000</v>
          </cell>
          <cell r="BK30">
            <v>241000</v>
          </cell>
          <cell r="BL30">
            <v>302000</v>
          </cell>
          <cell r="BM30">
            <v>247000</v>
          </cell>
          <cell r="BN30">
            <v>248000</v>
          </cell>
          <cell r="BO30">
            <v>247000</v>
          </cell>
          <cell r="BP30">
            <v>247000</v>
          </cell>
          <cell r="BQ30">
            <v>266000</v>
          </cell>
          <cell r="BR30">
            <v>241000</v>
          </cell>
          <cell r="BS30">
            <v>247000</v>
          </cell>
          <cell r="BT30">
            <v>247000</v>
          </cell>
          <cell r="BU30">
            <v>253000</v>
          </cell>
          <cell r="BV30">
            <v>253000</v>
          </cell>
          <cell r="BW30">
            <v>247000</v>
          </cell>
          <cell r="BX30">
            <v>241000</v>
          </cell>
          <cell r="BY30">
            <v>259000</v>
          </cell>
          <cell r="BZ30">
            <v>247000</v>
          </cell>
          <cell r="CA30">
            <v>253000</v>
          </cell>
          <cell r="CB30">
            <v>241000</v>
          </cell>
          <cell r="CC30">
            <v>247000</v>
          </cell>
          <cell r="CD30">
            <v>247000</v>
          </cell>
          <cell r="CE30">
            <v>247000</v>
          </cell>
          <cell r="CF30">
            <v>247000</v>
          </cell>
          <cell r="CG30">
            <v>247000</v>
          </cell>
          <cell r="CH30">
            <v>247000</v>
          </cell>
          <cell r="CI30">
            <v>241000</v>
          </cell>
          <cell r="CJ30">
            <v>266000</v>
          </cell>
          <cell r="CK30">
            <v>247000</v>
          </cell>
          <cell r="CL30">
            <v>247000</v>
          </cell>
          <cell r="CM30">
            <v>241000</v>
          </cell>
          <cell r="CN30">
            <v>253000</v>
          </cell>
          <cell r="CO30">
            <v>247000</v>
          </cell>
          <cell r="CP30">
            <v>247000</v>
          </cell>
          <cell r="CQ30">
            <v>247000</v>
          </cell>
          <cell r="CR30">
            <v>247000</v>
          </cell>
          <cell r="CS30">
            <v>247000</v>
          </cell>
          <cell r="CT30">
            <v>247000</v>
          </cell>
          <cell r="CU30">
            <v>247000</v>
          </cell>
          <cell r="CV30">
            <v>247000</v>
          </cell>
          <cell r="CW30">
            <v>247000</v>
          </cell>
          <cell r="CX30">
            <v>241000</v>
          </cell>
          <cell r="CY30">
            <v>241000</v>
          </cell>
          <cell r="CZ30">
            <v>357000</v>
          </cell>
          <cell r="DA30">
            <v>241000</v>
          </cell>
        </row>
        <row r="31">
          <cell r="E31">
            <v>0</v>
          </cell>
          <cell r="F31">
            <v>16000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11000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16000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</row>
        <row r="32">
          <cell r="E32">
            <v>29000</v>
          </cell>
          <cell r="F32">
            <v>69000</v>
          </cell>
          <cell r="G32">
            <v>39000</v>
          </cell>
          <cell r="H32">
            <v>32000</v>
          </cell>
          <cell r="I32">
            <v>53000</v>
          </cell>
          <cell r="J32">
            <v>19000</v>
          </cell>
          <cell r="K32">
            <v>19000</v>
          </cell>
          <cell r="L32">
            <v>30000</v>
          </cell>
          <cell r="M32">
            <v>35000</v>
          </cell>
          <cell r="N32">
            <v>19000</v>
          </cell>
          <cell r="O32">
            <v>39000</v>
          </cell>
          <cell r="P32">
            <v>19000</v>
          </cell>
          <cell r="Q32">
            <v>31000</v>
          </cell>
          <cell r="R32">
            <v>37000</v>
          </cell>
          <cell r="S32">
            <v>20000</v>
          </cell>
          <cell r="T32">
            <v>18000</v>
          </cell>
          <cell r="U32">
            <v>34000</v>
          </cell>
          <cell r="V32">
            <v>56000</v>
          </cell>
          <cell r="W32">
            <v>49000</v>
          </cell>
          <cell r="X32">
            <v>20000</v>
          </cell>
          <cell r="Y32">
            <v>29000</v>
          </cell>
          <cell r="Z32">
            <v>20000</v>
          </cell>
          <cell r="AA32">
            <v>28000</v>
          </cell>
          <cell r="AB32">
            <v>29000</v>
          </cell>
          <cell r="AC32">
            <v>18000</v>
          </cell>
          <cell r="AD32">
            <v>23000</v>
          </cell>
          <cell r="AE32">
            <v>18000</v>
          </cell>
          <cell r="AF32">
            <v>21000</v>
          </cell>
          <cell r="AG32">
            <v>21000</v>
          </cell>
          <cell r="AH32">
            <v>18000</v>
          </cell>
          <cell r="AI32">
            <v>19000</v>
          </cell>
          <cell r="AJ32">
            <v>17000</v>
          </cell>
          <cell r="AK32">
            <v>27000</v>
          </cell>
          <cell r="AL32">
            <v>19000</v>
          </cell>
          <cell r="AM32">
            <v>19000</v>
          </cell>
          <cell r="AN32">
            <v>19000</v>
          </cell>
          <cell r="AO32">
            <v>19000</v>
          </cell>
          <cell r="AP32">
            <v>20000</v>
          </cell>
          <cell r="AQ32">
            <v>23000</v>
          </cell>
          <cell r="AR32">
            <v>19000</v>
          </cell>
          <cell r="AS32">
            <v>21000</v>
          </cell>
          <cell r="AT32">
            <v>30000</v>
          </cell>
          <cell r="AU32">
            <v>19000</v>
          </cell>
          <cell r="AV32">
            <v>18000</v>
          </cell>
          <cell r="AW32">
            <v>17000</v>
          </cell>
          <cell r="AX32">
            <v>18000</v>
          </cell>
          <cell r="AY32">
            <v>19000</v>
          </cell>
          <cell r="AZ32">
            <v>19000</v>
          </cell>
          <cell r="BA32">
            <v>20000</v>
          </cell>
          <cell r="BB32">
            <v>16000</v>
          </cell>
          <cell r="BC32">
            <v>19000</v>
          </cell>
          <cell r="BD32">
            <v>19000</v>
          </cell>
          <cell r="BE32">
            <v>37000</v>
          </cell>
          <cell r="BF32">
            <v>20000</v>
          </cell>
          <cell r="BG32">
            <v>19000</v>
          </cell>
          <cell r="BH32">
            <v>18000</v>
          </cell>
          <cell r="BI32">
            <v>20000</v>
          </cell>
          <cell r="BJ32">
            <v>19000</v>
          </cell>
          <cell r="BK32">
            <v>18000</v>
          </cell>
          <cell r="BL32">
            <v>29000</v>
          </cell>
          <cell r="BM32">
            <v>19000</v>
          </cell>
          <cell r="BN32">
            <v>20000</v>
          </cell>
          <cell r="BO32">
            <v>20000</v>
          </cell>
          <cell r="BP32">
            <v>19000</v>
          </cell>
          <cell r="BQ32">
            <v>22000</v>
          </cell>
          <cell r="BR32">
            <v>18000</v>
          </cell>
          <cell r="BS32">
            <v>19000</v>
          </cell>
          <cell r="BT32">
            <v>19000</v>
          </cell>
          <cell r="BU32">
            <v>21000</v>
          </cell>
          <cell r="BV32">
            <v>20000</v>
          </cell>
          <cell r="BW32">
            <v>20000</v>
          </cell>
          <cell r="BX32">
            <v>18000</v>
          </cell>
          <cell r="BY32">
            <v>21000</v>
          </cell>
          <cell r="BZ32">
            <v>19000</v>
          </cell>
          <cell r="CA32">
            <v>20000</v>
          </cell>
          <cell r="CB32">
            <v>18000</v>
          </cell>
          <cell r="CC32">
            <v>19000</v>
          </cell>
          <cell r="CD32">
            <v>19000</v>
          </cell>
          <cell r="CE32">
            <v>19000</v>
          </cell>
          <cell r="CF32">
            <v>19000</v>
          </cell>
          <cell r="CG32">
            <v>19000</v>
          </cell>
          <cell r="CH32">
            <v>19000</v>
          </cell>
          <cell r="CI32">
            <v>18000</v>
          </cell>
          <cell r="CJ32">
            <v>22000</v>
          </cell>
          <cell r="CK32">
            <v>19000</v>
          </cell>
          <cell r="CL32">
            <v>19000</v>
          </cell>
          <cell r="CM32">
            <v>18000</v>
          </cell>
          <cell r="CN32">
            <v>20000</v>
          </cell>
          <cell r="CO32">
            <v>19000</v>
          </cell>
          <cell r="CP32">
            <v>19000</v>
          </cell>
          <cell r="CQ32">
            <v>19000</v>
          </cell>
          <cell r="CR32">
            <v>19000</v>
          </cell>
          <cell r="CS32">
            <v>19000</v>
          </cell>
          <cell r="CT32">
            <v>19000</v>
          </cell>
          <cell r="CU32">
            <v>19000</v>
          </cell>
          <cell r="CV32">
            <v>19000</v>
          </cell>
          <cell r="CW32">
            <v>19000</v>
          </cell>
          <cell r="CX32">
            <v>18000</v>
          </cell>
          <cell r="CY32">
            <v>18000</v>
          </cell>
          <cell r="CZ32">
            <v>37000</v>
          </cell>
          <cell r="DA32">
            <v>18000</v>
          </cell>
        </row>
        <row r="33">
          <cell r="E33">
            <v>43000</v>
          </cell>
          <cell r="F33">
            <v>272000</v>
          </cell>
          <cell r="G33">
            <v>97000</v>
          </cell>
          <cell r="H33">
            <v>50000</v>
          </cell>
          <cell r="I33">
            <v>205000</v>
          </cell>
          <cell r="J33">
            <v>14000</v>
          </cell>
          <cell r="K33">
            <v>21000</v>
          </cell>
          <cell r="L33">
            <v>58000</v>
          </cell>
          <cell r="M33">
            <v>96000</v>
          </cell>
          <cell r="N33">
            <v>26000</v>
          </cell>
          <cell r="O33">
            <v>104000</v>
          </cell>
          <cell r="P33">
            <v>8000</v>
          </cell>
          <cell r="Q33">
            <v>45000</v>
          </cell>
          <cell r="R33">
            <v>92000</v>
          </cell>
          <cell r="S33">
            <v>17000</v>
          </cell>
          <cell r="T33">
            <v>17000</v>
          </cell>
          <cell r="U33">
            <v>62000</v>
          </cell>
          <cell r="V33">
            <v>169000</v>
          </cell>
          <cell r="W33">
            <v>169000</v>
          </cell>
          <cell r="X33">
            <v>15000</v>
          </cell>
          <cell r="Y33">
            <v>56000</v>
          </cell>
          <cell r="Z33">
            <v>13000</v>
          </cell>
          <cell r="AA33">
            <v>45000</v>
          </cell>
          <cell r="AB33">
            <v>59000</v>
          </cell>
          <cell r="AC33">
            <v>11000</v>
          </cell>
          <cell r="AD33">
            <v>23000</v>
          </cell>
          <cell r="AE33">
            <v>16000</v>
          </cell>
          <cell r="AF33">
            <v>22000</v>
          </cell>
          <cell r="AG33">
            <v>30000</v>
          </cell>
          <cell r="AH33">
            <v>7000</v>
          </cell>
          <cell r="AI33">
            <v>7000</v>
          </cell>
          <cell r="AJ33">
            <v>4000</v>
          </cell>
          <cell r="AK33">
            <v>35000</v>
          </cell>
          <cell r="AL33">
            <v>9000</v>
          </cell>
          <cell r="AM33">
            <v>7000</v>
          </cell>
          <cell r="AN33">
            <v>7000</v>
          </cell>
          <cell r="AO33">
            <v>6000</v>
          </cell>
          <cell r="AP33">
            <v>13000</v>
          </cell>
          <cell r="AQ33">
            <v>26000</v>
          </cell>
          <cell r="AR33">
            <v>19000</v>
          </cell>
          <cell r="AS33">
            <v>22000</v>
          </cell>
          <cell r="AT33">
            <v>46000</v>
          </cell>
          <cell r="AU33">
            <v>7000</v>
          </cell>
          <cell r="AV33">
            <v>4000</v>
          </cell>
          <cell r="AW33">
            <v>2000</v>
          </cell>
          <cell r="AX33">
            <v>3000</v>
          </cell>
          <cell r="AY33">
            <v>15000</v>
          </cell>
          <cell r="AZ33">
            <v>11000</v>
          </cell>
          <cell r="BA33">
            <v>12000</v>
          </cell>
          <cell r="BB33">
            <v>4000</v>
          </cell>
          <cell r="BC33">
            <v>5000</v>
          </cell>
          <cell r="BD33">
            <v>3000</v>
          </cell>
          <cell r="BE33">
            <v>62000</v>
          </cell>
          <cell r="BF33">
            <v>7000</v>
          </cell>
          <cell r="BG33">
            <v>7000</v>
          </cell>
          <cell r="BH33">
            <v>4000</v>
          </cell>
          <cell r="BI33">
            <v>12000</v>
          </cell>
          <cell r="BJ33">
            <v>8000</v>
          </cell>
          <cell r="BK33">
            <v>4000</v>
          </cell>
          <cell r="BL33">
            <v>60000</v>
          </cell>
          <cell r="BM33">
            <v>7000</v>
          </cell>
          <cell r="BN33">
            <v>9000</v>
          </cell>
          <cell r="BO33">
            <v>9000</v>
          </cell>
          <cell r="BP33">
            <v>7000</v>
          </cell>
          <cell r="BQ33">
            <v>19000</v>
          </cell>
          <cell r="BR33">
            <v>5000</v>
          </cell>
          <cell r="BS33">
            <v>4000</v>
          </cell>
          <cell r="BT33">
            <v>5000</v>
          </cell>
          <cell r="BU33">
            <v>10000</v>
          </cell>
          <cell r="BV33">
            <v>15000</v>
          </cell>
          <cell r="BW33">
            <v>5000</v>
          </cell>
          <cell r="BX33">
            <v>7000</v>
          </cell>
          <cell r="BY33">
            <v>16000</v>
          </cell>
          <cell r="BZ33">
            <v>19000</v>
          </cell>
          <cell r="CA33">
            <v>17000</v>
          </cell>
          <cell r="CB33">
            <v>11000</v>
          </cell>
          <cell r="CC33">
            <v>13000</v>
          </cell>
          <cell r="CD33">
            <v>21000</v>
          </cell>
          <cell r="CE33">
            <v>19000</v>
          </cell>
          <cell r="CF33">
            <v>8000</v>
          </cell>
          <cell r="CG33">
            <v>7000</v>
          </cell>
          <cell r="CH33">
            <v>10000</v>
          </cell>
          <cell r="CI33">
            <v>9000</v>
          </cell>
          <cell r="CJ33">
            <v>11000</v>
          </cell>
          <cell r="CK33">
            <v>13000</v>
          </cell>
          <cell r="CL33">
            <v>9000</v>
          </cell>
          <cell r="CM33">
            <v>9000</v>
          </cell>
          <cell r="CN33">
            <v>8000</v>
          </cell>
          <cell r="CO33">
            <v>9000</v>
          </cell>
          <cell r="CP33">
            <v>12000</v>
          </cell>
          <cell r="CQ33">
            <v>10000</v>
          </cell>
          <cell r="CR33">
            <v>11000</v>
          </cell>
          <cell r="CS33">
            <v>7000</v>
          </cell>
          <cell r="CT33">
            <v>8000</v>
          </cell>
          <cell r="CU33">
            <v>11000</v>
          </cell>
          <cell r="CV33">
            <v>7000</v>
          </cell>
          <cell r="CW33">
            <v>5000</v>
          </cell>
          <cell r="CX33">
            <v>7000</v>
          </cell>
          <cell r="CY33">
            <v>7000</v>
          </cell>
          <cell r="CZ33">
            <v>81000</v>
          </cell>
          <cell r="DA33">
            <v>10000</v>
          </cell>
        </row>
        <row r="34">
          <cell r="E34">
            <v>21000</v>
          </cell>
          <cell r="F34">
            <v>136000</v>
          </cell>
          <cell r="G34">
            <v>48000</v>
          </cell>
          <cell r="H34">
            <v>24000</v>
          </cell>
          <cell r="I34">
            <v>102000</v>
          </cell>
          <cell r="J34">
            <v>7000</v>
          </cell>
          <cell r="K34">
            <v>10000</v>
          </cell>
          <cell r="L34">
            <v>29000</v>
          </cell>
          <cell r="M34">
            <v>48000</v>
          </cell>
          <cell r="N34">
            <v>13000</v>
          </cell>
          <cell r="O34">
            <v>52000</v>
          </cell>
          <cell r="P34">
            <v>4000</v>
          </cell>
          <cell r="Q34">
            <v>23000</v>
          </cell>
          <cell r="R34">
            <v>46000</v>
          </cell>
          <cell r="S34">
            <v>9000</v>
          </cell>
          <cell r="T34">
            <v>9000</v>
          </cell>
          <cell r="U34">
            <v>31000</v>
          </cell>
          <cell r="V34">
            <v>85000</v>
          </cell>
          <cell r="W34">
            <v>85000</v>
          </cell>
          <cell r="X34">
            <v>8000</v>
          </cell>
          <cell r="Y34">
            <v>28000</v>
          </cell>
          <cell r="Z34">
            <v>6000</v>
          </cell>
          <cell r="AA34">
            <v>23000</v>
          </cell>
          <cell r="AB34">
            <v>30000</v>
          </cell>
          <cell r="AC34">
            <v>6000</v>
          </cell>
          <cell r="AD34">
            <v>12000</v>
          </cell>
          <cell r="AE34">
            <v>8000</v>
          </cell>
          <cell r="AF34">
            <v>11000</v>
          </cell>
          <cell r="AG34">
            <v>15000</v>
          </cell>
          <cell r="AH34">
            <v>3000</v>
          </cell>
          <cell r="AI34">
            <v>3000</v>
          </cell>
          <cell r="AJ34">
            <v>2000</v>
          </cell>
          <cell r="AK34">
            <v>17000</v>
          </cell>
          <cell r="AL34">
            <v>5000</v>
          </cell>
          <cell r="AM34">
            <v>3000</v>
          </cell>
          <cell r="AN34">
            <v>3000</v>
          </cell>
          <cell r="AO34">
            <v>3000</v>
          </cell>
          <cell r="AP34">
            <v>7000</v>
          </cell>
          <cell r="AQ34">
            <v>13000</v>
          </cell>
          <cell r="AR34">
            <v>9000</v>
          </cell>
          <cell r="AS34">
            <v>11000</v>
          </cell>
          <cell r="AT34">
            <v>23000</v>
          </cell>
          <cell r="AU34">
            <v>4000</v>
          </cell>
          <cell r="AV34">
            <v>2000</v>
          </cell>
          <cell r="AW34">
            <v>1000</v>
          </cell>
          <cell r="AX34">
            <v>2000</v>
          </cell>
          <cell r="AY34">
            <v>7000</v>
          </cell>
          <cell r="AZ34">
            <v>6000</v>
          </cell>
          <cell r="BA34">
            <v>5000</v>
          </cell>
          <cell r="BB34">
            <v>2000</v>
          </cell>
          <cell r="BC34">
            <v>2000</v>
          </cell>
          <cell r="BD34">
            <v>2000</v>
          </cell>
          <cell r="BE34">
            <v>31000</v>
          </cell>
          <cell r="BF34">
            <v>4000</v>
          </cell>
          <cell r="BG34">
            <v>3000</v>
          </cell>
          <cell r="BH34">
            <v>2000</v>
          </cell>
          <cell r="BI34">
            <v>6000</v>
          </cell>
          <cell r="BJ34">
            <v>4000</v>
          </cell>
          <cell r="BK34">
            <v>2000</v>
          </cell>
          <cell r="BL34">
            <v>30000</v>
          </cell>
          <cell r="BM34">
            <v>4000</v>
          </cell>
          <cell r="BN34">
            <v>4000</v>
          </cell>
          <cell r="BO34">
            <v>4000</v>
          </cell>
          <cell r="BP34">
            <v>3000</v>
          </cell>
          <cell r="BQ34">
            <v>9000</v>
          </cell>
          <cell r="BR34">
            <v>2000</v>
          </cell>
          <cell r="BS34">
            <v>2000</v>
          </cell>
          <cell r="BT34">
            <v>2000</v>
          </cell>
          <cell r="BU34">
            <v>5000</v>
          </cell>
          <cell r="BV34">
            <v>7000</v>
          </cell>
          <cell r="BW34">
            <v>3000</v>
          </cell>
          <cell r="BX34">
            <v>4000</v>
          </cell>
          <cell r="BY34">
            <v>8000</v>
          </cell>
          <cell r="BZ34">
            <v>9000</v>
          </cell>
          <cell r="CA34">
            <v>9000</v>
          </cell>
          <cell r="CB34">
            <v>6000</v>
          </cell>
          <cell r="CC34">
            <v>7000</v>
          </cell>
          <cell r="CD34">
            <v>10000</v>
          </cell>
          <cell r="CE34">
            <v>10000</v>
          </cell>
          <cell r="CF34">
            <v>4000</v>
          </cell>
          <cell r="CG34">
            <v>4000</v>
          </cell>
          <cell r="CH34">
            <v>5000</v>
          </cell>
          <cell r="CI34">
            <v>5000</v>
          </cell>
          <cell r="CJ34">
            <v>5000</v>
          </cell>
          <cell r="CK34">
            <v>7000</v>
          </cell>
          <cell r="CL34">
            <v>4000</v>
          </cell>
          <cell r="CM34">
            <v>5000</v>
          </cell>
          <cell r="CN34">
            <v>4000</v>
          </cell>
          <cell r="CO34">
            <v>4000</v>
          </cell>
          <cell r="CP34">
            <v>6000</v>
          </cell>
          <cell r="CQ34">
            <v>5000</v>
          </cell>
          <cell r="CR34">
            <v>5000</v>
          </cell>
          <cell r="CS34">
            <v>3000</v>
          </cell>
          <cell r="CT34">
            <v>4000</v>
          </cell>
          <cell r="CU34">
            <v>5000</v>
          </cell>
          <cell r="CV34">
            <v>4000</v>
          </cell>
          <cell r="CW34">
            <v>3000</v>
          </cell>
          <cell r="CX34">
            <v>3000</v>
          </cell>
          <cell r="CY34">
            <v>3000</v>
          </cell>
          <cell r="CZ34">
            <v>41000</v>
          </cell>
          <cell r="DA34">
            <v>5000</v>
          </cell>
        </row>
        <row r="35">
          <cell r="E35">
            <v>12000</v>
          </cell>
          <cell r="F35">
            <v>12000</v>
          </cell>
          <cell r="G35">
            <v>24000</v>
          </cell>
          <cell r="H35">
            <v>56000</v>
          </cell>
          <cell r="I35">
            <v>36000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36000</v>
          </cell>
          <cell r="P35">
            <v>0</v>
          </cell>
          <cell r="Q35">
            <v>60000</v>
          </cell>
          <cell r="R35">
            <v>36000</v>
          </cell>
          <cell r="S35">
            <v>0</v>
          </cell>
          <cell r="T35">
            <v>0</v>
          </cell>
          <cell r="U35">
            <v>36000</v>
          </cell>
          <cell r="V35">
            <v>132000</v>
          </cell>
          <cell r="W35">
            <v>24000</v>
          </cell>
          <cell r="X35">
            <v>0</v>
          </cell>
          <cell r="Y35">
            <v>12000</v>
          </cell>
          <cell r="Z35">
            <v>0</v>
          </cell>
          <cell r="AA35">
            <v>12000</v>
          </cell>
          <cell r="AB35">
            <v>24000</v>
          </cell>
          <cell r="AC35">
            <v>0</v>
          </cell>
          <cell r="AD35">
            <v>24000</v>
          </cell>
          <cell r="AE35">
            <v>0</v>
          </cell>
          <cell r="AF35">
            <v>0</v>
          </cell>
          <cell r="AG35">
            <v>12000</v>
          </cell>
          <cell r="AH35">
            <v>0</v>
          </cell>
          <cell r="AI35">
            <v>0</v>
          </cell>
          <cell r="AJ35">
            <v>0</v>
          </cell>
          <cell r="AK35">
            <v>36000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24000</v>
          </cell>
          <cell r="AR35">
            <v>0</v>
          </cell>
          <cell r="AS35">
            <v>0</v>
          </cell>
          <cell r="AT35">
            <v>36000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12000</v>
          </cell>
          <cell r="BB35">
            <v>0</v>
          </cell>
          <cell r="BC35">
            <v>0</v>
          </cell>
          <cell r="BD35">
            <v>0</v>
          </cell>
          <cell r="BE35">
            <v>96000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24000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12000</v>
          </cell>
          <cell r="BZ35">
            <v>0</v>
          </cell>
          <cell r="CA35">
            <v>12000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12000</v>
          </cell>
          <cell r="CH35">
            <v>0</v>
          </cell>
          <cell r="CI35">
            <v>0</v>
          </cell>
          <cell r="CJ35">
            <v>44000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60000</v>
          </cell>
          <cell r="DA35">
            <v>0</v>
          </cell>
        </row>
        <row r="36">
          <cell r="E36">
            <v>8000</v>
          </cell>
          <cell r="F36">
            <v>8000</v>
          </cell>
          <cell r="G36">
            <v>14000</v>
          </cell>
          <cell r="H36">
            <v>33000</v>
          </cell>
          <cell r="I36">
            <v>22000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22000</v>
          </cell>
          <cell r="P36">
            <v>0</v>
          </cell>
          <cell r="Q36">
            <v>36000</v>
          </cell>
          <cell r="R36">
            <v>22000</v>
          </cell>
          <cell r="S36">
            <v>0</v>
          </cell>
          <cell r="T36">
            <v>0</v>
          </cell>
          <cell r="U36">
            <v>22000</v>
          </cell>
          <cell r="V36">
            <v>22000</v>
          </cell>
          <cell r="W36">
            <v>15000</v>
          </cell>
          <cell r="X36">
            <v>0</v>
          </cell>
          <cell r="Y36">
            <v>8000</v>
          </cell>
          <cell r="Z36">
            <v>0</v>
          </cell>
          <cell r="AA36">
            <v>8000</v>
          </cell>
          <cell r="AB36">
            <v>15000</v>
          </cell>
          <cell r="AC36">
            <v>0</v>
          </cell>
          <cell r="AD36">
            <v>15000</v>
          </cell>
          <cell r="AE36">
            <v>0</v>
          </cell>
          <cell r="AF36">
            <v>0</v>
          </cell>
          <cell r="AG36">
            <v>8000</v>
          </cell>
          <cell r="AH36">
            <v>0</v>
          </cell>
          <cell r="AI36">
            <v>0</v>
          </cell>
          <cell r="AJ36">
            <v>0</v>
          </cell>
          <cell r="AK36">
            <v>22000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14000</v>
          </cell>
          <cell r="AR36">
            <v>0</v>
          </cell>
          <cell r="AS36">
            <v>0</v>
          </cell>
          <cell r="AT36">
            <v>21000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8000</v>
          </cell>
          <cell r="BB36">
            <v>0</v>
          </cell>
          <cell r="BC36">
            <v>0</v>
          </cell>
          <cell r="BD36">
            <v>0</v>
          </cell>
          <cell r="BE36">
            <v>58000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15000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8000</v>
          </cell>
          <cell r="BZ36">
            <v>0</v>
          </cell>
          <cell r="CA36">
            <v>8000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8000</v>
          </cell>
          <cell r="CH36">
            <v>0</v>
          </cell>
          <cell r="CI36">
            <v>0</v>
          </cell>
          <cell r="CJ36">
            <v>26000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36000</v>
          </cell>
          <cell r="DA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6000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18000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5000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5000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5000</v>
          </cell>
          <cell r="AI37">
            <v>0</v>
          </cell>
          <cell r="AJ37">
            <v>0</v>
          </cell>
          <cell r="AK37">
            <v>18000</v>
          </cell>
          <cell r="AL37">
            <v>5000</v>
          </cell>
          <cell r="AM37">
            <v>0</v>
          </cell>
          <cell r="AN37">
            <v>0</v>
          </cell>
          <cell r="AO37">
            <v>5000</v>
          </cell>
          <cell r="AP37">
            <v>0</v>
          </cell>
          <cell r="AQ37">
            <v>6000</v>
          </cell>
          <cell r="AR37">
            <v>11000</v>
          </cell>
          <cell r="AS37">
            <v>5000</v>
          </cell>
          <cell r="AT37">
            <v>18000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5000</v>
          </cell>
          <cell r="BB37">
            <v>0</v>
          </cell>
          <cell r="BC37">
            <v>0</v>
          </cell>
          <cell r="BD37">
            <v>5000</v>
          </cell>
          <cell r="BE37">
            <v>18000</v>
          </cell>
          <cell r="BF37">
            <v>0</v>
          </cell>
          <cell r="BG37">
            <v>5000</v>
          </cell>
          <cell r="BH37">
            <v>0</v>
          </cell>
          <cell r="BI37">
            <v>0</v>
          </cell>
          <cell r="BJ37">
            <v>16000</v>
          </cell>
          <cell r="BK37">
            <v>0</v>
          </cell>
          <cell r="BL37">
            <v>0</v>
          </cell>
          <cell r="BM37">
            <v>5000</v>
          </cell>
          <cell r="BN37">
            <v>0</v>
          </cell>
          <cell r="BO37">
            <v>0</v>
          </cell>
          <cell r="BP37">
            <v>0</v>
          </cell>
          <cell r="BQ37">
            <v>11000</v>
          </cell>
          <cell r="BR37">
            <v>0</v>
          </cell>
          <cell r="BS37">
            <v>11000</v>
          </cell>
          <cell r="BT37">
            <v>0</v>
          </cell>
          <cell r="BU37">
            <v>4000</v>
          </cell>
          <cell r="BV37">
            <v>0</v>
          </cell>
          <cell r="BW37">
            <v>0</v>
          </cell>
          <cell r="BX37">
            <v>5000</v>
          </cell>
          <cell r="BY37">
            <v>0</v>
          </cell>
          <cell r="BZ37">
            <v>0</v>
          </cell>
          <cell r="CA37">
            <v>12000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16000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5000</v>
          </cell>
          <cell r="CS37">
            <v>0</v>
          </cell>
          <cell r="CT37">
            <v>16000</v>
          </cell>
          <cell r="CU37">
            <v>16000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6000</v>
          </cell>
          <cell r="DA37">
            <v>12000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1000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1000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1000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1000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1000</v>
          </cell>
          <cell r="AI38">
            <v>0</v>
          </cell>
          <cell r="AJ38">
            <v>0</v>
          </cell>
          <cell r="AK38">
            <v>2000</v>
          </cell>
          <cell r="AL38">
            <v>1000</v>
          </cell>
          <cell r="AM38">
            <v>0</v>
          </cell>
          <cell r="AN38">
            <v>0</v>
          </cell>
          <cell r="AO38">
            <v>1000</v>
          </cell>
          <cell r="AP38">
            <v>0</v>
          </cell>
          <cell r="AQ38">
            <v>1000</v>
          </cell>
          <cell r="AR38">
            <v>1000</v>
          </cell>
          <cell r="AS38">
            <v>1000</v>
          </cell>
          <cell r="AT38">
            <v>2000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1000</v>
          </cell>
          <cell r="BB38">
            <v>0</v>
          </cell>
          <cell r="BC38">
            <v>0</v>
          </cell>
          <cell r="BD38">
            <v>1000</v>
          </cell>
          <cell r="BE38">
            <v>2000</v>
          </cell>
          <cell r="BF38">
            <v>0</v>
          </cell>
          <cell r="BG38">
            <v>1000</v>
          </cell>
          <cell r="BH38">
            <v>0</v>
          </cell>
          <cell r="BI38">
            <v>0</v>
          </cell>
          <cell r="BJ38">
            <v>2000</v>
          </cell>
          <cell r="BK38">
            <v>0</v>
          </cell>
          <cell r="BL38">
            <v>0</v>
          </cell>
          <cell r="BM38">
            <v>1000</v>
          </cell>
          <cell r="BN38">
            <v>0</v>
          </cell>
          <cell r="BO38">
            <v>0</v>
          </cell>
          <cell r="BP38">
            <v>0</v>
          </cell>
          <cell r="BQ38">
            <v>1000</v>
          </cell>
          <cell r="BR38">
            <v>0</v>
          </cell>
          <cell r="BS38">
            <v>0</v>
          </cell>
          <cell r="BT38">
            <v>0</v>
          </cell>
          <cell r="BU38">
            <v>1000</v>
          </cell>
          <cell r="BV38">
            <v>0</v>
          </cell>
          <cell r="BW38">
            <v>0</v>
          </cell>
          <cell r="BX38">
            <v>1000</v>
          </cell>
          <cell r="BY38">
            <v>0</v>
          </cell>
          <cell r="BZ38">
            <v>0</v>
          </cell>
          <cell r="CA38">
            <v>1000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2000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1000</v>
          </cell>
          <cell r="CS38">
            <v>0</v>
          </cell>
          <cell r="CT38">
            <v>1000</v>
          </cell>
          <cell r="CU38">
            <v>1000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1000</v>
          </cell>
          <cell r="DA38">
            <v>1000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7000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13000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5000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5000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5000</v>
          </cell>
          <cell r="AI39">
            <v>0</v>
          </cell>
          <cell r="AJ39">
            <v>0</v>
          </cell>
          <cell r="AK39">
            <v>13000</v>
          </cell>
          <cell r="AL39">
            <v>5000</v>
          </cell>
          <cell r="AM39">
            <v>0</v>
          </cell>
          <cell r="AN39">
            <v>0</v>
          </cell>
          <cell r="AO39">
            <v>5000</v>
          </cell>
          <cell r="AP39">
            <v>0</v>
          </cell>
          <cell r="AQ39">
            <v>7000</v>
          </cell>
          <cell r="AR39">
            <v>6000</v>
          </cell>
          <cell r="AS39">
            <v>5000</v>
          </cell>
          <cell r="AT39">
            <v>11000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5000</v>
          </cell>
          <cell r="BB39">
            <v>0</v>
          </cell>
          <cell r="BC39">
            <v>0</v>
          </cell>
          <cell r="BD39">
            <v>5000</v>
          </cell>
          <cell r="BE39">
            <v>11000</v>
          </cell>
          <cell r="BF39">
            <v>0</v>
          </cell>
          <cell r="BG39">
            <v>5000</v>
          </cell>
          <cell r="BH39">
            <v>0</v>
          </cell>
          <cell r="BI39">
            <v>0</v>
          </cell>
          <cell r="BJ39">
            <v>11000</v>
          </cell>
          <cell r="BK39">
            <v>0</v>
          </cell>
          <cell r="BL39">
            <v>0</v>
          </cell>
          <cell r="BM39">
            <v>5000</v>
          </cell>
          <cell r="BN39">
            <v>0</v>
          </cell>
          <cell r="BO39">
            <v>0</v>
          </cell>
          <cell r="BP39">
            <v>0</v>
          </cell>
          <cell r="BQ39">
            <v>6000</v>
          </cell>
          <cell r="BR39">
            <v>0</v>
          </cell>
          <cell r="BS39">
            <v>6000</v>
          </cell>
          <cell r="BT39">
            <v>0</v>
          </cell>
          <cell r="BU39">
            <v>5000</v>
          </cell>
          <cell r="BV39">
            <v>0</v>
          </cell>
          <cell r="BW39">
            <v>0</v>
          </cell>
          <cell r="BX39">
            <v>5000</v>
          </cell>
          <cell r="BY39">
            <v>0</v>
          </cell>
          <cell r="BZ39">
            <v>0</v>
          </cell>
          <cell r="CA39">
            <v>11000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11000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5000</v>
          </cell>
          <cell r="CS39">
            <v>0</v>
          </cell>
          <cell r="CT39">
            <v>11000</v>
          </cell>
          <cell r="CU39">
            <v>11000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7000</v>
          </cell>
          <cell r="DA39">
            <v>11000</v>
          </cell>
        </row>
        <row r="40">
          <cell r="E40">
            <v>6000</v>
          </cell>
          <cell r="F40">
            <v>72000</v>
          </cell>
          <cell r="G40">
            <v>18000</v>
          </cell>
          <cell r="H40">
            <v>30000</v>
          </cell>
          <cell r="I40">
            <v>42000</v>
          </cell>
          <cell r="J40">
            <v>24000</v>
          </cell>
          <cell r="K40">
            <v>18000</v>
          </cell>
          <cell r="L40">
            <v>12000</v>
          </cell>
          <cell r="M40">
            <v>12000</v>
          </cell>
          <cell r="N40">
            <v>12000</v>
          </cell>
          <cell r="O40">
            <v>6000</v>
          </cell>
          <cell r="P40">
            <v>0</v>
          </cell>
          <cell r="Q40">
            <v>6000</v>
          </cell>
          <cell r="R40">
            <v>6000</v>
          </cell>
          <cell r="S40">
            <v>6000</v>
          </cell>
          <cell r="T40">
            <v>6000</v>
          </cell>
          <cell r="U40">
            <v>12000</v>
          </cell>
          <cell r="V40">
            <v>30000</v>
          </cell>
          <cell r="W40">
            <v>24000</v>
          </cell>
          <cell r="X40">
            <v>18000</v>
          </cell>
          <cell r="Y40">
            <v>24000</v>
          </cell>
          <cell r="Z40">
            <v>14000</v>
          </cell>
          <cell r="AA40">
            <v>42000</v>
          </cell>
          <cell r="AB40">
            <v>18000</v>
          </cell>
          <cell r="AC40">
            <v>0</v>
          </cell>
          <cell r="AD40">
            <v>6000</v>
          </cell>
          <cell r="AE40">
            <v>0</v>
          </cell>
          <cell r="AF40">
            <v>6000</v>
          </cell>
          <cell r="AG40">
            <v>12000</v>
          </cell>
          <cell r="AH40">
            <v>0</v>
          </cell>
          <cell r="AI40">
            <v>6000</v>
          </cell>
          <cell r="AJ40">
            <v>6000</v>
          </cell>
          <cell r="AK40">
            <v>24000</v>
          </cell>
          <cell r="AL40">
            <v>12000</v>
          </cell>
          <cell r="AM40">
            <v>0</v>
          </cell>
          <cell r="AN40">
            <v>6000</v>
          </cell>
          <cell r="AO40">
            <v>6000</v>
          </cell>
          <cell r="AP40">
            <v>12000</v>
          </cell>
          <cell r="AQ40">
            <v>18000</v>
          </cell>
          <cell r="AR40">
            <v>12000</v>
          </cell>
          <cell r="AS40">
            <v>18000</v>
          </cell>
          <cell r="AT40">
            <v>18000</v>
          </cell>
          <cell r="AU40">
            <v>6000</v>
          </cell>
          <cell r="AV40">
            <v>24000</v>
          </cell>
          <cell r="AW40">
            <v>12000</v>
          </cell>
          <cell r="AX40">
            <v>0</v>
          </cell>
          <cell r="AY40">
            <v>6000</v>
          </cell>
          <cell r="AZ40">
            <v>12000</v>
          </cell>
          <cell r="BA40">
            <v>6000</v>
          </cell>
          <cell r="BB40">
            <v>0</v>
          </cell>
          <cell r="BC40">
            <v>6000</v>
          </cell>
          <cell r="BD40">
            <v>12000</v>
          </cell>
          <cell r="BE40">
            <v>18000</v>
          </cell>
          <cell r="BF40">
            <v>0</v>
          </cell>
          <cell r="BG40">
            <v>12000</v>
          </cell>
          <cell r="BH40">
            <v>0</v>
          </cell>
          <cell r="BI40">
            <v>6000</v>
          </cell>
          <cell r="BJ40">
            <v>6000</v>
          </cell>
          <cell r="BK40">
            <v>0</v>
          </cell>
          <cell r="BL40">
            <v>12000</v>
          </cell>
          <cell r="BM40">
            <v>0</v>
          </cell>
          <cell r="BN40">
            <v>6000</v>
          </cell>
          <cell r="BO40">
            <v>12000</v>
          </cell>
          <cell r="BP40">
            <v>0</v>
          </cell>
          <cell r="BQ40">
            <v>24000</v>
          </cell>
          <cell r="BR40">
            <v>0</v>
          </cell>
          <cell r="BS40">
            <v>6000</v>
          </cell>
          <cell r="BT40">
            <v>0</v>
          </cell>
          <cell r="BU40">
            <v>18000</v>
          </cell>
          <cell r="BV40">
            <v>6000</v>
          </cell>
          <cell r="BW40">
            <v>6000</v>
          </cell>
          <cell r="BX40">
            <v>0</v>
          </cell>
          <cell r="BY40">
            <v>18000</v>
          </cell>
          <cell r="BZ40">
            <v>6000</v>
          </cell>
          <cell r="CA40">
            <v>12000</v>
          </cell>
          <cell r="CB40">
            <v>6000</v>
          </cell>
          <cell r="CC40">
            <v>18000</v>
          </cell>
          <cell r="CD40">
            <v>6000</v>
          </cell>
          <cell r="CE40">
            <v>0</v>
          </cell>
          <cell r="CF40">
            <v>20000</v>
          </cell>
          <cell r="CG40">
            <v>6000</v>
          </cell>
          <cell r="CH40">
            <v>12000</v>
          </cell>
          <cell r="CI40">
            <v>0</v>
          </cell>
          <cell r="CJ40">
            <v>6000</v>
          </cell>
          <cell r="CK40">
            <v>6000</v>
          </cell>
          <cell r="CL40">
            <v>0</v>
          </cell>
          <cell r="CM40">
            <v>0</v>
          </cell>
          <cell r="CN40">
            <v>6000</v>
          </cell>
          <cell r="CO40">
            <v>12000</v>
          </cell>
          <cell r="CP40">
            <v>6000</v>
          </cell>
          <cell r="CQ40">
            <v>0</v>
          </cell>
          <cell r="CR40">
            <v>0</v>
          </cell>
          <cell r="CS40">
            <v>6000</v>
          </cell>
          <cell r="CT40">
            <v>6000</v>
          </cell>
          <cell r="CU40">
            <v>12000</v>
          </cell>
          <cell r="CV40">
            <v>0</v>
          </cell>
          <cell r="CW40">
            <v>6000</v>
          </cell>
          <cell r="CX40">
            <v>6000</v>
          </cell>
          <cell r="CY40">
            <v>6000</v>
          </cell>
          <cell r="CZ40">
            <v>0</v>
          </cell>
          <cell r="DA40">
            <v>0</v>
          </cell>
        </row>
        <row r="41">
          <cell r="E41">
            <v>14000</v>
          </cell>
          <cell r="F41">
            <v>0</v>
          </cell>
          <cell r="G41">
            <v>108000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268000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100000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40000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80000</v>
          </cell>
          <cell r="BI41">
            <v>0</v>
          </cell>
          <cell r="BJ41">
            <v>50000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500000</v>
          </cell>
          <cell r="CB41">
            <v>0</v>
          </cell>
          <cell r="CC41">
            <v>0</v>
          </cell>
          <cell r="CD41">
            <v>0</v>
          </cell>
          <cell r="CE41">
            <v>115000</v>
          </cell>
          <cell r="CF41">
            <v>200000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80000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60000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50000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80000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50000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300000</v>
          </cell>
          <cell r="J43">
            <v>0</v>
          </cell>
          <cell r="K43">
            <v>0</v>
          </cell>
          <cell r="L43">
            <v>150000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</row>
        <row r="44">
          <cell r="E44">
            <v>4000</v>
          </cell>
          <cell r="F44">
            <v>600000</v>
          </cell>
          <cell r="G44">
            <v>50000</v>
          </cell>
          <cell r="H44">
            <v>290000</v>
          </cell>
          <cell r="I44">
            <v>100000</v>
          </cell>
          <cell r="J44">
            <v>3000</v>
          </cell>
          <cell r="K44">
            <v>100000</v>
          </cell>
          <cell r="L44">
            <v>270000</v>
          </cell>
          <cell r="M44">
            <v>50000</v>
          </cell>
          <cell r="N44">
            <v>10000</v>
          </cell>
          <cell r="O44">
            <v>365000</v>
          </cell>
          <cell r="P44">
            <v>0</v>
          </cell>
          <cell r="Q44">
            <v>20000</v>
          </cell>
          <cell r="R44">
            <v>20000</v>
          </cell>
          <cell r="S44">
            <v>5000</v>
          </cell>
          <cell r="T44">
            <v>25000</v>
          </cell>
          <cell r="U44">
            <v>265000</v>
          </cell>
          <cell r="V44">
            <v>450000</v>
          </cell>
          <cell r="W44">
            <v>75000</v>
          </cell>
          <cell r="X44">
            <v>20000</v>
          </cell>
          <cell r="Y44">
            <v>30000</v>
          </cell>
          <cell r="Z44">
            <v>15000</v>
          </cell>
          <cell r="AA44">
            <v>100000</v>
          </cell>
          <cell r="AB44">
            <v>60000</v>
          </cell>
          <cell r="AC44">
            <v>0</v>
          </cell>
          <cell r="AD44">
            <v>200000</v>
          </cell>
          <cell r="AE44">
            <v>20000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18000</v>
          </cell>
          <cell r="AK44">
            <v>120000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50000</v>
          </cell>
          <cell r="AQ44">
            <v>20000</v>
          </cell>
          <cell r="AR44">
            <v>5000</v>
          </cell>
          <cell r="AS44">
            <v>15000</v>
          </cell>
          <cell r="AT44">
            <v>30000</v>
          </cell>
          <cell r="AU44">
            <v>10000</v>
          </cell>
          <cell r="AV44">
            <v>0</v>
          </cell>
          <cell r="AW44">
            <v>0</v>
          </cell>
          <cell r="AX44">
            <v>0</v>
          </cell>
          <cell r="AY44">
            <v>5000</v>
          </cell>
          <cell r="AZ44">
            <v>0</v>
          </cell>
          <cell r="BA44">
            <v>10000</v>
          </cell>
          <cell r="BB44">
            <v>10000</v>
          </cell>
          <cell r="BC44">
            <v>0</v>
          </cell>
          <cell r="BD44">
            <v>0</v>
          </cell>
          <cell r="BE44">
            <v>390000</v>
          </cell>
          <cell r="BF44">
            <v>6000</v>
          </cell>
          <cell r="BG44">
            <v>0</v>
          </cell>
          <cell r="BH44">
            <v>0</v>
          </cell>
          <cell r="BI44">
            <v>3000</v>
          </cell>
          <cell r="BJ44">
            <v>0</v>
          </cell>
          <cell r="BK44">
            <v>0</v>
          </cell>
          <cell r="BL44">
            <v>90000</v>
          </cell>
          <cell r="BM44">
            <v>7000</v>
          </cell>
          <cell r="BN44">
            <v>6000</v>
          </cell>
          <cell r="BO44">
            <v>0</v>
          </cell>
          <cell r="BP44">
            <v>0</v>
          </cell>
          <cell r="BQ44">
            <v>40000</v>
          </cell>
          <cell r="BR44">
            <v>0</v>
          </cell>
          <cell r="BS44">
            <v>0</v>
          </cell>
          <cell r="BT44">
            <v>0</v>
          </cell>
          <cell r="BU44">
            <v>6000</v>
          </cell>
          <cell r="BV44">
            <v>4000</v>
          </cell>
          <cell r="BW44">
            <v>0</v>
          </cell>
          <cell r="BX44">
            <v>0</v>
          </cell>
          <cell r="BY44">
            <v>35000</v>
          </cell>
          <cell r="BZ44">
            <v>10000</v>
          </cell>
          <cell r="CA44">
            <v>30000</v>
          </cell>
          <cell r="CB44">
            <v>50000</v>
          </cell>
          <cell r="CC44">
            <v>10000</v>
          </cell>
          <cell r="CD44">
            <v>6000</v>
          </cell>
          <cell r="CE44">
            <v>80000</v>
          </cell>
          <cell r="CF44">
            <v>30000</v>
          </cell>
          <cell r="CG44">
            <v>36000</v>
          </cell>
          <cell r="CH44">
            <v>0</v>
          </cell>
          <cell r="CI44">
            <v>6000</v>
          </cell>
          <cell r="CJ44">
            <v>30000</v>
          </cell>
          <cell r="CK44">
            <v>10000</v>
          </cell>
          <cell r="CL44">
            <v>3000</v>
          </cell>
          <cell r="CM44">
            <v>0</v>
          </cell>
          <cell r="CN44">
            <v>5000</v>
          </cell>
          <cell r="CO44">
            <v>60000</v>
          </cell>
          <cell r="CP44">
            <v>15000</v>
          </cell>
          <cell r="CQ44">
            <v>0</v>
          </cell>
          <cell r="CR44">
            <v>3000</v>
          </cell>
          <cell r="CS44">
            <v>0</v>
          </cell>
          <cell r="CT44">
            <v>0</v>
          </cell>
          <cell r="CU44">
            <v>3000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200000</v>
          </cell>
          <cell r="DA44">
            <v>46000</v>
          </cell>
        </row>
        <row r="45">
          <cell r="E45">
            <v>0</v>
          </cell>
          <cell r="F45">
            <v>170000</v>
          </cell>
          <cell r="G45">
            <v>5000</v>
          </cell>
          <cell r="H45">
            <v>13000</v>
          </cell>
          <cell r="I45">
            <v>10000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2000</v>
          </cell>
          <cell r="S45">
            <v>0</v>
          </cell>
          <cell r="T45">
            <v>0</v>
          </cell>
          <cell r="U45">
            <v>0</v>
          </cell>
          <cell r="V45">
            <v>10000</v>
          </cell>
          <cell r="W45">
            <v>5000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6000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5000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1000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10000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3000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2000</v>
          </cell>
          <cell r="CY45">
            <v>0</v>
          </cell>
          <cell r="CZ45">
            <v>8000</v>
          </cell>
          <cell r="DA45">
            <v>4000</v>
          </cell>
        </row>
        <row r="46">
          <cell r="E46">
            <v>1379000</v>
          </cell>
          <cell r="F46">
            <v>5301000</v>
          </cell>
          <cell r="G46">
            <v>1826000</v>
          </cell>
          <cell r="H46">
            <v>2462000</v>
          </cell>
          <cell r="I46">
            <v>2680000</v>
          </cell>
          <cell r="J46">
            <v>901000</v>
          </cell>
          <cell r="K46">
            <v>946000</v>
          </cell>
          <cell r="L46">
            <v>1718000</v>
          </cell>
          <cell r="M46">
            <v>1586000</v>
          </cell>
          <cell r="N46">
            <v>880000</v>
          </cell>
          <cell r="O46">
            <v>2053000</v>
          </cell>
          <cell r="P46">
            <v>774000</v>
          </cell>
          <cell r="Q46">
            <v>3225000</v>
          </cell>
          <cell r="R46">
            <v>1683000</v>
          </cell>
          <cell r="S46">
            <v>800000</v>
          </cell>
          <cell r="T46">
            <v>789000</v>
          </cell>
          <cell r="U46">
            <v>1685000</v>
          </cell>
          <cell r="V46">
            <v>3054000</v>
          </cell>
          <cell r="W46">
            <v>2130000</v>
          </cell>
          <cell r="X46">
            <v>1592000</v>
          </cell>
          <cell r="Y46">
            <v>1354000</v>
          </cell>
          <cell r="Z46">
            <v>777000</v>
          </cell>
          <cell r="AA46">
            <v>1444000</v>
          </cell>
          <cell r="AB46">
            <v>1379000</v>
          </cell>
          <cell r="AC46">
            <v>1379000</v>
          </cell>
          <cell r="AD46">
            <v>1265000</v>
          </cell>
          <cell r="AE46">
            <v>853000</v>
          </cell>
          <cell r="AF46">
            <v>952000</v>
          </cell>
          <cell r="AG46">
            <v>1026000</v>
          </cell>
          <cell r="AH46">
            <v>1344000</v>
          </cell>
          <cell r="AI46">
            <v>889000</v>
          </cell>
          <cell r="AJ46">
            <v>798000</v>
          </cell>
          <cell r="AK46">
            <v>2434000</v>
          </cell>
          <cell r="AL46">
            <v>1421000</v>
          </cell>
          <cell r="AM46">
            <v>830000</v>
          </cell>
          <cell r="AN46">
            <v>836000</v>
          </cell>
          <cell r="AO46">
            <v>1473000</v>
          </cell>
          <cell r="AP46">
            <v>884000</v>
          </cell>
          <cell r="AQ46">
            <v>1680000</v>
          </cell>
          <cell r="AR46">
            <v>1558000</v>
          </cell>
          <cell r="AS46">
            <v>1497000</v>
          </cell>
          <cell r="AT46">
            <v>2638000</v>
          </cell>
          <cell r="AU46">
            <v>993000</v>
          </cell>
          <cell r="AV46">
            <v>817000</v>
          </cell>
          <cell r="AW46">
            <v>715000</v>
          </cell>
          <cell r="AX46">
            <v>736000</v>
          </cell>
          <cell r="AY46">
            <v>877000</v>
          </cell>
          <cell r="AZ46">
            <v>795000</v>
          </cell>
          <cell r="BA46">
            <v>1547000</v>
          </cell>
          <cell r="BB46">
            <v>723000</v>
          </cell>
          <cell r="BC46">
            <v>875000</v>
          </cell>
          <cell r="BD46">
            <v>1483000</v>
          </cell>
          <cell r="BE46">
            <v>3798000</v>
          </cell>
          <cell r="BF46">
            <v>785000</v>
          </cell>
          <cell r="BG46">
            <v>1481000</v>
          </cell>
          <cell r="BH46">
            <v>891000</v>
          </cell>
          <cell r="BI46">
            <v>784000</v>
          </cell>
          <cell r="BJ46">
            <v>1859000</v>
          </cell>
          <cell r="BK46">
            <v>733000</v>
          </cell>
          <cell r="BL46">
            <v>1242000</v>
          </cell>
          <cell r="BM46">
            <v>1510000</v>
          </cell>
          <cell r="BN46">
            <v>851000</v>
          </cell>
          <cell r="BO46">
            <v>792000</v>
          </cell>
          <cell r="BP46">
            <v>830000</v>
          </cell>
          <cell r="BQ46">
            <v>1937000</v>
          </cell>
          <cell r="BR46">
            <v>734000</v>
          </cell>
          <cell r="BS46">
            <v>1125000</v>
          </cell>
          <cell r="BT46">
            <v>847000</v>
          </cell>
          <cell r="BU46">
            <v>1558000</v>
          </cell>
          <cell r="BV46">
            <v>943000</v>
          </cell>
          <cell r="BW46">
            <v>613000</v>
          </cell>
          <cell r="BX46">
            <v>1484000</v>
          </cell>
          <cell r="BY46">
            <v>1031000</v>
          </cell>
          <cell r="BZ46">
            <v>888000</v>
          </cell>
          <cell r="CA46">
            <v>2097000</v>
          </cell>
          <cell r="CB46">
            <v>911000</v>
          </cell>
          <cell r="CC46">
            <v>872000</v>
          </cell>
          <cell r="CD46">
            <v>863000</v>
          </cell>
          <cell r="CE46">
            <v>990000</v>
          </cell>
          <cell r="CF46">
            <v>2026000</v>
          </cell>
          <cell r="CG46">
            <v>931000</v>
          </cell>
          <cell r="CH46">
            <v>851000</v>
          </cell>
          <cell r="CI46">
            <v>751000</v>
          </cell>
          <cell r="CJ46">
            <v>999000</v>
          </cell>
          <cell r="CK46">
            <v>880000</v>
          </cell>
          <cell r="CL46">
            <v>840000</v>
          </cell>
          <cell r="CM46">
            <v>803000</v>
          </cell>
          <cell r="CN46">
            <v>961000</v>
          </cell>
          <cell r="CO46">
            <v>961000</v>
          </cell>
          <cell r="CP46">
            <v>896000</v>
          </cell>
          <cell r="CQ46">
            <v>781000</v>
          </cell>
          <cell r="CR46">
            <v>1411000</v>
          </cell>
          <cell r="CS46">
            <v>836000</v>
          </cell>
          <cell r="CT46">
            <v>1718000</v>
          </cell>
          <cell r="CU46">
            <v>1798000</v>
          </cell>
          <cell r="CV46">
            <v>810000</v>
          </cell>
          <cell r="CW46">
            <v>834000</v>
          </cell>
          <cell r="CX46">
            <v>779000</v>
          </cell>
          <cell r="CY46">
            <v>834000</v>
          </cell>
          <cell r="CZ46">
            <v>2508000</v>
          </cell>
          <cell r="DA46">
            <v>1525000</v>
          </cell>
        </row>
        <row r="47">
          <cell r="E47">
            <v>24165000</v>
          </cell>
          <cell r="F47">
            <v>114634000</v>
          </cell>
          <cell r="G47">
            <v>42148000</v>
          </cell>
          <cell r="H47">
            <v>33047000</v>
          </cell>
          <cell r="I47">
            <v>69630000</v>
          </cell>
          <cell r="J47">
            <v>13622000</v>
          </cell>
          <cell r="K47">
            <v>14776000</v>
          </cell>
          <cell r="L47">
            <v>31109000</v>
          </cell>
          <cell r="M47">
            <v>40190000</v>
          </cell>
          <cell r="N47">
            <v>14300000</v>
          </cell>
          <cell r="O47">
            <v>46863000</v>
          </cell>
          <cell r="P47">
            <v>13166000</v>
          </cell>
          <cell r="Q47">
            <v>28277000</v>
          </cell>
          <cell r="R47">
            <v>43087000</v>
          </cell>
          <cell r="S47">
            <v>13937000</v>
          </cell>
          <cell r="T47">
            <v>12436000</v>
          </cell>
          <cell r="U47">
            <v>29395000</v>
          </cell>
          <cell r="V47">
            <v>75860000</v>
          </cell>
          <cell r="W47">
            <v>59631000</v>
          </cell>
          <cell r="X47">
            <v>14308000</v>
          </cell>
          <cell r="Y47">
            <v>28488000</v>
          </cell>
          <cell r="Z47">
            <v>14141000</v>
          </cell>
          <cell r="AA47">
            <v>25793000</v>
          </cell>
          <cell r="AB47">
            <v>31559000</v>
          </cell>
          <cell r="AC47">
            <v>13046000</v>
          </cell>
          <cell r="AD47">
            <v>18697000</v>
          </cell>
          <cell r="AE47">
            <v>13676000</v>
          </cell>
          <cell r="AF47">
            <v>13322000</v>
          </cell>
          <cell r="AG47">
            <v>14986000</v>
          </cell>
          <cell r="AH47">
            <v>11386000</v>
          </cell>
          <cell r="AI47">
            <v>13388000</v>
          </cell>
          <cell r="AJ47">
            <v>11265000</v>
          </cell>
          <cell r="AK47">
            <v>24037000</v>
          </cell>
          <cell r="AL47">
            <v>11554000</v>
          </cell>
          <cell r="AM47">
            <v>10847000</v>
          </cell>
          <cell r="AN47">
            <v>12894000</v>
          </cell>
          <cell r="AO47">
            <v>13224000</v>
          </cell>
          <cell r="AP47">
            <v>14228000</v>
          </cell>
          <cell r="AQ47">
            <v>16380000</v>
          </cell>
          <cell r="AR47">
            <v>13239000</v>
          </cell>
          <cell r="AS47">
            <v>12974000</v>
          </cell>
          <cell r="AT47">
            <v>27396000</v>
          </cell>
          <cell r="AU47">
            <v>12219000</v>
          </cell>
          <cell r="AV47">
            <v>9731000</v>
          </cell>
          <cell r="AW47">
            <v>9904000</v>
          </cell>
          <cell r="AX47">
            <v>11837000</v>
          </cell>
          <cell r="AY47">
            <v>12152000</v>
          </cell>
          <cell r="AZ47">
            <v>11479000</v>
          </cell>
          <cell r="BA47">
            <v>14942000</v>
          </cell>
          <cell r="BB47">
            <v>8311000</v>
          </cell>
          <cell r="BC47">
            <v>11582000</v>
          </cell>
          <cell r="BD47">
            <v>10838000</v>
          </cell>
          <cell r="BE47">
            <v>42217000</v>
          </cell>
          <cell r="BF47">
            <v>12099000</v>
          </cell>
          <cell r="BG47">
            <v>13410000</v>
          </cell>
          <cell r="BH47">
            <v>10316000</v>
          </cell>
          <cell r="BI47">
            <v>9754000</v>
          </cell>
          <cell r="BJ47">
            <v>10619000</v>
          </cell>
          <cell r="BK47">
            <v>9096000</v>
          </cell>
          <cell r="BL47">
            <v>28478000</v>
          </cell>
          <cell r="BM47">
            <v>9403000</v>
          </cell>
          <cell r="BN47">
            <v>11787000</v>
          </cell>
          <cell r="BO47">
            <v>12733000</v>
          </cell>
          <cell r="BP47">
            <v>11383000</v>
          </cell>
          <cell r="BQ47">
            <v>14922000</v>
          </cell>
          <cell r="BR47">
            <v>9839000</v>
          </cell>
          <cell r="BS47">
            <v>9175000</v>
          </cell>
          <cell r="BT47">
            <v>10323000</v>
          </cell>
          <cell r="BU47">
            <v>11298000</v>
          </cell>
          <cell r="BV47">
            <v>11730000</v>
          </cell>
          <cell r="BW47">
            <v>10590000</v>
          </cell>
          <cell r="BX47">
            <v>10522000</v>
          </cell>
          <cell r="BY47">
            <v>17461000</v>
          </cell>
          <cell r="BZ47">
            <v>15281000</v>
          </cell>
          <cell r="CA47">
            <v>14919000</v>
          </cell>
          <cell r="CB47">
            <v>12718000</v>
          </cell>
          <cell r="CC47">
            <v>14899000</v>
          </cell>
          <cell r="CD47">
            <v>15368000</v>
          </cell>
          <cell r="CE47">
            <v>14096000</v>
          </cell>
          <cell r="CF47">
            <v>15472000</v>
          </cell>
          <cell r="CG47">
            <v>14805000</v>
          </cell>
          <cell r="CH47">
            <v>15500000</v>
          </cell>
          <cell r="CI47">
            <v>14214000</v>
          </cell>
          <cell r="CJ47">
            <v>17894000</v>
          </cell>
          <cell r="CK47">
            <v>14471000</v>
          </cell>
          <cell r="CL47">
            <v>14601000</v>
          </cell>
          <cell r="CM47">
            <v>13052000</v>
          </cell>
          <cell r="CN47">
            <v>14171000</v>
          </cell>
          <cell r="CO47">
            <v>15790000</v>
          </cell>
          <cell r="CP47">
            <v>15124000</v>
          </cell>
          <cell r="CQ47">
            <v>14054000</v>
          </cell>
          <cell r="CR47">
            <v>13791000</v>
          </cell>
          <cell r="CS47">
            <v>13540000</v>
          </cell>
          <cell r="CT47">
            <v>13268000</v>
          </cell>
          <cell r="CU47">
            <v>13197000</v>
          </cell>
          <cell r="CV47">
            <v>12538000</v>
          </cell>
          <cell r="CW47">
            <v>10800000</v>
          </cell>
          <cell r="CX47">
            <v>9986000</v>
          </cell>
          <cell r="CY47">
            <v>10059000</v>
          </cell>
          <cell r="CZ47">
            <v>43234000</v>
          </cell>
          <cell r="DA47">
            <v>12087000</v>
          </cell>
        </row>
        <row r="48">
          <cell r="E48">
            <v>0</v>
          </cell>
          <cell r="F48">
            <v>812000</v>
          </cell>
          <cell r="G48">
            <v>405000</v>
          </cell>
          <cell r="H48">
            <v>0</v>
          </cell>
          <cell r="I48">
            <v>406000</v>
          </cell>
          <cell r="J48">
            <v>0</v>
          </cell>
          <cell r="K48">
            <v>406000</v>
          </cell>
          <cell r="L48">
            <v>406000</v>
          </cell>
          <cell r="M48">
            <v>0</v>
          </cell>
          <cell r="N48">
            <v>0</v>
          </cell>
          <cell r="O48">
            <v>812000</v>
          </cell>
          <cell r="P48">
            <v>406000</v>
          </cell>
          <cell r="Q48">
            <v>0</v>
          </cell>
          <cell r="R48">
            <v>0</v>
          </cell>
          <cell r="S48">
            <v>406000</v>
          </cell>
          <cell r="T48">
            <v>812000</v>
          </cell>
          <cell r="U48">
            <v>406000</v>
          </cell>
          <cell r="V48">
            <v>406000</v>
          </cell>
          <cell r="W48">
            <v>405000</v>
          </cell>
          <cell r="X48">
            <v>0</v>
          </cell>
          <cell r="Y48">
            <v>0</v>
          </cell>
          <cell r="Z48">
            <v>812000</v>
          </cell>
          <cell r="AA48">
            <v>0</v>
          </cell>
          <cell r="AB48">
            <v>406000</v>
          </cell>
          <cell r="AC48">
            <v>812000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406000</v>
          </cell>
          <cell r="AI48">
            <v>0</v>
          </cell>
          <cell r="AJ48">
            <v>0</v>
          </cell>
          <cell r="AK48">
            <v>0</v>
          </cell>
          <cell r="AL48">
            <v>406000</v>
          </cell>
          <cell r="AM48">
            <v>0</v>
          </cell>
          <cell r="AN48">
            <v>0</v>
          </cell>
          <cell r="AO48">
            <v>0</v>
          </cell>
          <cell r="AP48">
            <v>812000</v>
          </cell>
          <cell r="AQ48">
            <v>406000</v>
          </cell>
          <cell r="AR48">
            <v>406000</v>
          </cell>
          <cell r="AS48">
            <v>406000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480000</v>
          </cell>
          <cell r="AY48">
            <v>0</v>
          </cell>
          <cell r="AZ48">
            <v>406000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406000</v>
          </cell>
          <cell r="BF48">
            <v>406000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406000</v>
          </cell>
          <cell r="BL48">
            <v>406000</v>
          </cell>
          <cell r="BM48">
            <v>0</v>
          </cell>
          <cell r="BN48">
            <v>0</v>
          </cell>
          <cell r="BO48">
            <v>406000</v>
          </cell>
          <cell r="BP48">
            <v>0</v>
          </cell>
          <cell r="BQ48">
            <v>0</v>
          </cell>
          <cell r="BR48">
            <v>406000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406000</v>
          </cell>
          <cell r="BX48">
            <v>0</v>
          </cell>
          <cell r="BY48">
            <v>0</v>
          </cell>
          <cell r="BZ48">
            <v>0</v>
          </cell>
          <cell r="CA48">
            <v>456000</v>
          </cell>
          <cell r="CB48">
            <v>0</v>
          </cell>
          <cell r="CC48">
            <v>0</v>
          </cell>
          <cell r="CD48">
            <v>0</v>
          </cell>
          <cell r="CE48">
            <v>456000</v>
          </cell>
          <cell r="CF48">
            <v>0</v>
          </cell>
          <cell r="CG48">
            <v>0</v>
          </cell>
          <cell r="CH48">
            <v>0</v>
          </cell>
          <cell r="CI48">
            <v>456000</v>
          </cell>
          <cell r="CJ48">
            <v>456000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456000</v>
          </cell>
          <cell r="CR48">
            <v>456000</v>
          </cell>
          <cell r="CS48">
            <v>0</v>
          </cell>
          <cell r="CT48">
            <v>406000</v>
          </cell>
          <cell r="CU48">
            <v>0</v>
          </cell>
          <cell r="CV48">
            <v>456000</v>
          </cell>
          <cell r="CW48">
            <v>0</v>
          </cell>
          <cell r="CX48">
            <v>406000</v>
          </cell>
          <cell r="CY48">
            <v>0</v>
          </cell>
          <cell r="CZ48">
            <v>406000</v>
          </cell>
          <cell r="DA48">
            <v>0</v>
          </cell>
        </row>
        <row r="49">
          <cell r="E49">
            <v>3181000</v>
          </cell>
          <cell r="F49">
            <v>5397000</v>
          </cell>
          <cell r="G49">
            <v>4403000</v>
          </cell>
          <cell r="H49">
            <v>3181000</v>
          </cell>
          <cell r="I49">
            <v>1349000</v>
          </cell>
          <cell r="J49">
            <v>1412000</v>
          </cell>
          <cell r="K49">
            <v>1349000</v>
          </cell>
          <cell r="L49">
            <v>2635000</v>
          </cell>
          <cell r="M49">
            <v>2024000</v>
          </cell>
          <cell r="N49">
            <v>1412000</v>
          </cell>
          <cell r="O49">
            <v>2088000</v>
          </cell>
          <cell r="P49">
            <v>1349000</v>
          </cell>
          <cell r="Q49">
            <v>1960000</v>
          </cell>
          <cell r="R49">
            <v>2571000</v>
          </cell>
          <cell r="S49">
            <v>1349000</v>
          </cell>
          <cell r="T49">
            <v>0</v>
          </cell>
          <cell r="U49">
            <v>2571000</v>
          </cell>
          <cell r="V49">
            <v>2024000</v>
          </cell>
          <cell r="W49">
            <v>2698000</v>
          </cell>
          <cell r="X49">
            <v>2570000</v>
          </cell>
          <cell r="Y49">
            <v>1960000</v>
          </cell>
          <cell r="Z49">
            <v>738000</v>
          </cell>
          <cell r="AA49">
            <v>3245000</v>
          </cell>
          <cell r="AB49">
            <v>1960000</v>
          </cell>
          <cell r="AC49">
            <v>0</v>
          </cell>
          <cell r="AD49">
            <v>738000</v>
          </cell>
          <cell r="AE49">
            <v>0</v>
          </cell>
          <cell r="AF49">
            <v>1960000</v>
          </cell>
          <cell r="AG49">
            <v>1349000</v>
          </cell>
          <cell r="AH49">
            <v>0</v>
          </cell>
          <cell r="AI49">
            <v>738000</v>
          </cell>
          <cell r="AJ49">
            <v>0</v>
          </cell>
          <cell r="AK49">
            <v>1960000</v>
          </cell>
          <cell r="AL49">
            <v>1349000</v>
          </cell>
          <cell r="AM49">
            <v>1349000</v>
          </cell>
          <cell r="AN49">
            <v>738000</v>
          </cell>
          <cell r="AO49">
            <v>1349000</v>
          </cell>
          <cell r="AP49">
            <v>1349000</v>
          </cell>
          <cell r="AQ49">
            <v>1413000</v>
          </cell>
          <cell r="AR49">
            <v>1349000</v>
          </cell>
          <cell r="AS49">
            <v>1960000</v>
          </cell>
          <cell r="AT49">
            <v>1413000</v>
          </cell>
          <cell r="AU49">
            <v>1349000</v>
          </cell>
          <cell r="AV49">
            <v>0</v>
          </cell>
          <cell r="AW49">
            <v>0</v>
          </cell>
          <cell r="AX49">
            <v>738000</v>
          </cell>
          <cell r="AY49">
            <v>1412000</v>
          </cell>
          <cell r="AZ49">
            <v>1349000</v>
          </cell>
          <cell r="BA49">
            <v>1412000</v>
          </cell>
          <cell r="BB49">
            <v>0</v>
          </cell>
          <cell r="BC49">
            <v>738000</v>
          </cell>
          <cell r="BD49">
            <v>738000</v>
          </cell>
          <cell r="BE49">
            <v>1349000</v>
          </cell>
          <cell r="BF49">
            <v>1349000</v>
          </cell>
          <cell r="BG49">
            <v>738000</v>
          </cell>
          <cell r="BH49">
            <v>0</v>
          </cell>
          <cell r="BI49">
            <v>1349000</v>
          </cell>
          <cell r="BJ49">
            <v>1413000</v>
          </cell>
          <cell r="BK49">
            <v>0</v>
          </cell>
          <cell r="BL49">
            <v>3309000</v>
          </cell>
          <cell r="BM49">
            <v>1349000</v>
          </cell>
          <cell r="BN49">
            <v>1349000</v>
          </cell>
          <cell r="BO49">
            <v>1413000</v>
          </cell>
          <cell r="BP49">
            <v>1349000</v>
          </cell>
          <cell r="BQ49">
            <v>1412000</v>
          </cell>
          <cell r="BR49">
            <v>0</v>
          </cell>
          <cell r="BS49">
            <v>738000</v>
          </cell>
          <cell r="BT49">
            <v>738000</v>
          </cell>
          <cell r="BU49">
            <v>1413000</v>
          </cell>
          <cell r="BV49">
            <v>1349000</v>
          </cell>
          <cell r="BW49">
            <v>738000</v>
          </cell>
          <cell r="BX49">
            <v>0</v>
          </cell>
          <cell r="BY49">
            <v>1349000</v>
          </cell>
          <cell r="BZ49">
            <v>1349000</v>
          </cell>
          <cell r="CA49">
            <v>1412000</v>
          </cell>
          <cell r="CB49">
            <v>0</v>
          </cell>
          <cell r="CC49">
            <v>1349000</v>
          </cell>
          <cell r="CD49">
            <v>1349000</v>
          </cell>
          <cell r="CE49">
            <v>1349000</v>
          </cell>
          <cell r="CF49">
            <v>738000</v>
          </cell>
          <cell r="CG49">
            <v>0</v>
          </cell>
          <cell r="CH49">
            <v>738000</v>
          </cell>
          <cell r="CI49">
            <v>0</v>
          </cell>
          <cell r="CJ49">
            <v>0</v>
          </cell>
          <cell r="CK49">
            <v>1349000</v>
          </cell>
          <cell r="CL49">
            <v>1349000</v>
          </cell>
          <cell r="CM49">
            <v>0</v>
          </cell>
          <cell r="CN49">
            <v>1412000</v>
          </cell>
          <cell r="CO49">
            <v>1412000</v>
          </cell>
          <cell r="CP49">
            <v>1412000</v>
          </cell>
          <cell r="CQ49">
            <v>1349000</v>
          </cell>
          <cell r="CR49">
            <v>738000</v>
          </cell>
          <cell r="CS49">
            <v>738000</v>
          </cell>
          <cell r="CT49">
            <v>1412000</v>
          </cell>
          <cell r="CU49">
            <v>1349000</v>
          </cell>
          <cell r="CV49">
            <v>738000</v>
          </cell>
          <cell r="CW49">
            <v>1349000</v>
          </cell>
          <cell r="CX49">
            <v>0</v>
          </cell>
          <cell r="CY49">
            <v>0</v>
          </cell>
          <cell r="CZ49">
            <v>2762000</v>
          </cell>
          <cell r="DA49">
            <v>0</v>
          </cell>
        </row>
        <row r="50">
          <cell r="E50">
            <v>797000</v>
          </cell>
          <cell r="F50">
            <v>1196000</v>
          </cell>
          <cell r="G50">
            <v>664000</v>
          </cell>
          <cell r="H50">
            <v>398000</v>
          </cell>
          <cell r="I50">
            <v>265000</v>
          </cell>
          <cell r="J50">
            <v>265000</v>
          </cell>
          <cell r="K50">
            <v>265000</v>
          </cell>
          <cell r="L50">
            <v>399000</v>
          </cell>
          <cell r="M50">
            <v>398000</v>
          </cell>
          <cell r="N50">
            <v>265000</v>
          </cell>
          <cell r="O50">
            <v>399000</v>
          </cell>
          <cell r="P50">
            <v>265000</v>
          </cell>
          <cell r="Q50">
            <v>265000</v>
          </cell>
          <cell r="R50">
            <v>398000</v>
          </cell>
          <cell r="S50">
            <v>265000</v>
          </cell>
          <cell r="T50">
            <v>0</v>
          </cell>
          <cell r="U50">
            <v>399000</v>
          </cell>
          <cell r="V50">
            <v>265000</v>
          </cell>
          <cell r="W50">
            <v>398000</v>
          </cell>
          <cell r="X50">
            <v>398000</v>
          </cell>
          <cell r="Y50">
            <v>398000</v>
          </cell>
          <cell r="Z50">
            <v>265000</v>
          </cell>
          <cell r="AA50">
            <v>398000</v>
          </cell>
          <cell r="AB50">
            <v>399000</v>
          </cell>
          <cell r="AC50">
            <v>0</v>
          </cell>
          <cell r="AD50">
            <v>265000</v>
          </cell>
          <cell r="AE50">
            <v>0</v>
          </cell>
          <cell r="AF50">
            <v>265000</v>
          </cell>
          <cell r="AG50">
            <v>265000</v>
          </cell>
          <cell r="AH50">
            <v>0</v>
          </cell>
          <cell r="AI50">
            <v>265000</v>
          </cell>
          <cell r="AJ50">
            <v>0</v>
          </cell>
          <cell r="AK50">
            <v>398000</v>
          </cell>
          <cell r="AL50">
            <v>265000</v>
          </cell>
          <cell r="AM50">
            <v>265000</v>
          </cell>
          <cell r="AN50">
            <v>265000</v>
          </cell>
          <cell r="AO50">
            <v>265000</v>
          </cell>
          <cell r="AP50">
            <v>265000</v>
          </cell>
          <cell r="AQ50">
            <v>265000</v>
          </cell>
          <cell r="AR50">
            <v>265000</v>
          </cell>
          <cell r="AS50">
            <v>265000</v>
          </cell>
          <cell r="AT50">
            <v>265000</v>
          </cell>
          <cell r="AU50">
            <v>265000</v>
          </cell>
          <cell r="AV50">
            <v>0</v>
          </cell>
          <cell r="AW50">
            <v>0</v>
          </cell>
          <cell r="AX50">
            <v>265000</v>
          </cell>
          <cell r="AY50">
            <v>265000</v>
          </cell>
          <cell r="AZ50">
            <v>265000</v>
          </cell>
          <cell r="BA50">
            <v>265000</v>
          </cell>
          <cell r="BB50">
            <v>0</v>
          </cell>
          <cell r="BC50">
            <v>265000</v>
          </cell>
          <cell r="BD50">
            <v>265000</v>
          </cell>
          <cell r="BE50">
            <v>399000</v>
          </cell>
          <cell r="BF50">
            <v>265000</v>
          </cell>
          <cell r="BG50">
            <v>265000</v>
          </cell>
          <cell r="BH50">
            <v>0</v>
          </cell>
          <cell r="BI50">
            <v>265000</v>
          </cell>
          <cell r="BJ50">
            <v>265000</v>
          </cell>
          <cell r="BK50">
            <v>0</v>
          </cell>
          <cell r="BL50">
            <v>399000</v>
          </cell>
          <cell r="BM50">
            <v>265000</v>
          </cell>
          <cell r="BN50">
            <v>265000</v>
          </cell>
          <cell r="BO50">
            <v>265000</v>
          </cell>
          <cell r="BP50">
            <v>265000</v>
          </cell>
          <cell r="BQ50">
            <v>265000</v>
          </cell>
          <cell r="BR50">
            <v>0</v>
          </cell>
          <cell r="BS50">
            <v>265000</v>
          </cell>
          <cell r="BT50">
            <v>265000</v>
          </cell>
          <cell r="BU50">
            <v>265000</v>
          </cell>
          <cell r="BV50">
            <v>265000</v>
          </cell>
          <cell r="BW50">
            <v>265000</v>
          </cell>
          <cell r="BX50">
            <v>0</v>
          </cell>
          <cell r="BY50">
            <v>265000</v>
          </cell>
          <cell r="BZ50">
            <v>265000</v>
          </cell>
          <cell r="CA50">
            <v>265000</v>
          </cell>
          <cell r="CB50">
            <v>0</v>
          </cell>
          <cell r="CC50">
            <v>265000</v>
          </cell>
          <cell r="CD50">
            <v>265000</v>
          </cell>
          <cell r="CE50">
            <v>265000</v>
          </cell>
          <cell r="CF50">
            <v>265000</v>
          </cell>
          <cell r="CG50">
            <v>0</v>
          </cell>
          <cell r="CH50">
            <v>265000</v>
          </cell>
          <cell r="CI50">
            <v>0</v>
          </cell>
          <cell r="CJ50">
            <v>0</v>
          </cell>
          <cell r="CK50">
            <v>265000</v>
          </cell>
          <cell r="CL50">
            <v>265000</v>
          </cell>
          <cell r="CM50">
            <v>0</v>
          </cell>
          <cell r="CN50">
            <v>265000</v>
          </cell>
          <cell r="CO50">
            <v>265000</v>
          </cell>
          <cell r="CP50">
            <v>265000</v>
          </cell>
          <cell r="CQ50">
            <v>265000</v>
          </cell>
          <cell r="CR50">
            <v>265000</v>
          </cell>
          <cell r="CS50">
            <v>265000</v>
          </cell>
          <cell r="CT50">
            <v>265000</v>
          </cell>
          <cell r="CU50">
            <v>265000</v>
          </cell>
          <cell r="CV50">
            <v>265000</v>
          </cell>
          <cell r="CW50">
            <v>265000</v>
          </cell>
          <cell r="CX50">
            <v>0</v>
          </cell>
          <cell r="CY50">
            <v>0</v>
          </cell>
          <cell r="CZ50">
            <v>664000</v>
          </cell>
          <cell r="DA50">
            <v>0</v>
          </cell>
        </row>
        <row r="51">
          <cell r="E51">
            <v>0</v>
          </cell>
          <cell r="F51">
            <v>742000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</row>
        <row r="52">
          <cell r="E52">
            <v>76000</v>
          </cell>
          <cell r="F52">
            <v>416000</v>
          </cell>
          <cell r="G52">
            <v>166000</v>
          </cell>
          <cell r="H52">
            <v>89000</v>
          </cell>
          <cell r="I52">
            <v>262000</v>
          </cell>
          <cell r="J52">
            <v>31000</v>
          </cell>
          <cell r="K52">
            <v>31000</v>
          </cell>
          <cell r="L52">
            <v>76000</v>
          </cell>
          <cell r="M52">
            <v>98000</v>
          </cell>
          <cell r="N52">
            <v>31000</v>
          </cell>
          <cell r="O52">
            <v>121000</v>
          </cell>
          <cell r="P52">
            <v>31000</v>
          </cell>
          <cell r="Q52">
            <v>85000</v>
          </cell>
          <cell r="R52">
            <v>108000</v>
          </cell>
          <cell r="S52">
            <v>31000</v>
          </cell>
          <cell r="T52">
            <v>27000</v>
          </cell>
          <cell r="U52">
            <v>94000</v>
          </cell>
          <cell r="V52">
            <v>294000</v>
          </cell>
          <cell r="W52">
            <v>231000</v>
          </cell>
          <cell r="X52">
            <v>35000</v>
          </cell>
          <cell r="Y52">
            <v>72000</v>
          </cell>
          <cell r="Z52">
            <v>31000</v>
          </cell>
          <cell r="AA52">
            <v>72000</v>
          </cell>
          <cell r="AB52">
            <v>76000</v>
          </cell>
          <cell r="AC52">
            <v>26000</v>
          </cell>
          <cell r="AD52">
            <v>49000</v>
          </cell>
          <cell r="AE52">
            <v>26000</v>
          </cell>
          <cell r="AF52">
            <v>40000</v>
          </cell>
          <cell r="AG52">
            <v>40000</v>
          </cell>
          <cell r="AH52">
            <v>26000</v>
          </cell>
          <cell r="AI52">
            <v>31000</v>
          </cell>
          <cell r="AJ52">
            <v>22000</v>
          </cell>
          <cell r="AK52">
            <v>67000</v>
          </cell>
          <cell r="AL52">
            <v>31000</v>
          </cell>
          <cell r="AM52">
            <v>31000</v>
          </cell>
          <cell r="AN52">
            <v>31000</v>
          </cell>
          <cell r="AO52">
            <v>31000</v>
          </cell>
          <cell r="AP52">
            <v>35000</v>
          </cell>
          <cell r="AQ52">
            <v>45000</v>
          </cell>
          <cell r="AR52">
            <v>31000</v>
          </cell>
          <cell r="AS52">
            <v>36000</v>
          </cell>
          <cell r="AT52">
            <v>76000</v>
          </cell>
          <cell r="AU52">
            <v>32000</v>
          </cell>
          <cell r="AV52">
            <v>26000</v>
          </cell>
          <cell r="AW52">
            <v>22000</v>
          </cell>
          <cell r="AX52">
            <v>26000</v>
          </cell>
          <cell r="AY52">
            <v>31000</v>
          </cell>
          <cell r="AZ52">
            <v>31000</v>
          </cell>
          <cell r="BA52">
            <v>35000</v>
          </cell>
          <cell r="BB52">
            <v>17000</v>
          </cell>
          <cell r="BC52">
            <v>31000</v>
          </cell>
          <cell r="BD52">
            <v>31000</v>
          </cell>
          <cell r="BE52">
            <v>108000</v>
          </cell>
          <cell r="BF52">
            <v>31000</v>
          </cell>
          <cell r="BG52">
            <v>31000</v>
          </cell>
          <cell r="BH52">
            <v>26000</v>
          </cell>
          <cell r="BI52">
            <v>31000</v>
          </cell>
          <cell r="BJ52">
            <v>31000</v>
          </cell>
          <cell r="BK52">
            <v>26000</v>
          </cell>
          <cell r="BL52">
            <v>72000</v>
          </cell>
          <cell r="BM52">
            <v>31000</v>
          </cell>
          <cell r="BN52">
            <v>31000</v>
          </cell>
          <cell r="BO52">
            <v>31000</v>
          </cell>
          <cell r="BP52">
            <v>31000</v>
          </cell>
          <cell r="BQ52">
            <v>44000</v>
          </cell>
          <cell r="BR52">
            <v>26000</v>
          </cell>
          <cell r="BS52">
            <v>31000</v>
          </cell>
          <cell r="BT52">
            <v>31000</v>
          </cell>
          <cell r="BU52">
            <v>36000</v>
          </cell>
          <cell r="BV52">
            <v>35000</v>
          </cell>
          <cell r="BW52">
            <v>31000</v>
          </cell>
          <cell r="BX52">
            <v>26000</v>
          </cell>
          <cell r="BY52">
            <v>40000</v>
          </cell>
          <cell r="BZ52">
            <v>31000</v>
          </cell>
          <cell r="CA52">
            <v>35000</v>
          </cell>
          <cell r="CB52">
            <v>26000</v>
          </cell>
          <cell r="CC52">
            <v>31000</v>
          </cell>
          <cell r="CD52">
            <v>31000</v>
          </cell>
          <cell r="CE52">
            <v>31000</v>
          </cell>
          <cell r="CF52">
            <v>31000</v>
          </cell>
          <cell r="CG52">
            <v>31000</v>
          </cell>
          <cell r="CH52">
            <v>31000</v>
          </cell>
          <cell r="CI52">
            <v>26000</v>
          </cell>
          <cell r="CJ52">
            <v>44000</v>
          </cell>
          <cell r="CK52">
            <v>31000</v>
          </cell>
          <cell r="CL52">
            <v>31000</v>
          </cell>
          <cell r="CM52">
            <v>26000</v>
          </cell>
          <cell r="CN52">
            <v>35000</v>
          </cell>
          <cell r="CO52">
            <v>31000</v>
          </cell>
          <cell r="CP52">
            <v>31000</v>
          </cell>
          <cell r="CQ52">
            <v>31000</v>
          </cell>
          <cell r="CR52">
            <v>31000</v>
          </cell>
          <cell r="CS52">
            <v>31000</v>
          </cell>
          <cell r="CT52">
            <v>31000</v>
          </cell>
          <cell r="CU52">
            <v>31000</v>
          </cell>
          <cell r="CV52">
            <v>31000</v>
          </cell>
          <cell r="CW52">
            <v>31000</v>
          </cell>
          <cell r="CX52">
            <v>26000</v>
          </cell>
          <cell r="CY52">
            <v>26000</v>
          </cell>
          <cell r="CZ52">
            <v>112000</v>
          </cell>
          <cell r="DA52">
            <v>26000</v>
          </cell>
        </row>
        <row r="53">
          <cell r="E53">
            <v>0</v>
          </cell>
          <cell r="F53">
            <v>414000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276000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138000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</row>
        <row r="54">
          <cell r="E54">
            <v>0</v>
          </cell>
          <cell r="F54">
            <v>72000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48000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72000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</row>
        <row r="55">
          <cell r="E55">
            <v>0</v>
          </cell>
          <cell r="F55">
            <v>66000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66000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66000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</row>
        <row r="56">
          <cell r="E56">
            <v>0</v>
          </cell>
          <cell r="F56">
            <v>150000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150000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108000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</row>
        <row r="57">
          <cell r="E57">
            <v>24000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24000</v>
          </cell>
          <cell r="K57">
            <v>24000</v>
          </cell>
          <cell r="L57">
            <v>0</v>
          </cell>
          <cell r="M57">
            <v>0</v>
          </cell>
          <cell r="N57">
            <v>24000</v>
          </cell>
          <cell r="O57">
            <v>0</v>
          </cell>
          <cell r="P57">
            <v>24000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24000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24000</v>
          </cell>
          <cell r="AD57">
            <v>24000</v>
          </cell>
          <cell r="AE57">
            <v>24000</v>
          </cell>
          <cell r="AF57">
            <v>24000</v>
          </cell>
          <cell r="AG57">
            <v>24000</v>
          </cell>
          <cell r="AH57">
            <v>24000</v>
          </cell>
          <cell r="AI57">
            <v>24000</v>
          </cell>
          <cell r="AJ57">
            <v>24000</v>
          </cell>
          <cell r="AK57">
            <v>24000</v>
          </cell>
          <cell r="AL57">
            <v>24000</v>
          </cell>
          <cell r="AM57">
            <v>24000</v>
          </cell>
          <cell r="AN57">
            <v>24000</v>
          </cell>
          <cell r="AO57">
            <v>24000</v>
          </cell>
          <cell r="AP57">
            <v>24000</v>
          </cell>
          <cell r="AQ57">
            <v>0</v>
          </cell>
          <cell r="AR57">
            <v>24000</v>
          </cell>
          <cell r="AS57">
            <v>0</v>
          </cell>
          <cell r="AT57">
            <v>0</v>
          </cell>
          <cell r="AU57">
            <v>0</v>
          </cell>
          <cell r="AV57">
            <v>24000</v>
          </cell>
          <cell r="AW57">
            <v>24000</v>
          </cell>
          <cell r="AX57">
            <v>24000</v>
          </cell>
          <cell r="AY57">
            <v>24000</v>
          </cell>
          <cell r="AZ57">
            <v>24000</v>
          </cell>
          <cell r="BA57">
            <v>24000</v>
          </cell>
          <cell r="BB57">
            <v>24000</v>
          </cell>
          <cell r="BC57">
            <v>24000</v>
          </cell>
          <cell r="BD57">
            <v>24000</v>
          </cell>
          <cell r="BE57">
            <v>0</v>
          </cell>
          <cell r="BF57">
            <v>0</v>
          </cell>
          <cell r="BG57">
            <v>24000</v>
          </cell>
          <cell r="BH57">
            <v>24000</v>
          </cell>
          <cell r="BI57">
            <v>0</v>
          </cell>
          <cell r="BJ57">
            <v>0</v>
          </cell>
          <cell r="BK57">
            <v>24000</v>
          </cell>
          <cell r="BL57">
            <v>0</v>
          </cell>
          <cell r="BM57">
            <v>24000</v>
          </cell>
          <cell r="BN57">
            <v>0</v>
          </cell>
          <cell r="BO57">
            <v>0</v>
          </cell>
          <cell r="BP57">
            <v>24000</v>
          </cell>
          <cell r="BQ57">
            <v>24000</v>
          </cell>
          <cell r="BR57">
            <v>24000</v>
          </cell>
          <cell r="BS57">
            <v>24000</v>
          </cell>
          <cell r="BT57">
            <v>24000</v>
          </cell>
          <cell r="BU57">
            <v>0</v>
          </cell>
          <cell r="BV57">
            <v>24000</v>
          </cell>
          <cell r="BW57">
            <v>0</v>
          </cell>
          <cell r="BX57">
            <v>24000</v>
          </cell>
          <cell r="BY57">
            <v>24000</v>
          </cell>
          <cell r="BZ57">
            <v>24000</v>
          </cell>
          <cell r="CA57">
            <v>24000</v>
          </cell>
          <cell r="CB57">
            <v>24000</v>
          </cell>
          <cell r="CC57">
            <v>24000</v>
          </cell>
          <cell r="CD57">
            <v>24000</v>
          </cell>
          <cell r="CE57">
            <v>24000</v>
          </cell>
          <cell r="CF57">
            <v>24000</v>
          </cell>
          <cell r="CG57">
            <v>24000</v>
          </cell>
          <cell r="CH57">
            <v>24000</v>
          </cell>
          <cell r="CI57">
            <v>24000</v>
          </cell>
          <cell r="CJ57">
            <v>24000</v>
          </cell>
          <cell r="CK57">
            <v>24000</v>
          </cell>
          <cell r="CL57">
            <v>24000</v>
          </cell>
          <cell r="CM57">
            <v>24000</v>
          </cell>
          <cell r="CN57">
            <v>24000</v>
          </cell>
          <cell r="CO57">
            <v>24000</v>
          </cell>
          <cell r="CP57">
            <v>24000</v>
          </cell>
          <cell r="CQ57">
            <v>24000</v>
          </cell>
          <cell r="CR57">
            <v>24000</v>
          </cell>
          <cell r="CS57">
            <v>24000</v>
          </cell>
          <cell r="CT57">
            <v>24000</v>
          </cell>
          <cell r="CU57">
            <v>24000</v>
          </cell>
          <cell r="CV57">
            <v>24000</v>
          </cell>
          <cell r="CW57">
            <v>24000</v>
          </cell>
          <cell r="CX57">
            <v>24000</v>
          </cell>
          <cell r="CY57">
            <v>24000</v>
          </cell>
          <cell r="CZ57">
            <v>0</v>
          </cell>
          <cell r="DA57">
            <v>24000</v>
          </cell>
        </row>
        <row r="58">
          <cell r="E58">
            <v>376000</v>
          </cell>
          <cell r="F58">
            <v>1505000</v>
          </cell>
          <cell r="G58">
            <v>861000</v>
          </cell>
          <cell r="H58">
            <v>798000</v>
          </cell>
          <cell r="I58">
            <v>1063000</v>
          </cell>
          <cell r="J58">
            <v>438000</v>
          </cell>
          <cell r="K58">
            <v>476000</v>
          </cell>
          <cell r="L58">
            <v>822000</v>
          </cell>
          <cell r="M58">
            <v>810000</v>
          </cell>
          <cell r="N58">
            <v>445000</v>
          </cell>
          <cell r="O58">
            <v>925000</v>
          </cell>
          <cell r="P58">
            <v>452000</v>
          </cell>
          <cell r="Q58">
            <v>0</v>
          </cell>
          <cell r="R58">
            <v>908000</v>
          </cell>
          <cell r="S58">
            <v>339000</v>
          </cell>
          <cell r="T58">
            <v>414000</v>
          </cell>
          <cell r="U58">
            <v>434000</v>
          </cell>
          <cell r="V58">
            <v>1408000</v>
          </cell>
          <cell r="W58">
            <v>1191000</v>
          </cell>
          <cell r="X58">
            <v>453000</v>
          </cell>
          <cell r="Y58">
            <v>761000</v>
          </cell>
          <cell r="Z58">
            <v>473000</v>
          </cell>
          <cell r="AA58">
            <v>777000</v>
          </cell>
          <cell r="AB58">
            <v>666000</v>
          </cell>
          <cell r="AC58">
            <v>301000</v>
          </cell>
          <cell r="AD58">
            <v>503000</v>
          </cell>
          <cell r="AE58">
            <v>383000</v>
          </cell>
          <cell r="AF58">
            <v>383000</v>
          </cell>
          <cell r="AG58">
            <v>440000</v>
          </cell>
          <cell r="AH58">
            <v>398000</v>
          </cell>
          <cell r="AI58">
            <v>350000</v>
          </cell>
          <cell r="AJ58">
            <v>368000</v>
          </cell>
          <cell r="AK58">
            <v>491000</v>
          </cell>
          <cell r="AL58">
            <v>343000</v>
          </cell>
          <cell r="AM58">
            <v>326000</v>
          </cell>
          <cell r="AN58">
            <v>351000</v>
          </cell>
          <cell r="AO58">
            <v>367000</v>
          </cell>
          <cell r="AP58">
            <v>418000</v>
          </cell>
          <cell r="AQ58">
            <v>486000</v>
          </cell>
          <cell r="AR58">
            <v>366000</v>
          </cell>
          <cell r="AS58">
            <v>315000</v>
          </cell>
          <cell r="AT58">
            <v>713000</v>
          </cell>
          <cell r="AU58">
            <v>334000</v>
          </cell>
          <cell r="AV58">
            <v>276000</v>
          </cell>
          <cell r="AW58">
            <v>351000</v>
          </cell>
          <cell r="AX58">
            <v>496000</v>
          </cell>
          <cell r="AY58">
            <v>307000</v>
          </cell>
          <cell r="AZ58">
            <v>347000</v>
          </cell>
          <cell r="BA58">
            <v>388000</v>
          </cell>
          <cell r="BB58">
            <v>313000</v>
          </cell>
          <cell r="BC58">
            <v>327000</v>
          </cell>
          <cell r="BD58">
            <v>195000</v>
          </cell>
          <cell r="BE58">
            <v>1075000</v>
          </cell>
          <cell r="BF58">
            <v>383000</v>
          </cell>
          <cell r="BG58">
            <v>434000</v>
          </cell>
          <cell r="BH58">
            <v>159000</v>
          </cell>
          <cell r="BI58">
            <v>162000</v>
          </cell>
          <cell r="BJ58">
            <v>315000</v>
          </cell>
          <cell r="BK58">
            <v>272000</v>
          </cell>
          <cell r="BL58">
            <v>753000</v>
          </cell>
          <cell r="BM58">
            <v>154000</v>
          </cell>
          <cell r="BN58">
            <v>376000</v>
          </cell>
          <cell r="BO58">
            <v>398000</v>
          </cell>
          <cell r="BP58">
            <v>387000</v>
          </cell>
          <cell r="BQ58">
            <v>426000</v>
          </cell>
          <cell r="BR58">
            <v>291000</v>
          </cell>
          <cell r="BS58">
            <v>136000</v>
          </cell>
          <cell r="BT58">
            <v>290000</v>
          </cell>
          <cell r="BU58">
            <v>304000</v>
          </cell>
          <cell r="BV58">
            <v>340000</v>
          </cell>
          <cell r="BW58">
            <v>286000</v>
          </cell>
          <cell r="BX58">
            <v>378000</v>
          </cell>
          <cell r="BY58">
            <v>415000</v>
          </cell>
          <cell r="BZ58">
            <v>426000</v>
          </cell>
          <cell r="CA58">
            <v>407000</v>
          </cell>
          <cell r="CB58">
            <v>272000</v>
          </cell>
          <cell r="CC58">
            <v>0</v>
          </cell>
          <cell r="CD58">
            <v>327000</v>
          </cell>
          <cell r="CE58">
            <v>375000</v>
          </cell>
          <cell r="CF58">
            <v>335000</v>
          </cell>
          <cell r="CG58">
            <v>362000</v>
          </cell>
          <cell r="CH58">
            <v>356000</v>
          </cell>
          <cell r="CI58">
            <v>399000</v>
          </cell>
          <cell r="CJ58">
            <v>463000</v>
          </cell>
          <cell r="CK58">
            <v>376000</v>
          </cell>
          <cell r="CL58">
            <v>371000</v>
          </cell>
          <cell r="CM58">
            <v>337000</v>
          </cell>
          <cell r="CN58">
            <v>370000</v>
          </cell>
          <cell r="CO58">
            <v>485000</v>
          </cell>
          <cell r="CP58">
            <v>308000</v>
          </cell>
          <cell r="CQ58">
            <v>383000</v>
          </cell>
          <cell r="CR58">
            <v>424000</v>
          </cell>
          <cell r="CS58">
            <v>345000</v>
          </cell>
          <cell r="CT58">
            <v>344000</v>
          </cell>
          <cell r="CU58">
            <v>273000</v>
          </cell>
          <cell r="CV58">
            <v>354000</v>
          </cell>
          <cell r="CW58">
            <v>319000</v>
          </cell>
          <cell r="CX58">
            <v>291000</v>
          </cell>
          <cell r="CY58">
            <v>376000</v>
          </cell>
          <cell r="CZ58">
            <v>886000</v>
          </cell>
          <cell r="DA58">
            <v>189000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74000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7000</v>
          </cell>
          <cell r="AT59">
            <v>0</v>
          </cell>
          <cell r="AU59">
            <v>0</v>
          </cell>
          <cell r="AV59">
            <v>0</v>
          </cell>
          <cell r="AW59">
            <v>68000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164000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</row>
        <row r="60">
          <cell r="E60">
            <v>2612000</v>
          </cell>
          <cell r="F60">
            <v>14743000</v>
          </cell>
          <cell r="G60">
            <v>5990000</v>
          </cell>
          <cell r="H60">
            <v>3806000</v>
          </cell>
          <cell r="I60">
            <v>8646000</v>
          </cell>
          <cell r="J60">
            <v>1843000</v>
          </cell>
          <cell r="K60">
            <v>2068000</v>
          </cell>
          <cell r="L60">
            <v>4243000</v>
          </cell>
          <cell r="M60">
            <v>4970000</v>
          </cell>
          <cell r="N60">
            <v>2047000</v>
          </cell>
          <cell r="O60">
            <v>6407000</v>
          </cell>
          <cell r="P60">
            <v>1642000</v>
          </cell>
          <cell r="Q60">
            <v>3011000</v>
          </cell>
          <cell r="R60">
            <v>5779000</v>
          </cell>
          <cell r="S60">
            <v>1572000</v>
          </cell>
          <cell r="T60">
            <v>1876000</v>
          </cell>
          <cell r="U60">
            <v>3024000</v>
          </cell>
          <cell r="V60">
            <v>7745000</v>
          </cell>
          <cell r="W60">
            <v>8229000</v>
          </cell>
          <cell r="X60">
            <v>2208000</v>
          </cell>
          <cell r="Y60">
            <v>3958000</v>
          </cell>
          <cell r="Z60">
            <v>1975000</v>
          </cell>
          <cell r="AA60">
            <v>3078000</v>
          </cell>
          <cell r="AB60">
            <v>4006000</v>
          </cell>
          <cell r="AC60">
            <v>1736000</v>
          </cell>
          <cell r="AD60">
            <v>2522000</v>
          </cell>
          <cell r="AE60">
            <v>1885000</v>
          </cell>
          <cell r="AF60">
            <v>1549000</v>
          </cell>
          <cell r="AG60">
            <v>1962000</v>
          </cell>
          <cell r="AH60">
            <v>1542000</v>
          </cell>
          <cell r="AI60">
            <v>1809000</v>
          </cell>
          <cell r="AJ60">
            <v>1560000</v>
          </cell>
          <cell r="AK60">
            <v>2526000</v>
          </cell>
          <cell r="AL60">
            <v>1219000</v>
          </cell>
          <cell r="AM60">
            <v>1237000</v>
          </cell>
          <cell r="AN60">
            <v>1341000</v>
          </cell>
          <cell r="AO60">
            <v>1611000</v>
          </cell>
          <cell r="AP60">
            <v>1804000</v>
          </cell>
          <cell r="AQ60">
            <v>1789000</v>
          </cell>
          <cell r="AR60">
            <v>1309000</v>
          </cell>
          <cell r="AS60">
            <v>1573000</v>
          </cell>
          <cell r="AT60">
            <v>2414000</v>
          </cell>
          <cell r="AU60">
            <v>1315000</v>
          </cell>
          <cell r="AV60">
            <v>753000</v>
          </cell>
          <cell r="AW60">
            <v>1197000</v>
          </cell>
          <cell r="AX60">
            <v>1261000</v>
          </cell>
          <cell r="AY60">
            <v>1145000</v>
          </cell>
          <cell r="AZ60">
            <v>1245000</v>
          </cell>
          <cell r="BA60">
            <v>1214000</v>
          </cell>
          <cell r="BB60">
            <v>824000</v>
          </cell>
          <cell r="BC60">
            <v>1267000</v>
          </cell>
          <cell r="BD60">
            <v>843000</v>
          </cell>
          <cell r="BE60">
            <v>4496000</v>
          </cell>
          <cell r="BF60">
            <v>1218000</v>
          </cell>
          <cell r="BG60">
            <v>1088000</v>
          </cell>
          <cell r="BH60">
            <v>972000</v>
          </cell>
          <cell r="BI60">
            <v>351000</v>
          </cell>
          <cell r="BJ60">
            <v>698000</v>
          </cell>
          <cell r="BK60">
            <v>754000</v>
          </cell>
          <cell r="BL60">
            <v>3221000</v>
          </cell>
          <cell r="BM60">
            <v>597000</v>
          </cell>
          <cell r="BN60">
            <v>1138000</v>
          </cell>
          <cell r="BO60">
            <v>1539000</v>
          </cell>
          <cell r="BP60">
            <v>1308000</v>
          </cell>
          <cell r="BQ60">
            <v>1309000</v>
          </cell>
          <cell r="BR60">
            <v>938000</v>
          </cell>
          <cell r="BS60">
            <v>652000</v>
          </cell>
          <cell r="BT60">
            <v>964000</v>
          </cell>
          <cell r="BU60">
            <v>932000</v>
          </cell>
          <cell r="BV60">
            <v>1208000</v>
          </cell>
          <cell r="BW60">
            <v>935000</v>
          </cell>
          <cell r="BX60">
            <v>1282000</v>
          </cell>
          <cell r="BY60">
            <v>1670000</v>
          </cell>
          <cell r="BZ60">
            <v>1874000</v>
          </cell>
          <cell r="CA60">
            <v>1266000</v>
          </cell>
          <cell r="CB60">
            <v>1507000</v>
          </cell>
          <cell r="CC60">
            <v>1711000</v>
          </cell>
          <cell r="CD60">
            <v>2258000</v>
          </cell>
          <cell r="CE60">
            <v>1386000</v>
          </cell>
          <cell r="CF60">
            <v>1526000</v>
          </cell>
          <cell r="CG60">
            <v>1678000</v>
          </cell>
          <cell r="CH60">
            <v>1786000</v>
          </cell>
          <cell r="CI60">
            <v>1854000</v>
          </cell>
          <cell r="CJ60">
            <v>1744000</v>
          </cell>
          <cell r="CK60">
            <v>1530000</v>
          </cell>
          <cell r="CL60">
            <v>1520000</v>
          </cell>
          <cell r="CM60">
            <v>1519000</v>
          </cell>
          <cell r="CN60">
            <v>1741000</v>
          </cell>
          <cell r="CO60">
            <v>1608000</v>
          </cell>
          <cell r="CP60">
            <v>1877000</v>
          </cell>
          <cell r="CQ60">
            <v>1565000</v>
          </cell>
          <cell r="CR60">
            <v>1634000</v>
          </cell>
          <cell r="CS60">
            <v>1650000</v>
          </cell>
          <cell r="CT60">
            <v>1519000</v>
          </cell>
          <cell r="CU60">
            <v>1262000</v>
          </cell>
          <cell r="CV60">
            <v>1527000</v>
          </cell>
          <cell r="CW60">
            <v>1232000</v>
          </cell>
          <cell r="CX60">
            <v>877000</v>
          </cell>
          <cell r="CY60">
            <v>991000</v>
          </cell>
          <cell r="CZ60">
            <v>4834000</v>
          </cell>
          <cell r="DA60">
            <v>896000</v>
          </cell>
        </row>
        <row r="61">
          <cell r="E61">
            <v>2939000</v>
          </cell>
          <cell r="F61">
            <v>14106000</v>
          </cell>
          <cell r="G61">
            <v>5196000</v>
          </cell>
          <cell r="H61">
            <v>4021000</v>
          </cell>
          <cell r="I61">
            <v>8540000</v>
          </cell>
          <cell r="J61">
            <v>1661000</v>
          </cell>
          <cell r="K61">
            <v>1855000</v>
          </cell>
          <cell r="L61">
            <v>3851000</v>
          </cell>
          <cell r="M61">
            <v>4907000</v>
          </cell>
          <cell r="N61">
            <v>1738000</v>
          </cell>
          <cell r="O61">
            <v>5801000</v>
          </cell>
          <cell r="P61">
            <v>1666000</v>
          </cell>
          <cell r="Q61">
            <v>3432000</v>
          </cell>
          <cell r="R61">
            <v>5248000</v>
          </cell>
          <cell r="S61">
            <v>1759000</v>
          </cell>
          <cell r="T61">
            <v>1634000</v>
          </cell>
          <cell r="U61">
            <v>3629000</v>
          </cell>
          <cell r="V61">
            <v>9300000</v>
          </cell>
          <cell r="W61">
            <v>7321000</v>
          </cell>
          <cell r="X61">
            <v>1741000</v>
          </cell>
          <cell r="Y61">
            <v>3464000</v>
          </cell>
          <cell r="Z61">
            <v>1820000</v>
          </cell>
          <cell r="AA61">
            <v>3167000</v>
          </cell>
          <cell r="AB61">
            <v>3900000</v>
          </cell>
          <cell r="AC61">
            <v>1701000</v>
          </cell>
          <cell r="AD61">
            <v>2268000</v>
          </cell>
          <cell r="AE61">
            <v>1684000</v>
          </cell>
          <cell r="AF61">
            <v>1638000</v>
          </cell>
          <cell r="AG61">
            <v>1826000</v>
          </cell>
          <cell r="AH61">
            <v>1452000</v>
          </cell>
          <cell r="AI61">
            <v>1624000</v>
          </cell>
          <cell r="AJ61">
            <v>1378000</v>
          </cell>
          <cell r="AK61">
            <v>2956000</v>
          </cell>
          <cell r="AL61">
            <v>1479000</v>
          </cell>
          <cell r="AM61">
            <v>1324000</v>
          </cell>
          <cell r="AN61">
            <v>1590000</v>
          </cell>
          <cell r="AO61">
            <v>1616000</v>
          </cell>
          <cell r="AP61">
            <v>1845000</v>
          </cell>
          <cell r="AQ61">
            <v>2064000</v>
          </cell>
          <cell r="AR61">
            <v>1693000</v>
          </cell>
          <cell r="AS61">
            <v>1647000</v>
          </cell>
          <cell r="AT61">
            <v>3364000</v>
          </cell>
          <cell r="AU61">
            <v>1517000</v>
          </cell>
          <cell r="AV61">
            <v>1169000</v>
          </cell>
          <cell r="AW61">
            <v>1219000</v>
          </cell>
          <cell r="AX61">
            <v>1429000</v>
          </cell>
          <cell r="AY61">
            <v>1508000</v>
          </cell>
          <cell r="AZ61">
            <v>1469000</v>
          </cell>
          <cell r="BA61">
            <v>1712000</v>
          </cell>
          <cell r="BB61">
            <v>986000</v>
          </cell>
          <cell r="BC61">
            <v>1381000</v>
          </cell>
          <cell r="BD61">
            <v>1257000</v>
          </cell>
          <cell r="BE61">
            <v>5154000</v>
          </cell>
          <cell r="BF61">
            <v>1557000</v>
          </cell>
          <cell r="BG61">
            <v>1662000</v>
          </cell>
          <cell r="BH61">
            <v>1265000</v>
          </cell>
          <cell r="BI61">
            <v>1223000</v>
          </cell>
          <cell r="BJ61">
            <v>1324000</v>
          </cell>
          <cell r="BK61">
            <v>1163000</v>
          </cell>
          <cell r="BL61">
            <v>3543000</v>
          </cell>
          <cell r="BM61">
            <v>1162000</v>
          </cell>
          <cell r="BN61">
            <v>1463000</v>
          </cell>
          <cell r="BO61">
            <v>1628000</v>
          </cell>
          <cell r="BP61">
            <v>1386000</v>
          </cell>
          <cell r="BQ61">
            <v>1819000</v>
          </cell>
          <cell r="BR61">
            <v>1265000</v>
          </cell>
          <cell r="BS61">
            <v>1129000</v>
          </cell>
          <cell r="BT61">
            <v>1260000</v>
          </cell>
          <cell r="BU61">
            <v>1395000</v>
          </cell>
          <cell r="BV61">
            <v>1238000</v>
          </cell>
          <cell r="BW61">
            <v>1359000</v>
          </cell>
          <cell r="BX61">
            <v>1305000</v>
          </cell>
          <cell r="BY61">
            <v>2042000</v>
          </cell>
          <cell r="BZ61">
            <v>1726000</v>
          </cell>
          <cell r="CA61">
            <v>1758000</v>
          </cell>
          <cell r="CB61">
            <v>1472000</v>
          </cell>
          <cell r="CC61">
            <v>1691000</v>
          </cell>
          <cell r="CD61">
            <v>1735000</v>
          </cell>
          <cell r="CE61">
            <v>1668000</v>
          </cell>
          <cell r="CF61">
            <v>1795000</v>
          </cell>
          <cell r="CG61">
            <v>1683000</v>
          </cell>
          <cell r="CH61">
            <v>1754000</v>
          </cell>
          <cell r="CI61">
            <v>1658000</v>
          </cell>
          <cell r="CJ61">
            <v>2074000</v>
          </cell>
          <cell r="CK61">
            <v>1648000</v>
          </cell>
          <cell r="CL61">
            <v>1682000</v>
          </cell>
          <cell r="CM61">
            <v>1477000</v>
          </cell>
          <cell r="CN61">
            <v>1577000</v>
          </cell>
          <cell r="CO61">
            <v>1880000</v>
          </cell>
          <cell r="CP61">
            <v>1656000</v>
          </cell>
          <cell r="CQ61">
            <v>1647000</v>
          </cell>
          <cell r="CR61">
            <v>1620000</v>
          </cell>
          <cell r="CS61">
            <v>1526000</v>
          </cell>
          <cell r="CT61">
            <v>1612000</v>
          </cell>
          <cell r="CU61">
            <v>1508000</v>
          </cell>
          <cell r="CV61">
            <v>1497000</v>
          </cell>
          <cell r="CW61">
            <v>1236000</v>
          </cell>
          <cell r="CX61">
            <v>1279000</v>
          </cell>
          <cell r="CY61">
            <v>1248000</v>
          </cell>
          <cell r="CZ61">
            <v>5286000</v>
          </cell>
          <cell r="DA61">
            <v>1368000</v>
          </cell>
        </row>
        <row r="62">
          <cell r="E62">
            <v>2620000</v>
          </cell>
          <cell r="F62">
            <v>12667000</v>
          </cell>
          <cell r="G62">
            <v>4676000</v>
          </cell>
          <cell r="H62">
            <v>3478000</v>
          </cell>
          <cell r="I62">
            <v>7559000</v>
          </cell>
          <cell r="J62">
            <v>1519000</v>
          </cell>
          <cell r="K62">
            <v>1599000</v>
          </cell>
          <cell r="L62">
            <v>3430000</v>
          </cell>
          <cell r="M62">
            <v>4404000</v>
          </cell>
          <cell r="N62">
            <v>1622000</v>
          </cell>
          <cell r="O62">
            <v>5188000</v>
          </cell>
          <cell r="P62">
            <v>1437000</v>
          </cell>
          <cell r="Q62">
            <v>2909000</v>
          </cell>
          <cell r="R62">
            <v>4791000</v>
          </cell>
          <cell r="S62">
            <v>1496000</v>
          </cell>
          <cell r="T62">
            <v>1354000</v>
          </cell>
          <cell r="U62">
            <v>2928000</v>
          </cell>
          <cell r="V62">
            <v>8140000</v>
          </cell>
          <cell r="W62">
            <v>6551000</v>
          </cell>
          <cell r="X62">
            <v>1636000</v>
          </cell>
          <cell r="Y62">
            <v>3090000</v>
          </cell>
          <cell r="Z62">
            <v>1569000</v>
          </cell>
          <cell r="AA62">
            <v>2759000</v>
          </cell>
          <cell r="AB62">
            <v>3351000</v>
          </cell>
          <cell r="AC62">
            <v>1439000</v>
          </cell>
          <cell r="AD62">
            <v>2084000</v>
          </cell>
          <cell r="AE62">
            <v>1498000</v>
          </cell>
          <cell r="AF62">
            <v>1418000</v>
          </cell>
          <cell r="AG62">
            <v>1634000</v>
          </cell>
          <cell r="AH62">
            <v>1231000</v>
          </cell>
          <cell r="AI62">
            <v>1476000</v>
          </cell>
          <cell r="AJ62">
            <v>1256000</v>
          </cell>
          <cell r="AK62">
            <v>2440000</v>
          </cell>
          <cell r="AL62">
            <v>1148000</v>
          </cell>
          <cell r="AM62">
            <v>1082000</v>
          </cell>
          <cell r="AN62">
            <v>1285000</v>
          </cell>
          <cell r="AO62">
            <v>1416000</v>
          </cell>
          <cell r="AP62">
            <v>1495000</v>
          </cell>
          <cell r="AQ62">
            <v>1687000</v>
          </cell>
          <cell r="AR62">
            <v>1315000</v>
          </cell>
          <cell r="AS62">
            <v>1322000</v>
          </cell>
          <cell r="AT62">
            <v>2703000</v>
          </cell>
          <cell r="AU62">
            <v>1223000</v>
          </cell>
          <cell r="AV62">
            <v>890000</v>
          </cell>
          <cell r="AW62">
            <v>1042000</v>
          </cell>
          <cell r="AX62">
            <v>1150000</v>
          </cell>
          <cell r="AY62">
            <v>1194000</v>
          </cell>
          <cell r="AZ62">
            <v>1173000</v>
          </cell>
          <cell r="BA62">
            <v>1360000</v>
          </cell>
          <cell r="BB62">
            <v>820000</v>
          </cell>
          <cell r="BC62">
            <v>1140000</v>
          </cell>
          <cell r="BD62">
            <v>981000</v>
          </cell>
          <cell r="BE62">
            <v>4390000</v>
          </cell>
          <cell r="BF62">
            <v>1207000</v>
          </cell>
          <cell r="BG62">
            <v>1296000</v>
          </cell>
          <cell r="BH62">
            <v>1046000</v>
          </cell>
          <cell r="BI62">
            <v>815000</v>
          </cell>
          <cell r="BJ62">
            <v>967000</v>
          </cell>
          <cell r="BK62">
            <v>867000</v>
          </cell>
          <cell r="BL62">
            <v>2941000</v>
          </cell>
          <cell r="BM62">
            <v>838000</v>
          </cell>
          <cell r="BN62">
            <v>1194000</v>
          </cell>
          <cell r="BO62">
            <v>1338000</v>
          </cell>
          <cell r="BP62">
            <v>1178000</v>
          </cell>
          <cell r="BQ62">
            <v>1443000</v>
          </cell>
          <cell r="BR62">
            <v>968000</v>
          </cell>
          <cell r="BS62">
            <v>835000</v>
          </cell>
          <cell r="BT62">
            <v>1009000</v>
          </cell>
          <cell r="BU62">
            <v>1096000</v>
          </cell>
          <cell r="BV62">
            <v>1157000</v>
          </cell>
          <cell r="BW62">
            <v>1041000</v>
          </cell>
          <cell r="BX62">
            <v>1063000</v>
          </cell>
          <cell r="BY62">
            <v>1796000</v>
          </cell>
          <cell r="BZ62">
            <v>1547000</v>
          </cell>
          <cell r="CA62">
            <v>1367000</v>
          </cell>
          <cell r="CB62">
            <v>1290000</v>
          </cell>
          <cell r="CC62">
            <v>1473000</v>
          </cell>
          <cell r="CD62">
            <v>1577000</v>
          </cell>
          <cell r="CE62">
            <v>1368000</v>
          </cell>
          <cell r="CF62">
            <v>1502000</v>
          </cell>
          <cell r="CG62">
            <v>1489000</v>
          </cell>
          <cell r="CH62">
            <v>1521000</v>
          </cell>
          <cell r="CI62">
            <v>1429000</v>
          </cell>
          <cell r="CJ62">
            <v>1762000</v>
          </cell>
          <cell r="CK62">
            <v>1418000</v>
          </cell>
          <cell r="CL62">
            <v>1404000</v>
          </cell>
          <cell r="CM62">
            <v>1276000</v>
          </cell>
          <cell r="CN62">
            <v>1411000</v>
          </cell>
          <cell r="CO62">
            <v>1629000</v>
          </cell>
          <cell r="CP62">
            <v>1495000</v>
          </cell>
          <cell r="CQ62">
            <v>1375000</v>
          </cell>
          <cell r="CR62">
            <v>1357000</v>
          </cell>
          <cell r="CS62">
            <v>1359000</v>
          </cell>
          <cell r="CT62">
            <v>1307000</v>
          </cell>
          <cell r="CU62">
            <v>1267000</v>
          </cell>
          <cell r="CV62">
            <v>1202000</v>
          </cell>
          <cell r="CW62">
            <v>1030000</v>
          </cell>
          <cell r="CX62">
            <v>991000</v>
          </cell>
          <cell r="CY62">
            <v>1007000</v>
          </cell>
          <cell r="CZ62">
            <v>4624000</v>
          </cell>
          <cell r="DA62">
            <v>1056000</v>
          </cell>
        </row>
        <row r="63">
          <cell r="E63">
            <v>621000</v>
          </cell>
          <cell r="F63">
            <v>3108000</v>
          </cell>
          <cell r="G63">
            <v>1162000</v>
          </cell>
          <cell r="H63">
            <v>822000</v>
          </cell>
          <cell r="I63">
            <v>1827000</v>
          </cell>
          <cell r="J63">
            <v>385000</v>
          </cell>
          <cell r="K63">
            <v>396000</v>
          </cell>
          <cell r="L63">
            <v>850000</v>
          </cell>
          <cell r="M63">
            <v>1076000</v>
          </cell>
          <cell r="N63">
            <v>423000</v>
          </cell>
          <cell r="O63">
            <v>1295000</v>
          </cell>
          <cell r="P63">
            <v>353000</v>
          </cell>
          <cell r="Q63">
            <v>673000</v>
          </cell>
          <cell r="R63">
            <v>1190000</v>
          </cell>
          <cell r="S63">
            <v>369000</v>
          </cell>
          <cell r="T63">
            <v>324000</v>
          </cell>
          <cell r="U63">
            <v>613000</v>
          </cell>
          <cell r="V63">
            <v>1936000</v>
          </cell>
          <cell r="W63">
            <v>1614000</v>
          </cell>
          <cell r="X63">
            <v>427000</v>
          </cell>
          <cell r="Y63">
            <v>760000</v>
          </cell>
          <cell r="Z63">
            <v>399000</v>
          </cell>
          <cell r="AA63">
            <v>640000</v>
          </cell>
          <cell r="AB63">
            <v>780000</v>
          </cell>
          <cell r="AC63">
            <v>350000</v>
          </cell>
          <cell r="AD63">
            <v>525000</v>
          </cell>
          <cell r="AE63">
            <v>362000</v>
          </cell>
          <cell r="AF63">
            <v>331000</v>
          </cell>
          <cell r="AG63">
            <v>408000</v>
          </cell>
          <cell r="AH63">
            <v>291000</v>
          </cell>
          <cell r="AI63">
            <v>374000</v>
          </cell>
          <cell r="AJ63">
            <v>318000</v>
          </cell>
          <cell r="AK63">
            <v>509000</v>
          </cell>
          <cell r="AL63">
            <v>231000</v>
          </cell>
          <cell r="AM63">
            <v>235000</v>
          </cell>
          <cell r="AN63">
            <v>279000</v>
          </cell>
          <cell r="AO63">
            <v>348000</v>
          </cell>
          <cell r="AP63">
            <v>343000</v>
          </cell>
          <cell r="AQ63">
            <v>360000</v>
          </cell>
          <cell r="AR63">
            <v>277000</v>
          </cell>
          <cell r="AS63">
            <v>289000</v>
          </cell>
          <cell r="AT63">
            <v>564000</v>
          </cell>
          <cell r="AU63">
            <v>255000</v>
          </cell>
          <cell r="AV63">
            <v>183000</v>
          </cell>
          <cell r="AW63">
            <v>243000</v>
          </cell>
          <cell r="AX63">
            <v>250000</v>
          </cell>
          <cell r="AY63">
            <v>242000</v>
          </cell>
          <cell r="AZ63">
            <v>247000</v>
          </cell>
          <cell r="BA63">
            <v>278000</v>
          </cell>
          <cell r="BB63">
            <v>184000</v>
          </cell>
          <cell r="BC63">
            <v>255000</v>
          </cell>
          <cell r="BD63">
            <v>185000</v>
          </cell>
          <cell r="BE63">
            <v>1052000</v>
          </cell>
          <cell r="BF63">
            <v>245000</v>
          </cell>
          <cell r="BG63">
            <v>252000</v>
          </cell>
          <cell r="BH63">
            <v>241000</v>
          </cell>
          <cell r="BI63">
            <v>96000</v>
          </cell>
          <cell r="BJ63">
            <v>167000</v>
          </cell>
          <cell r="BK63">
            <v>163000</v>
          </cell>
          <cell r="BL63">
            <v>686000</v>
          </cell>
          <cell r="BM63">
            <v>141000</v>
          </cell>
          <cell r="BN63">
            <v>248000</v>
          </cell>
          <cell r="BO63">
            <v>292000</v>
          </cell>
          <cell r="BP63">
            <v>272000</v>
          </cell>
          <cell r="BQ63">
            <v>307000</v>
          </cell>
          <cell r="BR63">
            <v>206000</v>
          </cell>
          <cell r="BS63">
            <v>156000</v>
          </cell>
          <cell r="BT63">
            <v>225000</v>
          </cell>
          <cell r="BU63">
            <v>228000</v>
          </cell>
          <cell r="BV63">
            <v>275000</v>
          </cell>
          <cell r="BW63">
            <v>214000</v>
          </cell>
          <cell r="BX63">
            <v>229000</v>
          </cell>
          <cell r="BY63">
            <v>431000</v>
          </cell>
          <cell r="BZ63">
            <v>375000</v>
          </cell>
          <cell r="CA63">
            <v>289000</v>
          </cell>
          <cell r="CB63">
            <v>297000</v>
          </cell>
          <cell r="CC63">
            <v>346000</v>
          </cell>
          <cell r="CD63">
            <v>391000</v>
          </cell>
          <cell r="CE63">
            <v>307000</v>
          </cell>
          <cell r="CF63">
            <v>332000</v>
          </cell>
          <cell r="CG63">
            <v>357000</v>
          </cell>
          <cell r="CH63">
            <v>368000</v>
          </cell>
          <cell r="CI63">
            <v>345000</v>
          </cell>
          <cell r="CJ63">
            <v>404000</v>
          </cell>
          <cell r="CK63">
            <v>321000</v>
          </cell>
          <cell r="CL63">
            <v>311000</v>
          </cell>
          <cell r="CM63">
            <v>300000</v>
          </cell>
          <cell r="CN63">
            <v>329000</v>
          </cell>
          <cell r="CO63">
            <v>387000</v>
          </cell>
          <cell r="CP63">
            <v>362000</v>
          </cell>
          <cell r="CQ63">
            <v>309000</v>
          </cell>
          <cell r="CR63">
            <v>315000</v>
          </cell>
          <cell r="CS63">
            <v>344000</v>
          </cell>
          <cell r="CT63">
            <v>291000</v>
          </cell>
          <cell r="CU63">
            <v>281000</v>
          </cell>
          <cell r="CV63">
            <v>256000</v>
          </cell>
          <cell r="CW63">
            <v>218000</v>
          </cell>
          <cell r="CX63">
            <v>201000</v>
          </cell>
          <cell r="CY63">
            <v>211000</v>
          </cell>
          <cell r="CZ63">
            <v>1123000</v>
          </cell>
          <cell r="DA63">
            <v>192000</v>
          </cell>
        </row>
        <row r="64">
          <cell r="E64">
            <v>1686000</v>
          </cell>
          <cell r="F64">
            <v>7729000</v>
          </cell>
          <cell r="G64">
            <v>2797000</v>
          </cell>
          <cell r="H64">
            <v>2333000</v>
          </cell>
          <cell r="I64">
            <v>4753000</v>
          </cell>
          <cell r="J64">
            <v>845000</v>
          </cell>
          <cell r="K64">
            <v>1000000</v>
          </cell>
          <cell r="L64">
            <v>2103000</v>
          </cell>
          <cell r="M64">
            <v>2699000</v>
          </cell>
          <cell r="N64">
            <v>835000</v>
          </cell>
          <cell r="O64">
            <v>3112000</v>
          </cell>
          <cell r="P64">
            <v>914000</v>
          </cell>
          <cell r="Q64">
            <v>2068000</v>
          </cell>
          <cell r="R64">
            <v>2798000</v>
          </cell>
          <cell r="S64">
            <v>961000</v>
          </cell>
          <cell r="T64">
            <v>974000</v>
          </cell>
          <cell r="U64">
            <v>2417000</v>
          </cell>
          <cell r="V64">
            <v>5389000</v>
          </cell>
          <cell r="W64">
            <v>4008000</v>
          </cell>
          <cell r="X64">
            <v>837000</v>
          </cell>
          <cell r="Y64">
            <v>1874000</v>
          </cell>
          <cell r="Z64">
            <v>983000</v>
          </cell>
          <cell r="AA64">
            <v>1878000</v>
          </cell>
          <cell r="AB64">
            <v>2296000</v>
          </cell>
          <cell r="AC64">
            <v>961000</v>
          </cell>
          <cell r="AD64">
            <v>1185000</v>
          </cell>
          <cell r="AE64">
            <v>937000</v>
          </cell>
          <cell r="AF64">
            <v>962000</v>
          </cell>
          <cell r="AG64">
            <v>967000</v>
          </cell>
          <cell r="AH64">
            <v>855000</v>
          </cell>
          <cell r="AI64">
            <v>825000</v>
          </cell>
          <cell r="AJ64">
            <v>703000</v>
          </cell>
          <cell r="AK64">
            <v>1992000</v>
          </cell>
          <cell r="AL64">
            <v>1046000</v>
          </cell>
          <cell r="AM64">
            <v>858000</v>
          </cell>
          <cell r="AN64">
            <v>1019000</v>
          </cell>
          <cell r="AO64">
            <v>861000</v>
          </cell>
          <cell r="AP64">
            <v>1162000</v>
          </cell>
          <cell r="AQ64">
            <v>1378000</v>
          </cell>
          <cell r="AR64">
            <v>1147000</v>
          </cell>
          <cell r="AS64">
            <v>1077000</v>
          </cell>
          <cell r="AT64">
            <v>2271000</v>
          </cell>
          <cell r="AU64">
            <v>1026000</v>
          </cell>
          <cell r="AV64">
            <v>767000</v>
          </cell>
          <cell r="AW64">
            <v>716000</v>
          </cell>
          <cell r="AX64">
            <v>985000</v>
          </cell>
          <cell r="AY64">
            <v>1021000</v>
          </cell>
          <cell r="AZ64">
            <v>995000</v>
          </cell>
          <cell r="BA64">
            <v>1157000</v>
          </cell>
          <cell r="BB64">
            <v>617000</v>
          </cell>
          <cell r="BC64">
            <v>862000</v>
          </cell>
          <cell r="BD64">
            <v>928000</v>
          </cell>
          <cell r="BE64">
            <v>2983000</v>
          </cell>
          <cell r="BF64">
            <v>1084000</v>
          </cell>
          <cell r="BG64">
            <v>1191000</v>
          </cell>
          <cell r="BH64">
            <v>742000</v>
          </cell>
          <cell r="BI64">
            <v>1098000</v>
          </cell>
          <cell r="BJ64">
            <v>1025000</v>
          </cell>
          <cell r="BK64">
            <v>846000</v>
          </cell>
          <cell r="BL64">
            <v>2126000</v>
          </cell>
          <cell r="BM64">
            <v>899000</v>
          </cell>
          <cell r="BN64">
            <v>1007000</v>
          </cell>
          <cell r="BO64">
            <v>1072000</v>
          </cell>
          <cell r="BP64">
            <v>771000</v>
          </cell>
          <cell r="BQ64">
            <v>1191000</v>
          </cell>
          <cell r="BR64">
            <v>857000</v>
          </cell>
          <cell r="BS64">
            <v>804000</v>
          </cell>
          <cell r="BT64">
            <v>781000</v>
          </cell>
          <cell r="BU64">
            <v>934000</v>
          </cell>
          <cell r="BV64">
            <v>823000</v>
          </cell>
          <cell r="BW64">
            <v>942000</v>
          </cell>
          <cell r="BX64">
            <v>843000</v>
          </cell>
          <cell r="BY64">
            <v>1204000</v>
          </cell>
          <cell r="BZ64">
            <v>1034000</v>
          </cell>
          <cell r="CA64">
            <v>1232000</v>
          </cell>
          <cell r="CB64">
            <v>905000</v>
          </cell>
          <cell r="CC64">
            <v>1051000</v>
          </cell>
          <cell r="CD64">
            <v>976000</v>
          </cell>
          <cell r="CE64">
            <v>1106000</v>
          </cell>
          <cell r="CF64">
            <v>1159000</v>
          </cell>
          <cell r="CG64">
            <v>1002000</v>
          </cell>
          <cell r="CH64">
            <v>1028000</v>
          </cell>
          <cell r="CI64">
            <v>1025000</v>
          </cell>
          <cell r="CJ64">
            <v>1328000</v>
          </cell>
          <cell r="CK64">
            <v>1065000</v>
          </cell>
          <cell r="CL64">
            <v>1076000</v>
          </cell>
          <cell r="CM64">
            <v>900000</v>
          </cell>
          <cell r="CN64">
            <v>1014000</v>
          </cell>
          <cell r="CO64">
            <v>1103000</v>
          </cell>
          <cell r="CP64">
            <v>1010000</v>
          </cell>
          <cell r="CQ64">
            <v>1107000</v>
          </cell>
          <cell r="CR64">
            <v>1052000</v>
          </cell>
          <cell r="CS64">
            <v>837000</v>
          </cell>
          <cell r="CT64">
            <v>1057000</v>
          </cell>
          <cell r="CU64">
            <v>1003000</v>
          </cell>
          <cell r="CV64">
            <v>1067000</v>
          </cell>
          <cell r="CW64">
            <v>856000</v>
          </cell>
          <cell r="CX64">
            <v>903000</v>
          </cell>
          <cell r="CY64">
            <v>817000</v>
          </cell>
          <cell r="CZ64">
            <v>2974000</v>
          </cell>
          <cell r="DA64">
            <v>1062000</v>
          </cell>
        </row>
        <row r="65">
          <cell r="E65">
            <v>54000</v>
          </cell>
          <cell r="F65">
            <v>225000</v>
          </cell>
          <cell r="G65">
            <v>90000</v>
          </cell>
          <cell r="H65">
            <v>63000</v>
          </cell>
          <cell r="I65">
            <v>117000</v>
          </cell>
          <cell r="J65">
            <v>31000</v>
          </cell>
          <cell r="K65">
            <v>31000</v>
          </cell>
          <cell r="L65">
            <v>63000</v>
          </cell>
          <cell r="M65">
            <v>86000</v>
          </cell>
          <cell r="N65">
            <v>31000</v>
          </cell>
          <cell r="O65">
            <v>99000</v>
          </cell>
          <cell r="P65">
            <v>27000</v>
          </cell>
          <cell r="Q65">
            <v>45000</v>
          </cell>
          <cell r="R65">
            <v>86000</v>
          </cell>
          <cell r="S65">
            <v>27000</v>
          </cell>
          <cell r="T65">
            <v>32000</v>
          </cell>
          <cell r="U65">
            <v>50000</v>
          </cell>
          <cell r="V65">
            <v>140000</v>
          </cell>
          <cell r="W65">
            <v>117000</v>
          </cell>
          <cell r="X65">
            <v>31000</v>
          </cell>
          <cell r="Y65">
            <v>58000</v>
          </cell>
          <cell r="Z65">
            <v>31000</v>
          </cell>
          <cell r="AA65">
            <v>54000</v>
          </cell>
          <cell r="AB65">
            <v>59000</v>
          </cell>
          <cell r="AC65">
            <v>27000</v>
          </cell>
          <cell r="AD65">
            <v>36000</v>
          </cell>
          <cell r="AE65">
            <v>31000</v>
          </cell>
          <cell r="AF65">
            <v>27000</v>
          </cell>
          <cell r="AG65">
            <v>36000</v>
          </cell>
          <cell r="AH65">
            <v>27000</v>
          </cell>
          <cell r="AI65">
            <v>31000</v>
          </cell>
          <cell r="AJ65">
            <v>22000</v>
          </cell>
          <cell r="AK65">
            <v>45000</v>
          </cell>
          <cell r="AL65">
            <v>22000</v>
          </cell>
          <cell r="AM65">
            <v>18000</v>
          </cell>
          <cell r="AN65">
            <v>27000</v>
          </cell>
          <cell r="AO65">
            <v>27000</v>
          </cell>
          <cell r="AP65">
            <v>27000</v>
          </cell>
          <cell r="AQ65">
            <v>32000</v>
          </cell>
          <cell r="AR65">
            <v>27000</v>
          </cell>
          <cell r="AS65">
            <v>36000</v>
          </cell>
          <cell r="AT65">
            <v>45000</v>
          </cell>
          <cell r="AU65">
            <v>27000</v>
          </cell>
          <cell r="AV65">
            <v>13000</v>
          </cell>
          <cell r="AW65">
            <v>18000</v>
          </cell>
          <cell r="AX65">
            <v>27000</v>
          </cell>
          <cell r="AY65">
            <v>13000</v>
          </cell>
          <cell r="AZ65">
            <v>13000</v>
          </cell>
          <cell r="BA65">
            <v>18000</v>
          </cell>
          <cell r="BB65">
            <v>13000</v>
          </cell>
          <cell r="BC65">
            <v>13000</v>
          </cell>
          <cell r="BD65">
            <v>13000</v>
          </cell>
          <cell r="BE65">
            <v>76000</v>
          </cell>
          <cell r="BF65">
            <v>27000</v>
          </cell>
          <cell r="BG65">
            <v>22000</v>
          </cell>
          <cell r="BH65">
            <v>13000</v>
          </cell>
          <cell r="BI65">
            <v>14000</v>
          </cell>
          <cell r="BJ65">
            <v>14000</v>
          </cell>
          <cell r="BK65">
            <v>9000</v>
          </cell>
          <cell r="BL65">
            <v>54000</v>
          </cell>
          <cell r="BM65">
            <v>18000</v>
          </cell>
          <cell r="BN65">
            <v>18000</v>
          </cell>
          <cell r="BO65">
            <v>27000</v>
          </cell>
          <cell r="BP65">
            <v>13000</v>
          </cell>
          <cell r="BQ65">
            <v>13000</v>
          </cell>
          <cell r="BR65">
            <v>13000</v>
          </cell>
          <cell r="BS65">
            <v>9000</v>
          </cell>
          <cell r="BT65">
            <v>9000</v>
          </cell>
          <cell r="BU65">
            <v>18000</v>
          </cell>
          <cell r="BV65">
            <v>13000</v>
          </cell>
          <cell r="BW65">
            <v>14000</v>
          </cell>
          <cell r="BX65">
            <v>18000</v>
          </cell>
          <cell r="BY65">
            <v>31000</v>
          </cell>
          <cell r="BZ65">
            <v>27000</v>
          </cell>
          <cell r="CA65">
            <v>22000</v>
          </cell>
          <cell r="CB65">
            <v>22000</v>
          </cell>
          <cell r="CC65">
            <v>31000</v>
          </cell>
          <cell r="CD65">
            <v>36000</v>
          </cell>
          <cell r="CE65">
            <v>36000</v>
          </cell>
          <cell r="CF65">
            <v>22000</v>
          </cell>
          <cell r="CG65">
            <v>22000</v>
          </cell>
          <cell r="CH65">
            <v>31000</v>
          </cell>
          <cell r="CI65">
            <v>31000</v>
          </cell>
          <cell r="CJ65">
            <v>31000</v>
          </cell>
          <cell r="CK65">
            <v>31000</v>
          </cell>
          <cell r="CL65">
            <v>27000</v>
          </cell>
          <cell r="CM65">
            <v>18000</v>
          </cell>
          <cell r="CN65">
            <v>27000</v>
          </cell>
          <cell r="CO65">
            <v>31000</v>
          </cell>
          <cell r="CP65">
            <v>13000</v>
          </cell>
          <cell r="CQ65">
            <v>27000</v>
          </cell>
          <cell r="CR65">
            <v>31000</v>
          </cell>
          <cell r="CS65">
            <v>27000</v>
          </cell>
          <cell r="CT65">
            <v>22000</v>
          </cell>
          <cell r="CU65">
            <v>27000</v>
          </cell>
          <cell r="CV65">
            <v>18000</v>
          </cell>
          <cell r="CW65">
            <v>13000</v>
          </cell>
          <cell r="CX65">
            <v>18000</v>
          </cell>
          <cell r="CY65">
            <v>18000</v>
          </cell>
          <cell r="CZ65">
            <v>90000</v>
          </cell>
          <cell r="DA65">
            <v>9000</v>
          </cell>
        </row>
        <row r="66">
          <cell r="E66">
            <v>112000</v>
          </cell>
          <cell r="F66">
            <v>496000</v>
          </cell>
          <cell r="G66">
            <v>288000</v>
          </cell>
          <cell r="H66">
            <v>243000</v>
          </cell>
          <cell r="I66">
            <v>368000</v>
          </cell>
          <cell r="J66">
            <v>128000</v>
          </cell>
          <cell r="K66">
            <v>147000</v>
          </cell>
          <cell r="L66">
            <v>256000</v>
          </cell>
          <cell r="M66">
            <v>275000</v>
          </cell>
          <cell r="N66">
            <v>128000</v>
          </cell>
          <cell r="O66">
            <v>294000</v>
          </cell>
          <cell r="P66">
            <v>144000</v>
          </cell>
          <cell r="Q66">
            <v>420000</v>
          </cell>
          <cell r="R66">
            <v>288000</v>
          </cell>
          <cell r="S66">
            <v>112000</v>
          </cell>
          <cell r="T66">
            <v>144000</v>
          </cell>
          <cell r="U66">
            <v>166000</v>
          </cell>
          <cell r="V66">
            <v>416000</v>
          </cell>
          <cell r="W66">
            <v>352000</v>
          </cell>
          <cell r="X66">
            <v>128000</v>
          </cell>
          <cell r="Y66">
            <v>234000</v>
          </cell>
          <cell r="Z66">
            <v>160000</v>
          </cell>
          <cell r="AA66">
            <v>256000</v>
          </cell>
          <cell r="AB66">
            <v>230000</v>
          </cell>
          <cell r="AC66">
            <v>144000</v>
          </cell>
          <cell r="AD66">
            <v>144000</v>
          </cell>
          <cell r="AE66">
            <v>112000</v>
          </cell>
          <cell r="AF66">
            <v>112000</v>
          </cell>
          <cell r="AG66">
            <v>128000</v>
          </cell>
          <cell r="AH66">
            <v>128000</v>
          </cell>
          <cell r="AI66">
            <v>128000</v>
          </cell>
          <cell r="AJ66">
            <v>112000</v>
          </cell>
          <cell r="AK66">
            <v>176000</v>
          </cell>
          <cell r="AL66">
            <v>115000</v>
          </cell>
          <cell r="AM66">
            <v>99000</v>
          </cell>
          <cell r="AN66">
            <v>128000</v>
          </cell>
          <cell r="AO66">
            <v>115000</v>
          </cell>
          <cell r="AP66">
            <v>147000</v>
          </cell>
          <cell r="AQ66">
            <v>160000</v>
          </cell>
          <cell r="AR66">
            <v>139000</v>
          </cell>
          <cell r="AS66">
            <v>131000</v>
          </cell>
          <cell r="AT66">
            <v>240000</v>
          </cell>
          <cell r="AU66">
            <v>110000</v>
          </cell>
          <cell r="AV66">
            <v>112000</v>
          </cell>
          <cell r="AW66">
            <v>112000</v>
          </cell>
          <cell r="AX66">
            <v>160000</v>
          </cell>
          <cell r="AY66">
            <v>99000</v>
          </cell>
          <cell r="AZ66">
            <v>199000</v>
          </cell>
          <cell r="BA66">
            <v>128000</v>
          </cell>
          <cell r="BB66">
            <v>110000</v>
          </cell>
          <cell r="BC66">
            <v>144000</v>
          </cell>
          <cell r="BD66">
            <v>76000</v>
          </cell>
          <cell r="BE66">
            <v>336000</v>
          </cell>
          <cell r="BF66">
            <v>144000</v>
          </cell>
          <cell r="BG66">
            <v>131000</v>
          </cell>
          <cell r="BH66">
            <v>102000</v>
          </cell>
          <cell r="BI66">
            <v>107000</v>
          </cell>
          <cell r="BJ66">
            <v>115000</v>
          </cell>
          <cell r="BK66">
            <v>128000</v>
          </cell>
          <cell r="BL66">
            <v>251000</v>
          </cell>
          <cell r="BM66">
            <v>97000</v>
          </cell>
          <cell r="BN66">
            <v>112000</v>
          </cell>
          <cell r="BO66">
            <v>128000</v>
          </cell>
          <cell r="BP66">
            <v>115000</v>
          </cell>
          <cell r="BQ66">
            <v>144000</v>
          </cell>
          <cell r="BR66">
            <v>118000</v>
          </cell>
          <cell r="BS66">
            <v>89000</v>
          </cell>
          <cell r="BT66">
            <v>112000</v>
          </cell>
          <cell r="BU66">
            <v>123000</v>
          </cell>
          <cell r="BV66">
            <v>112000</v>
          </cell>
          <cell r="BW66">
            <v>115000</v>
          </cell>
          <cell r="BX66">
            <v>196000</v>
          </cell>
          <cell r="BY66">
            <v>128000</v>
          </cell>
          <cell r="BZ66">
            <v>128000</v>
          </cell>
          <cell r="CA66">
            <v>144000</v>
          </cell>
          <cell r="CB66">
            <v>86000</v>
          </cell>
          <cell r="CC66">
            <v>224000</v>
          </cell>
          <cell r="CD66">
            <v>102000</v>
          </cell>
          <cell r="CE66">
            <v>144000</v>
          </cell>
          <cell r="CF66">
            <v>118000</v>
          </cell>
          <cell r="CG66">
            <v>112000</v>
          </cell>
          <cell r="CH66">
            <v>115000</v>
          </cell>
          <cell r="CI66">
            <v>128000</v>
          </cell>
          <cell r="CJ66">
            <v>163000</v>
          </cell>
          <cell r="CK66">
            <v>115000</v>
          </cell>
          <cell r="CL66">
            <v>128000</v>
          </cell>
          <cell r="CM66">
            <v>112000</v>
          </cell>
          <cell r="CN66">
            <v>123000</v>
          </cell>
          <cell r="CO66">
            <v>144000</v>
          </cell>
          <cell r="CP66">
            <v>102000</v>
          </cell>
          <cell r="CQ66">
            <v>131000</v>
          </cell>
          <cell r="CR66">
            <v>144000</v>
          </cell>
          <cell r="CS66">
            <v>112000</v>
          </cell>
          <cell r="CT66">
            <v>126000</v>
          </cell>
          <cell r="CU66">
            <v>96000</v>
          </cell>
          <cell r="CV66">
            <v>128000</v>
          </cell>
          <cell r="CW66">
            <v>99000</v>
          </cell>
          <cell r="CX66">
            <v>102000</v>
          </cell>
          <cell r="CY66">
            <v>196000</v>
          </cell>
          <cell r="CZ66">
            <v>315000</v>
          </cell>
          <cell r="DA66">
            <v>102000</v>
          </cell>
        </row>
        <row r="67">
          <cell r="E67">
            <v>0</v>
          </cell>
          <cell r="F67">
            <v>0</v>
          </cell>
          <cell r="G67">
            <v>10000</v>
          </cell>
          <cell r="H67">
            <v>20000</v>
          </cell>
          <cell r="I67">
            <v>0</v>
          </cell>
          <cell r="J67">
            <v>0</v>
          </cell>
          <cell r="K67">
            <v>10000</v>
          </cell>
          <cell r="L67">
            <v>30000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5000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10000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4000</v>
          </cell>
        </row>
        <row r="68">
          <cell r="E68">
            <v>39263000</v>
          </cell>
          <cell r="F68">
            <v>178478000</v>
          </cell>
          <cell r="G68">
            <v>68856000</v>
          </cell>
          <cell r="H68">
            <v>52299000</v>
          </cell>
          <cell r="I68">
            <v>104785000</v>
          </cell>
          <cell r="J68">
            <v>22204000</v>
          </cell>
          <cell r="K68">
            <v>24433000</v>
          </cell>
          <cell r="L68">
            <v>50273000</v>
          </cell>
          <cell r="M68">
            <v>61937000</v>
          </cell>
          <cell r="N68">
            <v>23301000</v>
          </cell>
          <cell r="O68">
            <v>73404000</v>
          </cell>
          <cell r="P68">
            <v>21876000</v>
          </cell>
          <cell r="Q68">
            <v>43145000</v>
          </cell>
          <cell r="R68">
            <v>67252000</v>
          </cell>
          <cell r="S68">
            <v>22623000</v>
          </cell>
          <cell r="T68">
            <v>20027000</v>
          </cell>
          <cell r="U68">
            <v>46131000</v>
          </cell>
          <cell r="V68">
            <v>113863000</v>
          </cell>
          <cell r="W68">
            <v>92746000</v>
          </cell>
          <cell r="X68">
            <v>24796000</v>
          </cell>
          <cell r="Y68">
            <v>45117000</v>
          </cell>
          <cell r="Z68">
            <v>23471000</v>
          </cell>
          <cell r="AA68">
            <v>42117000</v>
          </cell>
          <cell r="AB68">
            <v>49688000</v>
          </cell>
          <cell r="AC68">
            <v>20567000</v>
          </cell>
          <cell r="AD68">
            <v>29040000</v>
          </cell>
          <cell r="AE68">
            <v>20618000</v>
          </cell>
          <cell r="AF68">
            <v>22031000</v>
          </cell>
          <cell r="AG68">
            <v>24065000</v>
          </cell>
          <cell r="AH68">
            <v>17766000</v>
          </cell>
          <cell r="AI68">
            <v>21063000</v>
          </cell>
          <cell r="AJ68">
            <v>17028000</v>
          </cell>
          <cell r="AK68">
            <v>37621000</v>
          </cell>
          <cell r="AL68">
            <v>19232000</v>
          </cell>
          <cell r="AM68">
            <v>17695000</v>
          </cell>
          <cell r="AN68">
            <v>19972000</v>
          </cell>
          <cell r="AO68">
            <v>21254000</v>
          </cell>
          <cell r="AP68">
            <v>23954000</v>
          </cell>
          <cell r="AQ68">
            <v>26465000</v>
          </cell>
          <cell r="AR68">
            <v>21587000</v>
          </cell>
          <cell r="AS68">
            <v>22038000</v>
          </cell>
          <cell r="AT68">
            <v>41464000</v>
          </cell>
          <cell r="AU68">
            <v>19672000</v>
          </cell>
          <cell r="AV68">
            <v>13944000</v>
          </cell>
          <cell r="AW68">
            <v>14916000</v>
          </cell>
          <cell r="AX68">
            <v>19128000</v>
          </cell>
          <cell r="AY68">
            <v>19413000</v>
          </cell>
          <cell r="AZ68">
            <v>19242000</v>
          </cell>
          <cell r="BA68">
            <v>22933000</v>
          </cell>
          <cell r="BB68">
            <v>12219000</v>
          </cell>
          <cell r="BC68">
            <v>18029000</v>
          </cell>
          <cell r="BD68">
            <v>16374000</v>
          </cell>
          <cell r="BE68">
            <v>64435000</v>
          </cell>
          <cell r="BF68">
            <v>20015000</v>
          </cell>
          <cell r="BG68">
            <v>20544000</v>
          </cell>
          <cell r="BH68">
            <v>14906000</v>
          </cell>
          <cell r="BI68">
            <v>15265000</v>
          </cell>
          <cell r="BJ68">
            <v>16953000</v>
          </cell>
          <cell r="BK68">
            <v>13754000</v>
          </cell>
          <cell r="BL68">
            <v>46239000</v>
          </cell>
          <cell r="BM68">
            <v>14978000</v>
          </cell>
          <cell r="BN68">
            <v>18988000</v>
          </cell>
          <cell r="BO68">
            <v>21270000</v>
          </cell>
          <cell r="BP68">
            <v>18482000</v>
          </cell>
          <cell r="BQ68">
            <v>23319000</v>
          </cell>
          <cell r="BR68">
            <v>14951000</v>
          </cell>
          <cell r="BS68">
            <v>14043000</v>
          </cell>
          <cell r="BT68">
            <v>16031000</v>
          </cell>
          <cell r="BU68">
            <v>18042000</v>
          </cell>
          <cell r="BV68">
            <v>18569000</v>
          </cell>
          <cell r="BW68">
            <v>17100000</v>
          </cell>
          <cell r="BX68">
            <v>15886000</v>
          </cell>
          <cell r="BY68">
            <v>26856000</v>
          </cell>
          <cell r="BZ68">
            <v>24087000</v>
          </cell>
          <cell r="CA68">
            <v>23596000</v>
          </cell>
          <cell r="CB68">
            <v>18619000</v>
          </cell>
          <cell r="CC68">
            <v>23095000</v>
          </cell>
          <cell r="CD68">
            <v>24439000</v>
          </cell>
          <cell r="CE68">
            <v>22611000</v>
          </cell>
          <cell r="CF68">
            <v>23319000</v>
          </cell>
          <cell r="CG68">
            <v>21565000</v>
          </cell>
          <cell r="CH68">
            <v>23517000</v>
          </cell>
          <cell r="CI68">
            <v>21589000</v>
          </cell>
          <cell r="CJ68">
            <v>26387000</v>
          </cell>
          <cell r="CK68">
            <v>22644000</v>
          </cell>
          <cell r="CL68">
            <v>22789000</v>
          </cell>
          <cell r="CM68">
            <v>19041000</v>
          </cell>
          <cell r="CN68">
            <v>22499000</v>
          </cell>
          <cell r="CO68">
            <v>24789000</v>
          </cell>
          <cell r="CP68">
            <v>23679000</v>
          </cell>
          <cell r="CQ68">
            <v>22723000</v>
          </cell>
          <cell r="CR68">
            <v>21882000</v>
          </cell>
          <cell r="CS68">
            <v>20798000</v>
          </cell>
          <cell r="CT68">
            <v>21684000</v>
          </cell>
          <cell r="CU68">
            <v>20583000</v>
          </cell>
          <cell r="CV68">
            <v>20101000</v>
          </cell>
          <cell r="CW68">
            <v>17472000</v>
          </cell>
          <cell r="CX68">
            <v>15104000</v>
          </cell>
          <cell r="CY68">
            <v>14973000</v>
          </cell>
          <cell r="CZ68">
            <v>67310000</v>
          </cell>
          <cell r="DA68">
            <v>17015000</v>
          </cell>
        </row>
        <row r="69">
          <cell r="E69">
            <v>0</v>
          </cell>
          <cell r="F69">
            <v>91000</v>
          </cell>
          <cell r="G69">
            <v>0</v>
          </cell>
          <cell r="H69">
            <v>0</v>
          </cell>
          <cell r="I69">
            <v>0</v>
          </cell>
          <cell r="J69">
            <v>32000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6000</v>
          </cell>
          <cell r="T69">
            <v>0</v>
          </cell>
          <cell r="U69">
            <v>0</v>
          </cell>
          <cell r="V69">
            <v>34000</v>
          </cell>
          <cell r="W69">
            <v>69000</v>
          </cell>
          <cell r="X69">
            <v>34000</v>
          </cell>
          <cell r="Y69">
            <v>63000</v>
          </cell>
          <cell r="Z69">
            <v>0</v>
          </cell>
          <cell r="AA69">
            <v>97000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20000</v>
          </cell>
          <cell r="AL69">
            <v>0</v>
          </cell>
          <cell r="AM69">
            <v>0</v>
          </cell>
          <cell r="AN69">
            <v>0</v>
          </cell>
          <cell r="AO69">
            <v>20000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20000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20000</v>
          </cell>
          <cell r="CU69">
            <v>0</v>
          </cell>
          <cell r="CV69">
            <v>0</v>
          </cell>
          <cell r="CW69">
            <v>0</v>
          </cell>
          <cell r="CX69">
            <v>64000</v>
          </cell>
          <cell r="CY69">
            <v>0</v>
          </cell>
          <cell r="CZ69">
            <v>0</v>
          </cell>
          <cell r="DA69">
            <v>0</v>
          </cell>
        </row>
        <row r="70">
          <cell r="E70">
            <v>12284000</v>
          </cell>
          <cell r="F70">
            <v>39218000</v>
          </cell>
          <cell r="G70">
            <v>22357000</v>
          </cell>
          <cell r="H70">
            <v>9591000</v>
          </cell>
          <cell r="I70">
            <v>29873000</v>
          </cell>
          <cell r="J70">
            <v>5299000</v>
          </cell>
          <cell r="K70">
            <v>10731000</v>
          </cell>
          <cell r="L70">
            <v>7691000</v>
          </cell>
          <cell r="M70">
            <v>12128000</v>
          </cell>
          <cell r="N70">
            <v>1501000</v>
          </cell>
          <cell r="O70">
            <v>17240000</v>
          </cell>
          <cell r="P70">
            <v>5598000</v>
          </cell>
          <cell r="Q70">
            <v>2722000</v>
          </cell>
          <cell r="R70">
            <v>5233000</v>
          </cell>
          <cell r="S70">
            <v>3937000</v>
          </cell>
          <cell r="T70">
            <v>4753000</v>
          </cell>
          <cell r="U70">
            <v>12486000</v>
          </cell>
          <cell r="V70">
            <v>31728000</v>
          </cell>
          <cell r="W70">
            <v>13194000</v>
          </cell>
          <cell r="X70">
            <v>5520000</v>
          </cell>
          <cell r="Y70">
            <v>9364000</v>
          </cell>
          <cell r="Z70">
            <v>5620000</v>
          </cell>
          <cell r="AA70">
            <v>12387000</v>
          </cell>
          <cell r="AB70">
            <v>16308000</v>
          </cell>
          <cell r="AC70">
            <v>3011000</v>
          </cell>
          <cell r="AD70">
            <v>3731000</v>
          </cell>
          <cell r="AE70">
            <v>787000</v>
          </cell>
          <cell r="AF70">
            <v>3098000</v>
          </cell>
          <cell r="AG70">
            <v>3687000</v>
          </cell>
          <cell r="AH70">
            <v>2286000</v>
          </cell>
          <cell r="AI70">
            <v>1803000</v>
          </cell>
          <cell r="AJ70">
            <v>2431000</v>
          </cell>
          <cell r="AK70">
            <v>9031000</v>
          </cell>
          <cell r="AL70">
            <v>4358000</v>
          </cell>
          <cell r="AM70">
            <v>2304000</v>
          </cell>
          <cell r="AN70">
            <v>3616000</v>
          </cell>
          <cell r="AO70">
            <v>1189000</v>
          </cell>
          <cell r="AP70">
            <v>5654000</v>
          </cell>
          <cell r="AQ70">
            <v>5785000</v>
          </cell>
          <cell r="AR70">
            <v>4826000</v>
          </cell>
          <cell r="AS70">
            <v>6350000</v>
          </cell>
          <cell r="AT70">
            <v>6990000</v>
          </cell>
          <cell r="AU70">
            <v>2903000</v>
          </cell>
          <cell r="AV70">
            <v>405000</v>
          </cell>
          <cell r="AW70">
            <v>706000</v>
          </cell>
          <cell r="AX70">
            <v>2592000</v>
          </cell>
          <cell r="AY70">
            <v>1923000</v>
          </cell>
          <cell r="AZ70">
            <v>465000</v>
          </cell>
          <cell r="BA70">
            <v>1276000</v>
          </cell>
          <cell r="BB70">
            <v>741000</v>
          </cell>
          <cell r="BC70">
            <v>516000</v>
          </cell>
          <cell r="BD70">
            <v>2553000</v>
          </cell>
          <cell r="BE70">
            <v>9001000</v>
          </cell>
          <cell r="BF70">
            <v>4873000</v>
          </cell>
          <cell r="BG70">
            <v>3032000</v>
          </cell>
          <cell r="BH70">
            <v>1139000</v>
          </cell>
          <cell r="BI70">
            <v>1897000</v>
          </cell>
          <cell r="BJ70">
            <v>525000</v>
          </cell>
          <cell r="BK70">
            <v>494000</v>
          </cell>
          <cell r="BL70">
            <v>5007000</v>
          </cell>
          <cell r="BM70">
            <v>1005000</v>
          </cell>
          <cell r="BN70">
            <v>4784000</v>
          </cell>
          <cell r="BO70">
            <v>136000</v>
          </cell>
          <cell r="BP70">
            <v>1110000</v>
          </cell>
          <cell r="BQ70">
            <v>1622000</v>
          </cell>
          <cell r="BR70">
            <v>862000</v>
          </cell>
          <cell r="BS70">
            <v>304000</v>
          </cell>
          <cell r="BT70">
            <v>1704000</v>
          </cell>
          <cell r="BU70">
            <v>550000</v>
          </cell>
          <cell r="BV70">
            <v>839000</v>
          </cell>
          <cell r="BW70">
            <v>5875000</v>
          </cell>
          <cell r="BX70">
            <v>1323000</v>
          </cell>
          <cell r="BY70">
            <v>3744000</v>
          </cell>
          <cell r="BZ70">
            <v>3479000</v>
          </cell>
          <cell r="CA70">
            <v>1728000</v>
          </cell>
          <cell r="CB70">
            <v>2933000</v>
          </cell>
          <cell r="CC70">
            <v>3350000</v>
          </cell>
          <cell r="CD70">
            <v>6847000</v>
          </cell>
          <cell r="CE70">
            <v>470000</v>
          </cell>
          <cell r="CF70">
            <v>3379000</v>
          </cell>
          <cell r="CG70">
            <v>4057000</v>
          </cell>
          <cell r="CH70">
            <v>2544000</v>
          </cell>
          <cell r="CI70">
            <v>3945000</v>
          </cell>
          <cell r="CJ70">
            <v>2283000</v>
          </cell>
          <cell r="CK70">
            <v>4744000</v>
          </cell>
          <cell r="CL70">
            <v>2174000</v>
          </cell>
          <cell r="CM70">
            <v>8215000</v>
          </cell>
          <cell r="CN70">
            <v>4007000</v>
          </cell>
          <cell r="CO70">
            <v>2938000</v>
          </cell>
          <cell r="CP70">
            <v>1819000</v>
          </cell>
          <cell r="CQ70">
            <v>763000</v>
          </cell>
          <cell r="CR70">
            <v>2957000</v>
          </cell>
          <cell r="CS70">
            <v>2668000</v>
          </cell>
          <cell r="CT70">
            <v>2049000</v>
          </cell>
          <cell r="CU70">
            <v>2579000</v>
          </cell>
          <cell r="CV70">
            <v>831000</v>
          </cell>
          <cell r="CW70">
            <v>942000</v>
          </cell>
          <cell r="CX70">
            <v>1892000</v>
          </cell>
          <cell r="CY70">
            <v>909000</v>
          </cell>
          <cell r="CZ70">
            <v>4385000</v>
          </cell>
          <cell r="DA70">
            <v>1980000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13000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172000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26000</v>
          </cell>
          <cell r="BX71">
            <v>0</v>
          </cell>
          <cell r="BY71">
            <v>0</v>
          </cell>
          <cell r="BZ71">
            <v>0</v>
          </cell>
          <cell r="CA71">
            <v>22000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</row>
        <row r="72">
          <cell r="E72">
            <v>0</v>
          </cell>
          <cell r="F72">
            <v>53000</v>
          </cell>
          <cell r="G72">
            <v>0</v>
          </cell>
          <cell r="H72">
            <v>0</v>
          </cell>
          <cell r="I72">
            <v>0</v>
          </cell>
          <cell r="J72">
            <v>136000</v>
          </cell>
          <cell r="K72">
            <v>586000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516000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108000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92000</v>
          </cell>
          <cell r="AL72">
            <v>0</v>
          </cell>
          <cell r="AM72">
            <v>0</v>
          </cell>
          <cell r="AN72">
            <v>0</v>
          </cell>
          <cell r="AO72">
            <v>85000</v>
          </cell>
          <cell r="AP72">
            <v>0</v>
          </cell>
          <cell r="AQ72">
            <v>567000</v>
          </cell>
          <cell r="AR72">
            <v>0</v>
          </cell>
          <cell r="AS72">
            <v>441000</v>
          </cell>
          <cell r="AT72">
            <v>0</v>
          </cell>
          <cell r="AU72">
            <v>0</v>
          </cell>
          <cell r="AV72">
            <v>115000</v>
          </cell>
          <cell r="AW72">
            <v>0</v>
          </cell>
          <cell r="AX72">
            <v>0</v>
          </cell>
          <cell r="AY72">
            <v>736000</v>
          </cell>
          <cell r="AZ72">
            <v>255000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104000</v>
          </cell>
          <cell r="BK72">
            <v>0</v>
          </cell>
          <cell r="BL72">
            <v>0</v>
          </cell>
          <cell r="BM72">
            <v>0</v>
          </cell>
          <cell r="BN72">
            <v>51000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170000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253000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185000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</row>
        <row r="73">
          <cell r="E73">
            <v>1061000</v>
          </cell>
          <cell r="F73">
            <v>2782000</v>
          </cell>
          <cell r="G73">
            <v>1652000</v>
          </cell>
          <cell r="H73">
            <v>577000</v>
          </cell>
          <cell r="I73">
            <v>264000</v>
          </cell>
          <cell r="J73">
            <v>451000</v>
          </cell>
          <cell r="K73">
            <v>0</v>
          </cell>
          <cell r="L73">
            <v>251000</v>
          </cell>
          <cell r="M73">
            <v>968000</v>
          </cell>
          <cell r="N73">
            <v>0</v>
          </cell>
          <cell r="O73">
            <v>1335000</v>
          </cell>
          <cell r="P73">
            <v>0</v>
          </cell>
          <cell r="Q73">
            <v>0</v>
          </cell>
          <cell r="R73">
            <v>935000</v>
          </cell>
          <cell r="S73">
            <v>455000</v>
          </cell>
          <cell r="T73">
            <v>0</v>
          </cell>
          <cell r="U73">
            <v>909000</v>
          </cell>
          <cell r="V73">
            <v>1026000</v>
          </cell>
          <cell r="W73">
            <v>845000</v>
          </cell>
          <cell r="X73">
            <v>0</v>
          </cell>
          <cell r="Y73">
            <v>645000</v>
          </cell>
          <cell r="Z73">
            <v>675000</v>
          </cell>
          <cell r="AA73">
            <v>236000</v>
          </cell>
          <cell r="AB73">
            <v>749000</v>
          </cell>
          <cell r="AC73">
            <v>406000</v>
          </cell>
          <cell r="AD73">
            <v>0</v>
          </cell>
          <cell r="AE73">
            <v>466000</v>
          </cell>
          <cell r="AF73">
            <v>473000</v>
          </cell>
          <cell r="AG73">
            <v>481000</v>
          </cell>
          <cell r="AH73">
            <v>514000</v>
          </cell>
          <cell r="AI73">
            <v>237000</v>
          </cell>
          <cell r="AJ73">
            <v>556000</v>
          </cell>
          <cell r="AK73">
            <v>1416000</v>
          </cell>
          <cell r="AL73">
            <v>404000</v>
          </cell>
          <cell r="AM73">
            <v>133000</v>
          </cell>
          <cell r="AN73">
            <v>545000</v>
          </cell>
          <cell r="AO73">
            <v>0</v>
          </cell>
          <cell r="AP73">
            <v>133000</v>
          </cell>
          <cell r="AQ73">
            <v>0</v>
          </cell>
          <cell r="AR73">
            <v>987000</v>
          </cell>
          <cell r="AS73">
            <v>0</v>
          </cell>
          <cell r="AT73">
            <v>638000</v>
          </cell>
          <cell r="AU73">
            <v>0</v>
          </cell>
          <cell r="AV73">
            <v>281000</v>
          </cell>
          <cell r="AW73">
            <v>0</v>
          </cell>
          <cell r="AX73">
            <v>132000</v>
          </cell>
          <cell r="AY73">
            <v>0</v>
          </cell>
          <cell r="AZ73">
            <v>0</v>
          </cell>
          <cell r="BA73">
            <v>190000</v>
          </cell>
          <cell r="BB73">
            <v>0</v>
          </cell>
          <cell r="BC73">
            <v>0</v>
          </cell>
          <cell r="BD73">
            <v>0</v>
          </cell>
          <cell r="BE73">
            <v>748000</v>
          </cell>
          <cell r="BF73">
            <v>602000</v>
          </cell>
          <cell r="BG73">
            <v>465000</v>
          </cell>
          <cell r="BH73">
            <v>131000</v>
          </cell>
          <cell r="BI73">
            <v>0</v>
          </cell>
          <cell r="BJ73">
            <v>581000</v>
          </cell>
          <cell r="BK73">
            <v>281000</v>
          </cell>
          <cell r="BL73">
            <v>147000</v>
          </cell>
          <cell r="BM73">
            <v>0</v>
          </cell>
          <cell r="BN73">
            <v>282000</v>
          </cell>
          <cell r="BO73">
            <v>346000</v>
          </cell>
          <cell r="BP73">
            <v>0</v>
          </cell>
          <cell r="BQ73">
            <v>281000</v>
          </cell>
          <cell r="BR73">
            <v>0</v>
          </cell>
          <cell r="BS73">
            <v>508000</v>
          </cell>
          <cell r="BT73">
            <v>0</v>
          </cell>
          <cell r="BU73">
            <v>0</v>
          </cell>
          <cell r="BV73">
            <v>447000</v>
          </cell>
          <cell r="BW73">
            <v>0</v>
          </cell>
          <cell r="BX73">
            <v>0</v>
          </cell>
          <cell r="BY73">
            <v>646000</v>
          </cell>
          <cell r="BZ73">
            <v>566000</v>
          </cell>
          <cell r="CA73">
            <v>435000</v>
          </cell>
          <cell r="CB73">
            <v>246000</v>
          </cell>
          <cell r="CC73">
            <v>145000</v>
          </cell>
          <cell r="CD73">
            <v>118000</v>
          </cell>
          <cell r="CE73">
            <v>454000</v>
          </cell>
          <cell r="CF73">
            <v>883000</v>
          </cell>
          <cell r="CG73">
            <v>944000</v>
          </cell>
          <cell r="CH73">
            <v>0</v>
          </cell>
          <cell r="CI73">
            <v>500000</v>
          </cell>
          <cell r="CJ73">
            <v>0</v>
          </cell>
          <cell r="CK73">
            <v>0</v>
          </cell>
          <cell r="CL73">
            <v>278000</v>
          </cell>
          <cell r="CM73">
            <v>0</v>
          </cell>
          <cell r="CN73">
            <v>125000</v>
          </cell>
          <cell r="CO73">
            <v>271000</v>
          </cell>
          <cell r="CP73">
            <v>1503000</v>
          </cell>
          <cell r="CQ73">
            <v>0</v>
          </cell>
          <cell r="CR73">
            <v>1101000</v>
          </cell>
          <cell r="CS73">
            <v>462000</v>
          </cell>
          <cell r="CT73">
            <v>1109000</v>
          </cell>
          <cell r="CU73">
            <v>246000</v>
          </cell>
          <cell r="CV73">
            <v>621000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</row>
        <row r="74">
          <cell r="E74">
            <v>13345000</v>
          </cell>
          <cell r="F74">
            <v>42144000</v>
          </cell>
          <cell r="G74">
            <v>24009000</v>
          </cell>
          <cell r="H74">
            <v>10168000</v>
          </cell>
          <cell r="I74">
            <v>30137000</v>
          </cell>
          <cell r="J74">
            <v>5918000</v>
          </cell>
          <cell r="K74">
            <v>11317000</v>
          </cell>
          <cell r="L74">
            <v>7942000</v>
          </cell>
          <cell r="M74">
            <v>13096000</v>
          </cell>
          <cell r="N74">
            <v>1501000</v>
          </cell>
          <cell r="O74">
            <v>18575000</v>
          </cell>
          <cell r="P74">
            <v>5598000</v>
          </cell>
          <cell r="Q74">
            <v>2722000</v>
          </cell>
          <cell r="R74">
            <v>6168000</v>
          </cell>
          <cell r="S74">
            <v>4411000</v>
          </cell>
          <cell r="T74">
            <v>5269000</v>
          </cell>
          <cell r="U74">
            <v>13395000</v>
          </cell>
          <cell r="V74">
            <v>32788000</v>
          </cell>
          <cell r="W74">
            <v>14108000</v>
          </cell>
          <cell r="X74">
            <v>5554000</v>
          </cell>
          <cell r="Y74">
            <v>10072000</v>
          </cell>
          <cell r="Z74">
            <v>6295000</v>
          </cell>
          <cell r="AA74">
            <v>12828000</v>
          </cell>
          <cell r="AB74">
            <v>17057000</v>
          </cell>
          <cell r="AC74">
            <v>3589000</v>
          </cell>
          <cell r="AD74">
            <v>3731000</v>
          </cell>
          <cell r="AE74">
            <v>1253000</v>
          </cell>
          <cell r="AF74">
            <v>3571000</v>
          </cell>
          <cell r="AG74">
            <v>4168000</v>
          </cell>
          <cell r="AH74">
            <v>2800000</v>
          </cell>
          <cell r="AI74">
            <v>2040000</v>
          </cell>
          <cell r="AJ74">
            <v>2987000</v>
          </cell>
          <cell r="AK74">
            <v>10559000</v>
          </cell>
          <cell r="AL74">
            <v>4762000</v>
          </cell>
          <cell r="AM74">
            <v>2437000</v>
          </cell>
          <cell r="AN74">
            <v>4161000</v>
          </cell>
          <cell r="AO74">
            <v>1294000</v>
          </cell>
          <cell r="AP74">
            <v>5787000</v>
          </cell>
          <cell r="AQ74">
            <v>6352000</v>
          </cell>
          <cell r="AR74">
            <v>5813000</v>
          </cell>
          <cell r="AS74">
            <v>6791000</v>
          </cell>
          <cell r="AT74">
            <v>7628000</v>
          </cell>
          <cell r="AU74">
            <v>2903000</v>
          </cell>
          <cell r="AV74">
            <v>801000</v>
          </cell>
          <cell r="AW74">
            <v>706000</v>
          </cell>
          <cell r="AX74">
            <v>2724000</v>
          </cell>
          <cell r="AY74">
            <v>2659000</v>
          </cell>
          <cell r="AZ74">
            <v>740000</v>
          </cell>
          <cell r="BA74">
            <v>1466000</v>
          </cell>
          <cell r="BB74">
            <v>741000</v>
          </cell>
          <cell r="BC74">
            <v>516000</v>
          </cell>
          <cell r="BD74">
            <v>2553000</v>
          </cell>
          <cell r="BE74">
            <v>9749000</v>
          </cell>
          <cell r="BF74">
            <v>5475000</v>
          </cell>
          <cell r="BG74">
            <v>3497000</v>
          </cell>
          <cell r="BH74">
            <v>1270000</v>
          </cell>
          <cell r="BI74">
            <v>1897000</v>
          </cell>
          <cell r="BJ74">
            <v>1210000</v>
          </cell>
          <cell r="BK74">
            <v>775000</v>
          </cell>
          <cell r="BL74">
            <v>5154000</v>
          </cell>
          <cell r="BM74">
            <v>1005000</v>
          </cell>
          <cell r="BN74">
            <v>5117000</v>
          </cell>
          <cell r="BO74">
            <v>482000</v>
          </cell>
          <cell r="BP74">
            <v>1110000</v>
          </cell>
          <cell r="BQ74">
            <v>1903000</v>
          </cell>
          <cell r="BR74">
            <v>862000</v>
          </cell>
          <cell r="BS74">
            <v>812000</v>
          </cell>
          <cell r="BT74">
            <v>1704000</v>
          </cell>
          <cell r="BU74">
            <v>550000</v>
          </cell>
          <cell r="BV74">
            <v>1286000</v>
          </cell>
          <cell r="BW74">
            <v>5901000</v>
          </cell>
          <cell r="BX74">
            <v>1323000</v>
          </cell>
          <cell r="BY74">
            <v>4560000</v>
          </cell>
          <cell r="BZ74">
            <v>4045000</v>
          </cell>
          <cell r="CA74">
            <v>2185000</v>
          </cell>
          <cell r="CB74">
            <v>3179000</v>
          </cell>
          <cell r="CC74">
            <v>3495000</v>
          </cell>
          <cell r="CD74">
            <v>6965000</v>
          </cell>
          <cell r="CE74">
            <v>924000</v>
          </cell>
          <cell r="CF74">
            <v>4262000</v>
          </cell>
          <cell r="CG74">
            <v>5001000</v>
          </cell>
          <cell r="CH74">
            <v>2544000</v>
          </cell>
          <cell r="CI74">
            <v>4445000</v>
          </cell>
          <cell r="CJ74">
            <v>2283000</v>
          </cell>
          <cell r="CK74">
            <v>4744000</v>
          </cell>
          <cell r="CL74">
            <v>2452000</v>
          </cell>
          <cell r="CM74">
            <v>8468000</v>
          </cell>
          <cell r="CN74">
            <v>4132000</v>
          </cell>
          <cell r="CO74">
            <v>3209000</v>
          </cell>
          <cell r="CP74">
            <v>3322000</v>
          </cell>
          <cell r="CQ74">
            <v>763000</v>
          </cell>
          <cell r="CR74">
            <v>4058000</v>
          </cell>
          <cell r="CS74">
            <v>3315000</v>
          </cell>
          <cell r="CT74">
            <v>3178000</v>
          </cell>
          <cell r="CU74">
            <v>2825000</v>
          </cell>
          <cell r="CV74">
            <v>1452000</v>
          </cell>
          <cell r="CW74">
            <v>942000</v>
          </cell>
          <cell r="CX74">
            <v>1956000</v>
          </cell>
          <cell r="CY74">
            <v>909000</v>
          </cell>
          <cell r="CZ74">
            <v>4385000</v>
          </cell>
          <cell r="DA74">
            <v>1980000</v>
          </cell>
        </row>
        <row r="75">
          <cell r="E75">
            <v>165000</v>
          </cell>
          <cell r="F75">
            <v>1405000</v>
          </cell>
          <cell r="G75">
            <v>1378000</v>
          </cell>
          <cell r="H75">
            <v>458000</v>
          </cell>
          <cell r="I75">
            <v>554000</v>
          </cell>
          <cell r="J75">
            <v>253000</v>
          </cell>
          <cell r="K75">
            <v>428000</v>
          </cell>
          <cell r="L75">
            <v>896000</v>
          </cell>
          <cell r="M75">
            <v>705000</v>
          </cell>
          <cell r="N75">
            <v>51000</v>
          </cell>
          <cell r="O75">
            <v>1221000</v>
          </cell>
          <cell r="P75">
            <v>5000</v>
          </cell>
          <cell r="Q75">
            <v>293000</v>
          </cell>
          <cell r="R75">
            <v>642000</v>
          </cell>
          <cell r="S75">
            <v>367000</v>
          </cell>
          <cell r="T75">
            <v>492000</v>
          </cell>
          <cell r="U75">
            <v>345000</v>
          </cell>
          <cell r="V75">
            <v>1509000</v>
          </cell>
          <cell r="W75">
            <v>691000</v>
          </cell>
          <cell r="X75">
            <v>102000</v>
          </cell>
          <cell r="Y75">
            <v>264000</v>
          </cell>
          <cell r="Z75">
            <v>161000</v>
          </cell>
          <cell r="AA75">
            <v>366000</v>
          </cell>
          <cell r="AB75">
            <v>359000</v>
          </cell>
          <cell r="AC75">
            <v>29000</v>
          </cell>
          <cell r="AD75">
            <v>538000</v>
          </cell>
          <cell r="AE75">
            <v>292000</v>
          </cell>
          <cell r="AF75">
            <v>0</v>
          </cell>
          <cell r="AG75">
            <v>402000</v>
          </cell>
          <cell r="AH75">
            <v>158000</v>
          </cell>
          <cell r="AI75">
            <v>124000</v>
          </cell>
          <cell r="AJ75">
            <v>69000</v>
          </cell>
          <cell r="AK75">
            <v>134000</v>
          </cell>
          <cell r="AL75">
            <v>144000</v>
          </cell>
          <cell r="AM75">
            <v>89000</v>
          </cell>
          <cell r="AN75">
            <v>423000</v>
          </cell>
          <cell r="AO75">
            <v>120000</v>
          </cell>
          <cell r="AP75">
            <v>349000</v>
          </cell>
          <cell r="AQ75">
            <v>436000</v>
          </cell>
          <cell r="AR75">
            <v>53000</v>
          </cell>
          <cell r="AS75">
            <v>75000</v>
          </cell>
          <cell r="AT75">
            <v>288000</v>
          </cell>
          <cell r="AU75">
            <v>81000</v>
          </cell>
          <cell r="AV75">
            <v>0</v>
          </cell>
          <cell r="AW75">
            <v>28000</v>
          </cell>
          <cell r="AX75">
            <v>136000</v>
          </cell>
          <cell r="AY75">
            <v>37000</v>
          </cell>
          <cell r="AZ75">
            <v>54000</v>
          </cell>
          <cell r="BA75">
            <v>0</v>
          </cell>
          <cell r="BB75">
            <v>324000</v>
          </cell>
          <cell r="BC75">
            <v>277000</v>
          </cell>
          <cell r="BD75">
            <v>65000</v>
          </cell>
          <cell r="BE75">
            <v>674000</v>
          </cell>
          <cell r="BF75">
            <v>101000</v>
          </cell>
          <cell r="BG75">
            <v>81000</v>
          </cell>
          <cell r="BH75">
            <v>27000</v>
          </cell>
          <cell r="BI75">
            <v>3000</v>
          </cell>
          <cell r="BJ75">
            <v>73000</v>
          </cell>
          <cell r="BK75">
            <v>37000</v>
          </cell>
          <cell r="BL75">
            <v>134000</v>
          </cell>
          <cell r="BM75">
            <v>49000</v>
          </cell>
          <cell r="BN75">
            <v>57000</v>
          </cell>
          <cell r="BO75">
            <v>708000</v>
          </cell>
          <cell r="BP75">
            <v>401000</v>
          </cell>
          <cell r="BQ75">
            <v>500000</v>
          </cell>
          <cell r="BR75">
            <v>8000</v>
          </cell>
          <cell r="BS75">
            <v>37000</v>
          </cell>
          <cell r="BT75">
            <v>17000</v>
          </cell>
          <cell r="BU75">
            <v>31000</v>
          </cell>
          <cell r="BV75">
            <v>220000</v>
          </cell>
          <cell r="BW75">
            <v>253000</v>
          </cell>
          <cell r="BX75">
            <v>40000</v>
          </cell>
          <cell r="BY75">
            <v>11000</v>
          </cell>
          <cell r="BZ75">
            <v>212000</v>
          </cell>
          <cell r="CA75">
            <v>41000</v>
          </cell>
          <cell r="CB75">
            <v>134000</v>
          </cell>
          <cell r="CC75">
            <v>80000</v>
          </cell>
          <cell r="CD75">
            <v>398000</v>
          </cell>
          <cell r="CE75">
            <v>218000</v>
          </cell>
          <cell r="CF75">
            <v>153000</v>
          </cell>
          <cell r="CG75">
            <v>5000</v>
          </cell>
          <cell r="CH75">
            <v>228000</v>
          </cell>
          <cell r="CI75">
            <v>289000</v>
          </cell>
          <cell r="CJ75">
            <v>355000</v>
          </cell>
          <cell r="CK75">
            <v>2000</v>
          </cell>
          <cell r="CL75">
            <v>259000</v>
          </cell>
          <cell r="CM75">
            <v>305000</v>
          </cell>
          <cell r="CN75">
            <v>103000</v>
          </cell>
          <cell r="CO75">
            <v>343000</v>
          </cell>
          <cell r="CP75">
            <v>7000</v>
          </cell>
          <cell r="CQ75">
            <v>113000</v>
          </cell>
          <cell r="CR75">
            <v>1000</v>
          </cell>
          <cell r="CS75">
            <v>383000</v>
          </cell>
          <cell r="CT75">
            <v>74000</v>
          </cell>
          <cell r="CU75">
            <v>76000</v>
          </cell>
          <cell r="CV75">
            <v>279000</v>
          </cell>
          <cell r="CW75">
            <v>273000</v>
          </cell>
          <cell r="CX75">
            <v>72000</v>
          </cell>
          <cell r="CY75">
            <v>5000</v>
          </cell>
          <cell r="CZ75">
            <v>422000</v>
          </cell>
          <cell r="DA75">
            <v>35000</v>
          </cell>
        </row>
        <row r="76">
          <cell r="E76">
            <v>598000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25000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110000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100000</v>
          </cell>
          <cell r="AS76">
            <v>0</v>
          </cell>
          <cell r="AT76">
            <v>0</v>
          </cell>
          <cell r="AU76">
            <v>160000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100000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65000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900000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30000</v>
          </cell>
          <cell r="CN76">
            <v>46000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50000</v>
          </cell>
          <cell r="CY76">
            <v>0</v>
          </cell>
          <cell r="CZ76">
            <v>0</v>
          </cell>
          <cell r="DA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40000</v>
          </cell>
          <cell r="L77">
            <v>50000</v>
          </cell>
          <cell r="M77">
            <v>0</v>
          </cell>
          <cell r="N77">
            <v>0</v>
          </cell>
          <cell r="O77">
            <v>35000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50000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20000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</row>
        <row r="78">
          <cell r="E78">
            <v>598000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65000</v>
          </cell>
          <cell r="L78">
            <v>50000</v>
          </cell>
          <cell r="M78">
            <v>0</v>
          </cell>
          <cell r="N78">
            <v>0</v>
          </cell>
          <cell r="O78">
            <v>35000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50000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110000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100000</v>
          </cell>
          <cell r="AS78">
            <v>0</v>
          </cell>
          <cell r="AT78">
            <v>0</v>
          </cell>
          <cell r="AU78">
            <v>160000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100000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65000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900000</v>
          </cell>
          <cell r="CB78">
            <v>0</v>
          </cell>
          <cell r="CC78">
            <v>0</v>
          </cell>
          <cell r="CD78">
            <v>0</v>
          </cell>
          <cell r="CE78">
            <v>20000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30000</v>
          </cell>
          <cell r="CN78">
            <v>46000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50000</v>
          </cell>
          <cell r="CY78">
            <v>0</v>
          </cell>
          <cell r="CZ78">
            <v>0</v>
          </cell>
          <cell r="DA7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5">
    <tabColor rgb="FFFFFF00"/>
  </sheetPr>
  <dimension ref="A1:C101"/>
  <sheetViews>
    <sheetView topLeftCell="A7" workbookViewId="0">
      <selection activeCell="A18" sqref="A18:B18"/>
    </sheetView>
  </sheetViews>
  <sheetFormatPr defaultRowHeight="16.2"/>
  <cols>
    <col min="2" max="2" width="14.33203125" style="27" customWidth="1"/>
  </cols>
  <sheetData>
    <row r="1" spans="1:3">
      <c r="A1" s="32">
        <v>601</v>
      </c>
      <c r="B1" s="240" t="s">
        <v>179</v>
      </c>
      <c r="C1" t="s">
        <v>385</v>
      </c>
    </row>
    <row r="2" spans="1:3">
      <c r="A2" s="32">
        <v>602</v>
      </c>
      <c r="B2" s="240" t="s">
        <v>178</v>
      </c>
      <c r="C2" t="s">
        <v>386</v>
      </c>
    </row>
    <row r="3" spans="1:3">
      <c r="A3" s="32">
        <v>603</v>
      </c>
      <c r="B3" s="240" t="s">
        <v>10</v>
      </c>
      <c r="C3" t="s">
        <v>387</v>
      </c>
    </row>
    <row r="4" spans="1:3">
      <c r="A4" s="32">
        <v>604</v>
      </c>
      <c r="B4" s="240" t="s">
        <v>703</v>
      </c>
      <c r="C4" t="s">
        <v>388</v>
      </c>
    </row>
    <row r="5" spans="1:3">
      <c r="A5" s="32">
        <v>605</v>
      </c>
      <c r="B5" s="240" t="s">
        <v>704</v>
      </c>
      <c r="C5" t="s">
        <v>389</v>
      </c>
    </row>
    <row r="6" spans="1:3">
      <c r="A6" s="32">
        <v>606</v>
      </c>
      <c r="B6" s="240" t="s">
        <v>705</v>
      </c>
      <c r="C6" t="s">
        <v>390</v>
      </c>
    </row>
    <row r="7" spans="1:3">
      <c r="A7" s="32">
        <v>607</v>
      </c>
      <c r="B7" s="240" t="s">
        <v>706</v>
      </c>
      <c r="C7" t="s">
        <v>391</v>
      </c>
    </row>
    <row r="8" spans="1:3">
      <c r="A8" s="32">
        <v>608</v>
      </c>
      <c r="B8" s="240" t="s">
        <v>15</v>
      </c>
      <c r="C8" t="s">
        <v>392</v>
      </c>
    </row>
    <row r="9" spans="1:3">
      <c r="A9" s="32">
        <v>609</v>
      </c>
      <c r="B9" s="240" t="s">
        <v>16</v>
      </c>
      <c r="C9" t="s">
        <v>393</v>
      </c>
    </row>
    <row r="10" spans="1:3">
      <c r="A10" s="32">
        <v>610</v>
      </c>
      <c r="B10" s="240" t="s">
        <v>707</v>
      </c>
      <c r="C10" t="s">
        <v>394</v>
      </c>
    </row>
    <row r="11" spans="1:3">
      <c r="A11" s="32">
        <v>611</v>
      </c>
      <c r="B11" s="240" t="s">
        <v>18</v>
      </c>
      <c r="C11" t="s">
        <v>395</v>
      </c>
    </row>
    <row r="12" spans="1:3">
      <c r="A12" s="32">
        <v>612</v>
      </c>
      <c r="B12" s="240" t="s">
        <v>19</v>
      </c>
      <c r="C12" t="s">
        <v>396</v>
      </c>
    </row>
    <row r="13" spans="1:3">
      <c r="A13" s="32">
        <v>613</v>
      </c>
      <c r="B13" s="240" t="s">
        <v>20</v>
      </c>
      <c r="C13" t="s">
        <v>397</v>
      </c>
    </row>
    <row r="14" spans="1:3">
      <c r="A14" s="32">
        <v>614</v>
      </c>
      <c r="B14" s="240" t="s">
        <v>21</v>
      </c>
      <c r="C14" t="s">
        <v>398</v>
      </c>
    </row>
    <row r="15" spans="1:3">
      <c r="A15" s="32">
        <v>615</v>
      </c>
      <c r="B15" s="240" t="s">
        <v>22</v>
      </c>
      <c r="C15" t="s">
        <v>399</v>
      </c>
    </row>
    <row r="16" spans="1:3">
      <c r="A16" s="32">
        <v>616</v>
      </c>
      <c r="B16" s="240" t="s">
        <v>23</v>
      </c>
      <c r="C16" t="s">
        <v>400</v>
      </c>
    </row>
    <row r="17" spans="1:3">
      <c r="A17" s="32">
        <v>617</v>
      </c>
      <c r="B17" s="240" t="s">
        <v>24</v>
      </c>
      <c r="C17" t="s">
        <v>401</v>
      </c>
    </row>
    <row r="18" spans="1:3">
      <c r="A18" s="32">
        <v>618</v>
      </c>
      <c r="B18" s="240" t="s">
        <v>25</v>
      </c>
      <c r="C18" t="s">
        <v>402</v>
      </c>
    </row>
    <row r="19" spans="1:3">
      <c r="A19" s="32">
        <v>619</v>
      </c>
      <c r="B19" s="28" t="s">
        <v>26</v>
      </c>
      <c r="C19" t="s">
        <v>403</v>
      </c>
    </row>
    <row r="20" spans="1:3">
      <c r="A20" s="32">
        <v>620</v>
      </c>
      <c r="B20" s="28" t="s">
        <v>27</v>
      </c>
      <c r="C20" t="s">
        <v>404</v>
      </c>
    </row>
    <row r="21" spans="1:3">
      <c r="A21" s="32">
        <v>621</v>
      </c>
      <c r="B21" s="28" t="s">
        <v>28</v>
      </c>
      <c r="C21" t="s">
        <v>405</v>
      </c>
    </row>
    <row r="22" spans="1:3">
      <c r="A22" s="32">
        <v>622</v>
      </c>
      <c r="B22" s="28" t="s">
        <v>29</v>
      </c>
      <c r="C22" t="s">
        <v>406</v>
      </c>
    </row>
    <row r="23" spans="1:3">
      <c r="A23" s="32">
        <v>623</v>
      </c>
      <c r="B23" s="28" t="s">
        <v>30</v>
      </c>
      <c r="C23" t="s">
        <v>407</v>
      </c>
    </row>
    <row r="24" spans="1:3">
      <c r="A24" s="32">
        <v>624</v>
      </c>
      <c r="B24" s="28" t="s">
        <v>31</v>
      </c>
      <c r="C24" t="s">
        <v>408</v>
      </c>
    </row>
    <row r="25" spans="1:3">
      <c r="A25" s="32">
        <v>625</v>
      </c>
      <c r="B25" s="28" t="s">
        <v>32</v>
      </c>
      <c r="C25" t="s">
        <v>409</v>
      </c>
    </row>
    <row r="26" spans="1:3">
      <c r="A26" s="32">
        <v>626</v>
      </c>
      <c r="B26" s="28" t="s">
        <v>33</v>
      </c>
      <c r="C26" t="s">
        <v>410</v>
      </c>
    </row>
    <row r="27" spans="1:3">
      <c r="A27" s="32">
        <v>627</v>
      </c>
      <c r="B27" s="28" t="s">
        <v>34</v>
      </c>
      <c r="C27" t="s">
        <v>411</v>
      </c>
    </row>
    <row r="28" spans="1:3">
      <c r="A28" s="32">
        <v>628</v>
      </c>
      <c r="B28" s="28" t="s">
        <v>35</v>
      </c>
      <c r="C28" t="s">
        <v>412</v>
      </c>
    </row>
    <row r="29" spans="1:3">
      <c r="A29" s="32">
        <v>629</v>
      </c>
      <c r="B29" s="28" t="s">
        <v>36</v>
      </c>
      <c r="C29" t="s">
        <v>413</v>
      </c>
    </row>
    <row r="30" spans="1:3">
      <c r="A30" s="32">
        <v>630</v>
      </c>
      <c r="B30" s="28" t="s">
        <v>37</v>
      </c>
      <c r="C30" t="s">
        <v>414</v>
      </c>
    </row>
    <row r="31" spans="1:3">
      <c r="A31" s="32">
        <v>631</v>
      </c>
      <c r="B31" s="28" t="s">
        <v>38</v>
      </c>
      <c r="C31" t="s">
        <v>415</v>
      </c>
    </row>
    <row r="32" spans="1:3">
      <c r="A32" s="32">
        <v>632</v>
      </c>
      <c r="B32" s="28" t="s">
        <v>39</v>
      </c>
      <c r="C32" t="s">
        <v>416</v>
      </c>
    </row>
    <row r="33" spans="1:3">
      <c r="A33" s="32">
        <v>633</v>
      </c>
      <c r="B33" s="28" t="s">
        <v>40</v>
      </c>
      <c r="C33" t="s">
        <v>417</v>
      </c>
    </row>
    <row r="34" spans="1:3">
      <c r="A34" s="32">
        <v>634</v>
      </c>
      <c r="B34" s="28" t="s">
        <v>41</v>
      </c>
      <c r="C34" t="s">
        <v>418</v>
      </c>
    </row>
    <row r="35" spans="1:3">
      <c r="A35" s="32">
        <v>635</v>
      </c>
      <c r="B35" s="28" t="s">
        <v>42</v>
      </c>
      <c r="C35" t="s">
        <v>419</v>
      </c>
    </row>
    <row r="36" spans="1:3">
      <c r="A36" s="32">
        <v>636</v>
      </c>
      <c r="B36" s="28" t="s">
        <v>43</v>
      </c>
      <c r="C36" t="s">
        <v>420</v>
      </c>
    </row>
    <row r="37" spans="1:3">
      <c r="A37" s="32">
        <v>638</v>
      </c>
      <c r="B37" s="28" t="s">
        <v>44</v>
      </c>
      <c r="C37" t="s">
        <v>421</v>
      </c>
    </row>
    <row r="38" spans="1:3">
      <c r="A38" s="32">
        <v>639</v>
      </c>
      <c r="B38" s="28" t="s">
        <v>45</v>
      </c>
      <c r="C38" t="s">
        <v>422</v>
      </c>
    </row>
    <row r="39" spans="1:3">
      <c r="A39" s="32">
        <v>641</v>
      </c>
      <c r="B39" s="28" t="s">
        <v>46</v>
      </c>
      <c r="C39" t="s">
        <v>423</v>
      </c>
    </row>
    <row r="40" spans="1:3">
      <c r="A40" s="32">
        <v>642</v>
      </c>
      <c r="B40" s="28" t="s">
        <v>47</v>
      </c>
      <c r="C40" t="s">
        <v>424</v>
      </c>
    </row>
    <row r="41" spans="1:3">
      <c r="A41" s="32">
        <v>645</v>
      </c>
      <c r="B41" s="28" t="s">
        <v>48</v>
      </c>
      <c r="C41" t="s">
        <v>425</v>
      </c>
    </row>
    <row r="42" spans="1:3">
      <c r="A42" s="32">
        <v>647</v>
      </c>
      <c r="B42" s="28" t="s">
        <v>49</v>
      </c>
      <c r="C42" t="s">
        <v>426</v>
      </c>
    </row>
    <row r="43" spans="1:3">
      <c r="A43" s="32">
        <v>648</v>
      </c>
      <c r="B43" s="28" t="s">
        <v>50</v>
      </c>
      <c r="C43" t="s">
        <v>427</v>
      </c>
    </row>
    <row r="44" spans="1:3">
      <c r="A44" s="32">
        <v>649</v>
      </c>
      <c r="B44" s="28" t="s">
        <v>51</v>
      </c>
      <c r="C44" t="s">
        <v>428</v>
      </c>
    </row>
    <row r="45" spans="1:3">
      <c r="A45" s="32">
        <v>650</v>
      </c>
      <c r="B45" s="28" t="s">
        <v>52</v>
      </c>
      <c r="C45" t="s">
        <v>429</v>
      </c>
    </row>
    <row r="46" spans="1:3">
      <c r="A46" s="32">
        <v>651</v>
      </c>
      <c r="B46" s="28" t="s">
        <v>53</v>
      </c>
      <c r="C46" t="s">
        <v>430</v>
      </c>
    </row>
    <row r="47" spans="1:3">
      <c r="A47" s="32">
        <v>652</v>
      </c>
      <c r="B47" s="28" t="s">
        <v>54</v>
      </c>
      <c r="C47" t="s">
        <v>431</v>
      </c>
    </row>
    <row r="48" spans="1:3">
      <c r="A48" s="32">
        <v>653</v>
      </c>
      <c r="B48" s="28" t="s">
        <v>55</v>
      </c>
      <c r="C48" t="s">
        <v>432</v>
      </c>
    </row>
    <row r="49" spans="1:3">
      <c r="A49" s="32">
        <v>654</v>
      </c>
      <c r="B49" s="28" t="s">
        <v>56</v>
      </c>
      <c r="C49" t="s">
        <v>433</v>
      </c>
    </row>
    <row r="50" spans="1:3">
      <c r="A50" s="32">
        <v>655</v>
      </c>
      <c r="B50" s="28" t="s">
        <v>57</v>
      </c>
      <c r="C50" t="s">
        <v>434</v>
      </c>
    </row>
    <row r="51" spans="1:3">
      <c r="A51" s="32">
        <v>656</v>
      </c>
      <c r="B51" s="28" t="s">
        <v>58</v>
      </c>
      <c r="C51" t="s">
        <v>435</v>
      </c>
    </row>
    <row r="52" spans="1:3">
      <c r="A52" s="32">
        <v>657</v>
      </c>
      <c r="B52" s="28" t="s">
        <v>59</v>
      </c>
      <c r="C52" t="s">
        <v>436</v>
      </c>
    </row>
    <row r="53" spans="1:3">
      <c r="A53" s="32">
        <v>658</v>
      </c>
      <c r="B53" s="28" t="s">
        <v>60</v>
      </c>
      <c r="C53" t="s">
        <v>437</v>
      </c>
    </row>
    <row r="54" spans="1:3">
      <c r="A54" s="32">
        <v>659</v>
      </c>
      <c r="B54" s="28" t="s">
        <v>61</v>
      </c>
      <c r="C54" t="s">
        <v>438</v>
      </c>
    </row>
    <row r="55" spans="1:3">
      <c r="A55" s="32">
        <v>660</v>
      </c>
      <c r="B55" s="28" t="s">
        <v>62</v>
      </c>
      <c r="C55" t="s">
        <v>439</v>
      </c>
    </row>
    <row r="56" spans="1:3">
      <c r="A56" s="32">
        <v>661</v>
      </c>
      <c r="B56" s="28" t="s">
        <v>63</v>
      </c>
      <c r="C56" t="s">
        <v>440</v>
      </c>
    </row>
    <row r="57" spans="1:3">
      <c r="A57" s="32">
        <v>662</v>
      </c>
      <c r="B57" s="28" t="s">
        <v>64</v>
      </c>
      <c r="C57" t="s">
        <v>441</v>
      </c>
    </row>
    <row r="58" spans="1:3">
      <c r="A58" s="32">
        <v>663</v>
      </c>
      <c r="B58" s="28" t="s">
        <v>65</v>
      </c>
      <c r="C58" t="s">
        <v>442</v>
      </c>
    </row>
    <row r="59" spans="1:3">
      <c r="A59" s="32">
        <v>664</v>
      </c>
      <c r="B59" s="28" t="s">
        <v>66</v>
      </c>
      <c r="C59" t="s">
        <v>443</v>
      </c>
    </row>
    <row r="60" spans="1:3">
      <c r="A60" s="32">
        <v>665</v>
      </c>
      <c r="B60" s="28" t="s">
        <v>67</v>
      </c>
      <c r="C60" t="s">
        <v>444</v>
      </c>
    </row>
    <row r="61" spans="1:3">
      <c r="A61" s="32">
        <v>666</v>
      </c>
      <c r="B61" s="28" t="s">
        <v>68</v>
      </c>
      <c r="C61" t="s">
        <v>445</v>
      </c>
    </row>
    <row r="62" spans="1:3">
      <c r="A62" s="32">
        <v>667</v>
      </c>
      <c r="B62" s="28" t="s">
        <v>69</v>
      </c>
      <c r="C62" t="s">
        <v>446</v>
      </c>
    </row>
    <row r="63" spans="1:3">
      <c r="A63" s="32">
        <v>668</v>
      </c>
      <c r="B63" s="28" t="s">
        <v>70</v>
      </c>
      <c r="C63" t="s">
        <v>447</v>
      </c>
    </row>
    <row r="64" spans="1:3">
      <c r="A64" s="32">
        <v>669</v>
      </c>
      <c r="B64" s="28" t="s">
        <v>71</v>
      </c>
      <c r="C64" t="s">
        <v>448</v>
      </c>
    </row>
    <row r="65" spans="1:3">
      <c r="A65" s="32">
        <v>670</v>
      </c>
      <c r="B65" s="28" t="s">
        <v>72</v>
      </c>
      <c r="C65" t="s">
        <v>449</v>
      </c>
    </row>
    <row r="66" spans="1:3">
      <c r="A66" s="32">
        <v>671</v>
      </c>
      <c r="B66" s="28" t="s">
        <v>73</v>
      </c>
      <c r="C66" t="s">
        <v>450</v>
      </c>
    </row>
    <row r="67" spans="1:3">
      <c r="A67" s="32">
        <v>672</v>
      </c>
      <c r="B67" s="28" t="s">
        <v>74</v>
      </c>
      <c r="C67" t="s">
        <v>451</v>
      </c>
    </row>
    <row r="68" spans="1:3">
      <c r="A68" s="32">
        <v>673</v>
      </c>
      <c r="B68" s="28" t="s">
        <v>75</v>
      </c>
      <c r="C68" t="s">
        <v>452</v>
      </c>
    </row>
    <row r="69" spans="1:3">
      <c r="A69" s="32">
        <v>674</v>
      </c>
      <c r="B69" s="28" t="s">
        <v>76</v>
      </c>
      <c r="C69" t="s">
        <v>453</v>
      </c>
    </row>
    <row r="70" spans="1:3">
      <c r="A70" s="32">
        <v>675</v>
      </c>
      <c r="B70" s="28" t="s">
        <v>77</v>
      </c>
      <c r="C70" t="s">
        <v>454</v>
      </c>
    </row>
    <row r="71" spans="1:3">
      <c r="A71" s="32">
        <v>676</v>
      </c>
      <c r="B71" s="28" t="s">
        <v>78</v>
      </c>
      <c r="C71" t="s">
        <v>455</v>
      </c>
    </row>
    <row r="72" spans="1:3">
      <c r="A72" s="32">
        <v>678</v>
      </c>
      <c r="B72" s="28" t="s">
        <v>79</v>
      </c>
      <c r="C72" t="s">
        <v>456</v>
      </c>
    </row>
    <row r="73" spans="1:3">
      <c r="A73" s="32">
        <v>679</v>
      </c>
      <c r="B73" s="28" t="s">
        <v>80</v>
      </c>
      <c r="C73" t="s">
        <v>457</v>
      </c>
    </row>
    <row r="74" spans="1:3">
      <c r="A74" s="32">
        <v>680</v>
      </c>
      <c r="B74" s="28" t="s">
        <v>81</v>
      </c>
      <c r="C74" t="s">
        <v>458</v>
      </c>
    </row>
    <row r="75" spans="1:3">
      <c r="A75" s="32">
        <v>681</v>
      </c>
      <c r="B75" s="28" t="s">
        <v>82</v>
      </c>
      <c r="C75" t="s">
        <v>459</v>
      </c>
    </row>
    <row r="76" spans="1:3">
      <c r="A76" s="32">
        <v>682</v>
      </c>
      <c r="B76" s="28" t="s">
        <v>83</v>
      </c>
      <c r="C76" t="s">
        <v>460</v>
      </c>
    </row>
    <row r="77" spans="1:3">
      <c r="A77" s="32">
        <v>683</v>
      </c>
      <c r="B77" s="28" t="s">
        <v>84</v>
      </c>
      <c r="C77" t="s">
        <v>461</v>
      </c>
    </row>
    <row r="78" spans="1:3">
      <c r="A78" s="32">
        <v>684</v>
      </c>
      <c r="B78" s="28" t="s">
        <v>85</v>
      </c>
      <c r="C78" t="s">
        <v>462</v>
      </c>
    </row>
    <row r="79" spans="1:3">
      <c r="A79" s="32">
        <v>685</v>
      </c>
      <c r="B79" s="28" t="s">
        <v>86</v>
      </c>
      <c r="C79" t="s">
        <v>463</v>
      </c>
    </row>
    <row r="80" spans="1:3">
      <c r="A80" s="32">
        <v>686</v>
      </c>
      <c r="B80" s="28" t="s">
        <v>87</v>
      </c>
      <c r="C80" t="s">
        <v>464</v>
      </c>
    </row>
    <row r="81" spans="1:3">
      <c r="A81" s="32">
        <v>687</v>
      </c>
      <c r="B81" s="28" t="s">
        <v>88</v>
      </c>
      <c r="C81" t="s">
        <v>465</v>
      </c>
    </row>
    <row r="82" spans="1:3">
      <c r="A82" s="32">
        <v>688</v>
      </c>
      <c r="B82" s="28" t="s">
        <v>89</v>
      </c>
      <c r="C82" t="s">
        <v>466</v>
      </c>
    </row>
    <row r="83" spans="1:3">
      <c r="A83" s="32">
        <v>689</v>
      </c>
      <c r="B83" s="28" t="s">
        <v>90</v>
      </c>
      <c r="C83" t="s">
        <v>467</v>
      </c>
    </row>
    <row r="84" spans="1:3">
      <c r="A84" s="32">
        <v>690</v>
      </c>
      <c r="B84" s="28" t="s">
        <v>91</v>
      </c>
      <c r="C84" t="s">
        <v>468</v>
      </c>
    </row>
    <row r="85" spans="1:3">
      <c r="A85" s="32">
        <v>691</v>
      </c>
      <c r="B85" s="28" t="s">
        <v>92</v>
      </c>
      <c r="C85" t="s">
        <v>469</v>
      </c>
    </row>
    <row r="86" spans="1:3">
      <c r="A86" s="32">
        <v>692</v>
      </c>
      <c r="B86" s="28" t="s">
        <v>93</v>
      </c>
      <c r="C86" t="s">
        <v>470</v>
      </c>
    </row>
    <row r="87" spans="1:3">
      <c r="A87" s="32">
        <v>693</v>
      </c>
      <c r="B87" s="28" t="s">
        <v>94</v>
      </c>
      <c r="C87" t="s">
        <v>471</v>
      </c>
    </row>
    <row r="88" spans="1:3">
      <c r="A88" s="32">
        <v>694</v>
      </c>
      <c r="B88" s="28" t="s">
        <v>95</v>
      </c>
      <c r="C88" t="s">
        <v>472</v>
      </c>
    </row>
    <row r="89" spans="1:3">
      <c r="A89" s="32">
        <v>695</v>
      </c>
      <c r="B89" s="28" t="s">
        <v>96</v>
      </c>
      <c r="C89" t="s">
        <v>473</v>
      </c>
    </row>
    <row r="90" spans="1:3">
      <c r="A90" s="32">
        <v>696</v>
      </c>
      <c r="B90" s="28" t="s">
        <v>97</v>
      </c>
      <c r="C90" t="s">
        <v>474</v>
      </c>
    </row>
    <row r="91" spans="1:3">
      <c r="A91" s="32">
        <v>697</v>
      </c>
      <c r="B91" s="28" t="s">
        <v>98</v>
      </c>
      <c r="C91" t="s">
        <v>475</v>
      </c>
    </row>
    <row r="92" spans="1:3">
      <c r="A92" s="32">
        <v>698</v>
      </c>
      <c r="B92" s="28" t="s">
        <v>99</v>
      </c>
      <c r="C92" t="s">
        <v>476</v>
      </c>
    </row>
    <row r="93" spans="1:3">
      <c r="A93" s="32">
        <v>699</v>
      </c>
      <c r="B93" s="28" t="s">
        <v>100</v>
      </c>
      <c r="C93" t="s">
        <v>477</v>
      </c>
    </row>
    <row r="94" spans="1:3">
      <c r="A94" s="32">
        <v>700</v>
      </c>
      <c r="B94" s="28" t="s">
        <v>101</v>
      </c>
      <c r="C94" t="s">
        <v>478</v>
      </c>
    </row>
    <row r="95" spans="1:3">
      <c r="A95" s="32">
        <v>701</v>
      </c>
      <c r="B95" s="28" t="s">
        <v>102</v>
      </c>
      <c r="C95" t="s">
        <v>479</v>
      </c>
    </row>
    <row r="96" spans="1:3">
      <c r="A96" s="32">
        <v>702</v>
      </c>
      <c r="B96" s="28" t="s">
        <v>103</v>
      </c>
      <c r="C96" t="s">
        <v>480</v>
      </c>
    </row>
    <row r="97" spans="1:3">
      <c r="A97" s="32">
        <v>703</v>
      </c>
      <c r="B97" s="28" t="s">
        <v>104</v>
      </c>
      <c r="C97" t="s">
        <v>481</v>
      </c>
    </row>
    <row r="98" spans="1:3">
      <c r="A98" s="32">
        <v>705</v>
      </c>
      <c r="B98" s="28" t="s">
        <v>105</v>
      </c>
      <c r="C98" t="s">
        <v>482</v>
      </c>
    </row>
    <row r="99" spans="1:3">
      <c r="A99" s="32">
        <v>706</v>
      </c>
      <c r="B99" s="28" t="s">
        <v>106</v>
      </c>
      <c r="C99" t="s">
        <v>483</v>
      </c>
    </row>
    <row r="100" spans="1:3">
      <c r="A100" s="32">
        <v>707</v>
      </c>
      <c r="B100" s="28" t="s">
        <v>107</v>
      </c>
      <c r="C100" t="s">
        <v>484</v>
      </c>
    </row>
    <row r="101" spans="1:3">
      <c r="A101" s="32">
        <v>708</v>
      </c>
      <c r="B101" s="28" t="s">
        <v>108</v>
      </c>
      <c r="C101" t="s">
        <v>485</v>
      </c>
    </row>
  </sheetData>
  <phoneticPr fontId="3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T104"/>
  <sheetViews>
    <sheetView zoomScale="89" zoomScaleNormal="89" workbookViewId="0">
      <pane xSplit="2" ySplit="1" topLeftCell="C89" activePane="bottomRight" state="frozen"/>
      <selection pane="topRight" activeCell="C1" sqref="C1"/>
      <selection pane="bottomLeft" activeCell="A2" sqref="A2"/>
      <selection pane="bottomRight" activeCell="C100" sqref="C100:N100"/>
    </sheetView>
  </sheetViews>
  <sheetFormatPr defaultColWidth="8.88671875" defaultRowHeight="16.2"/>
  <cols>
    <col min="1" max="1" width="9" style="182" bestFit="1" customWidth="1"/>
    <col min="2" max="2" width="13.109375" style="182" customWidth="1"/>
    <col min="3" max="14" width="15.88671875" style="173" customWidth="1"/>
    <col min="15" max="15" width="19.44140625" style="184" customWidth="1"/>
    <col min="16" max="16" width="13.109375" style="178" customWidth="1"/>
    <col min="17" max="17" width="17.88671875" style="186" customWidth="1"/>
    <col min="18" max="254" width="8.88671875" style="173"/>
    <col min="255" max="255" width="9" style="173" bestFit="1" customWidth="1"/>
    <col min="256" max="256" width="13.109375" style="173" customWidth="1"/>
    <col min="257" max="268" width="15.88671875" style="173" customWidth="1"/>
    <col min="269" max="269" width="19.44140625" style="173" customWidth="1"/>
    <col min="270" max="270" width="18.109375" style="173" bestFit="1" customWidth="1"/>
    <col min="271" max="271" width="19.109375" style="173" bestFit="1" customWidth="1"/>
    <col min="272" max="272" width="13.109375" style="173" customWidth="1"/>
    <col min="273" max="273" width="17.88671875" style="173" customWidth="1"/>
    <col min="274" max="510" width="8.88671875" style="173"/>
    <col min="511" max="511" width="9" style="173" bestFit="1" customWidth="1"/>
    <col min="512" max="512" width="13.109375" style="173" customWidth="1"/>
    <col min="513" max="524" width="15.88671875" style="173" customWidth="1"/>
    <col min="525" max="525" width="19.44140625" style="173" customWidth="1"/>
    <col min="526" max="526" width="18.109375" style="173" bestFit="1" customWidth="1"/>
    <col min="527" max="527" width="19.109375" style="173" bestFit="1" customWidth="1"/>
    <col min="528" max="528" width="13.109375" style="173" customWidth="1"/>
    <col min="529" max="529" width="17.88671875" style="173" customWidth="1"/>
    <col min="530" max="766" width="8.88671875" style="173"/>
    <col min="767" max="767" width="9" style="173" bestFit="1" customWidth="1"/>
    <col min="768" max="768" width="13.109375" style="173" customWidth="1"/>
    <col min="769" max="780" width="15.88671875" style="173" customWidth="1"/>
    <col min="781" max="781" width="19.44140625" style="173" customWidth="1"/>
    <col min="782" max="782" width="18.109375" style="173" bestFit="1" customWidth="1"/>
    <col min="783" max="783" width="19.109375" style="173" bestFit="1" customWidth="1"/>
    <col min="784" max="784" width="13.109375" style="173" customWidth="1"/>
    <col min="785" max="785" width="17.88671875" style="173" customWidth="1"/>
    <col min="786" max="1022" width="8.88671875" style="173"/>
    <col min="1023" max="1023" width="9" style="173" bestFit="1" customWidth="1"/>
    <col min="1024" max="1024" width="13.109375" style="173" customWidth="1"/>
    <col min="1025" max="1036" width="15.88671875" style="173" customWidth="1"/>
    <col min="1037" max="1037" width="19.44140625" style="173" customWidth="1"/>
    <col min="1038" max="1038" width="18.109375" style="173" bestFit="1" customWidth="1"/>
    <col min="1039" max="1039" width="19.109375" style="173" bestFit="1" customWidth="1"/>
    <col min="1040" max="1040" width="13.109375" style="173" customWidth="1"/>
    <col min="1041" max="1041" width="17.88671875" style="173" customWidth="1"/>
    <col min="1042" max="1278" width="8.88671875" style="173"/>
    <col min="1279" max="1279" width="9" style="173" bestFit="1" customWidth="1"/>
    <col min="1280" max="1280" width="13.109375" style="173" customWidth="1"/>
    <col min="1281" max="1292" width="15.88671875" style="173" customWidth="1"/>
    <col min="1293" max="1293" width="19.44140625" style="173" customWidth="1"/>
    <col min="1294" max="1294" width="18.109375" style="173" bestFit="1" customWidth="1"/>
    <col min="1295" max="1295" width="19.109375" style="173" bestFit="1" customWidth="1"/>
    <col min="1296" max="1296" width="13.109375" style="173" customWidth="1"/>
    <col min="1297" max="1297" width="17.88671875" style="173" customWidth="1"/>
    <col min="1298" max="1534" width="8.88671875" style="173"/>
    <col min="1535" max="1535" width="9" style="173" bestFit="1" customWidth="1"/>
    <col min="1536" max="1536" width="13.109375" style="173" customWidth="1"/>
    <col min="1537" max="1548" width="15.88671875" style="173" customWidth="1"/>
    <col min="1549" max="1549" width="19.44140625" style="173" customWidth="1"/>
    <col min="1550" max="1550" width="18.109375" style="173" bestFit="1" customWidth="1"/>
    <col min="1551" max="1551" width="19.109375" style="173" bestFit="1" customWidth="1"/>
    <col min="1552" max="1552" width="13.109375" style="173" customWidth="1"/>
    <col min="1553" max="1553" width="17.88671875" style="173" customWidth="1"/>
    <col min="1554" max="1790" width="8.88671875" style="173"/>
    <col min="1791" max="1791" width="9" style="173" bestFit="1" customWidth="1"/>
    <col min="1792" max="1792" width="13.109375" style="173" customWidth="1"/>
    <col min="1793" max="1804" width="15.88671875" style="173" customWidth="1"/>
    <col min="1805" max="1805" width="19.44140625" style="173" customWidth="1"/>
    <col min="1806" max="1806" width="18.109375" style="173" bestFit="1" customWidth="1"/>
    <col min="1807" max="1807" width="19.109375" style="173" bestFit="1" customWidth="1"/>
    <col min="1808" max="1808" width="13.109375" style="173" customWidth="1"/>
    <col min="1809" max="1809" width="17.88671875" style="173" customWidth="1"/>
    <col min="1810" max="2046" width="8.88671875" style="173"/>
    <col min="2047" max="2047" width="9" style="173" bestFit="1" customWidth="1"/>
    <col min="2048" max="2048" width="13.109375" style="173" customWidth="1"/>
    <col min="2049" max="2060" width="15.88671875" style="173" customWidth="1"/>
    <col min="2061" max="2061" width="19.44140625" style="173" customWidth="1"/>
    <col min="2062" max="2062" width="18.109375" style="173" bestFit="1" customWidth="1"/>
    <col min="2063" max="2063" width="19.109375" style="173" bestFit="1" customWidth="1"/>
    <col min="2064" max="2064" width="13.109375" style="173" customWidth="1"/>
    <col min="2065" max="2065" width="17.88671875" style="173" customWidth="1"/>
    <col min="2066" max="2302" width="8.88671875" style="173"/>
    <col min="2303" max="2303" width="9" style="173" bestFit="1" customWidth="1"/>
    <col min="2304" max="2304" width="13.109375" style="173" customWidth="1"/>
    <col min="2305" max="2316" width="15.88671875" style="173" customWidth="1"/>
    <col min="2317" max="2317" width="19.44140625" style="173" customWidth="1"/>
    <col min="2318" max="2318" width="18.109375" style="173" bestFit="1" customWidth="1"/>
    <col min="2319" max="2319" width="19.109375" style="173" bestFit="1" customWidth="1"/>
    <col min="2320" max="2320" width="13.109375" style="173" customWidth="1"/>
    <col min="2321" max="2321" width="17.88671875" style="173" customWidth="1"/>
    <col min="2322" max="2558" width="8.88671875" style="173"/>
    <col min="2559" max="2559" width="9" style="173" bestFit="1" customWidth="1"/>
    <col min="2560" max="2560" width="13.109375" style="173" customWidth="1"/>
    <col min="2561" max="2572" width="15.88671875" style="173" customWidth="1"/>
    <col min="2573" max="2573" width="19.44140625" style="173" customWidth="1"/>
    <col min="2574" max="2574" width="18.109375" style="173" bestFit="1" customWidth="1"/>
    <col min="2575" max="2575" width="19.109375" style="173" bestFit="1" customWidth="1"/>
    <col min="2576" max="2576" width="13.109375" style="173" customWidth="1"/>
    <col min="2577" max="2577" width="17.88671875" style="173" customWidth="1"/>
    <col min="2578" max="2814" width="8.88671875" style="173"/>
    <col min="2815" max="2815" width="9" style="173" bestFit="1" customWidth="1"/>
    <col min="2816" max="2816" width="13.109375" style="173" customWidth="1"/>
    <col min="2817" max="2828" width="15.88671875" style="173" customWidth="1"/>
    <col min="2829" max="2829" width="19.44140625" style="173" customWidth="1"/>
    <col min="2830" max="2830" width="18.109375" style="173" bestFit="1" customWidth="1"/>
    <col min="2831" max="2831" width="19.109375" style="173" bestFit="1" customWidth="1"/>
    <col min="2832" max="2832" width="13.109375" style="173" customWidth="1"/>
    <col min="2833" max="2833" width="17.88671875" style="173" customWidth="1"/>
    <col min="2834" max="3070" width="8.88671875" style="173"/>
    <col min="3071" max="3071" width="9" style="173" bestFit="1" customWidth="1"/>
    <col min="3072" max="3072" width="13.109375" style="173" customWidth="1"/>
    <col min="3073" max="3084" width="15.88671875" style="173" customWidth="1"/>
    <col min="3085" max="3085" width="19.44140625" style="173" customWidth="1"/>
    <col min="3086" max="3086" width="18.109375" style="173" bestFit="1" customWidth="1"/>
    <col min="3087" max="3087" width="19.109375" style="173" bestFit="1" customWidth="1"/>
    <col min="3088" max="3088" width="13.109375" style="173" customWidth="1"/>
    <col min="3089" max="3089" width="17.88671875" style="173" customWidth="1"/>
    <col min="3090" max="3326" width="8.88671875" style="173"/>
    <col min="3327" max="3327" width="9" style="173" bestFit="1" customWidth="1"/>
    <col min="3328" max="3328" width="13.109375" style="173" customWidth="1"/>
    <col min="3329" max="3340" width="15.88671875" style="173" customWidth="1"/>
    <col min="3341" max="3341" width="19.44140625" style="173" customWidth="1"/>
    <col min="3342" max="3342" width="18.109375" style="173" bestFit="1" customWidth="1"/>
    <col min="3343" max="3343" width="19.109375" style="173" bestFit="1" customWidth="1"/>
    <col min="3344" max="3344" width="13.109375" style="173" customWidth="1"/>
    <col min="3345" max="3345" width="17.88671875" style="173" customWidth="1"/>
    <col min="3346" max="3582" width="8.88671875" style="173"/>
    <col min="3583" max="3583" width="9" style="173" bestFit="1" customWidth="1"/>
    <col min="3584" max="3584" width="13.109375" style="173" customWidth="1"/>
    <col min="3585" max="3596" width="15.88671875" style="173" customWidth="1"/>
    <col min="3597" max="3597" width="19.44140625" style="173" customWidth="1"/>
    <col min="3598" max="3598" width="18.109375" style="173" bestFit="1" customWidth="1"/>
    <col min="3599" max="3599" width="19.109375" style="173" bestFit="1" customWidth="1"/>
    <col min="3600" max="3600" width="13.109375" style="173" customWidth="1"/>
    <col min="3601" max="3601" width="17.88671875" style="173" customWidth="1"/>
    <col min="3602" max="3838" width="8.88671875" style="173"/>
    <col min="3839" max="3839" width="9" style="173" bestFit="1" customWidth="1"/>
    <col min="3840" max="3840" width="13.109375" style="173" customWidth="1"/>
    <col min="3841" max="3852" width="15.88671875" style="173" customWidth="1"/>
    <col min="3853" max="3853" width="19.44140625" style="173" customWidth="1"/>
    <col min="3854" max="3854" width="18.109375" style="173" bestFit="1" customWidth="1"/>
    <col min="3855" max="3855" width="19.109375" style="173" bestFit="1" customWidth="1"/>
    <col min="3856" max="3856" width="13.109375" style="173" customWidth="1"/>
    <col min="3857" max="3857" width="17.88671875" style="173" customWidth="1"/>
    <col min="3858" max="4094" width="8.88671875" style="173"/>
    <col min="4095" max="4095" width="9" style="173" bestFit="1" customWidth="1"/>
    <col min="4096" max="4096" width="13.109375" style="173" customWidth="1"/>
    <col min="4097" max="4108" width="15.88671875" style="173" customWidth="1"/>
    <col min="4109" max="4109" width="19.44140625" style="173" customWidth="1"/>
    <col min="4110" max="4110" width="18.109375" style="173" bestFit="1" customWidth="1"/>
    <col min="4111" max="4111" width="19.109375" style="173" bestFit="1" customWidth="1"/>
    <col min="4112" max="4112" width="13.109375" style="173" customWidth="1"/>
    <col min="4113" max="4113" width="17.88671875" style="173" customWidth="1"/>
    <col min="4114" max="4350" width="8.88671875" style="173"/>
    <col min="4351" max="4351" width="9" style="173" bestFit="1" customWidth="1"/>
    <col min="4352" max="4352" width="13.109375" style="173" customWidth="1"/>
    <col min="4353" max="4364" width="15.88671875" style="173" customWidth="1"/>
    <col min="4365" max="4365" width="19.44140625" style="173" customWidth="1"/>
    <col min="4366" max="4366" width="18.109375" style="173" bestFit="1" customWidth="1"/>
    <col min="4367" max="4367" width="19.109375" style="173" bestFit="1" customWidth="1"/>
    <col min="4368" max="4368" width="13.109375" style="173" customWidth="1"/>
    <col min="4369" max="4369" width="17.88671875" style="173" customWidth="1"/>
    <col min="4370" max="4606" width="8.88671875" style="173"/>
    <col min="4607" max="4607" width="9" style="173" bestFit="1" customWidth="1"/>
    <col min="4608" max="4608" width="13.109375" style="173" customWidth="1"/>
    <col min="4609" max="4620" width="15.88671875" style="173" customWidth="1"/>
    <col min="4621" max="4621" width="19.44140625" style="173" customWidth="1"/>
    <col min="4622" max="4622" width="18.109375" style="173" bestFit="1" customWidth="1"/>
    <col min="4623" max="4623" width="19.109375" style="173" bestFit="1" customWidth="1"/>
    <col min="4624" max="4624" width="13.109375" style="173" customWidth="1"/>
    <col min="4625" max="4625" width="17.88671875" style="173" customWidth="1"/>
    <col min="4626" max="4862" width="8.88671875" style="173"/>
    <col min="4863" max="4863" width="9" style="173" bestFit="1" customWidth="1"/>
    <col min="4864" max="4864" width="13.109375" style="173" customWidth="1"/>
    <col min="4865" max="4876" width="15.88671875" style="173" customWidth="1"/>
    <col min="4877" max="4877" width="19.44140625" style="173" customWidth="1"/>
    <col min="4878" max="4878" width="18.109375" style="173" bestFit="1" customWidth="1"/>
    <col min="4879" max="4879" width="19.109375" style="173" bestFit="1" customWidth="1"/>
    <col min="4880" max="4880" width="13.109375" style="173" customWidth="1"/>
    <col min="4881" max="4881" width="17.88671875" style="173" customWidth="1"/>
    <col min="4882" max="5118" width="8.88671875" style="173"/>
    <col min="5119" max="5119" width="9" style="173" bestFit="1" customWidth="1"/>
    <col min="5120" max="5120" width="13.109375" style="173" customWidth="1"/>
    <col min="5121" max="5132" width="15.88671875" style="173" customWidth="1"/>
    <col min="5133" max="5133" width="19.44140625" style="173" customWidth="1"/>
    <col min="5134" max="5134" width="18.109375" style="173" bestFit="1" customWidth="1"/>
    <col min="5135" max="5135" width="19.109375" style="173" bestFit="1" customWidth="1"/>
    <col min="5136" max="5136" width="13.109375" style="173" customWidth="1"/>
    <col min="5137" max="5137" width="17.88671875" style="173" customWidth="1"/>
    <col min="5138" max="5374" width="8.88671875" style="173"/>
    <col min="5375" max="5375" width="9" style="173" bestFit="1" customWidth="1"/>
    <col min="5376" max="5376" width="13.109375" style="173" customWidth="1"/>
    <col min="5377" max="5388" width="15.88671875" style="173" customWidth="1"/>
    <col min="5389" max="5389" width="19.44140625" style="173" customWidth="1"/>
    <col min="5390" max="5390" width="18.109375" style="173" bestFit="1" customWidth="1"/>
    <col min="5391" max="5391" width="19.109375" style="173" bestFit="1" customWidth="1"/>
    <col min="5392" max="5392" width="13.109375" style="173" customWidth="1"/>
    <col min="5393" max="5393" width="17.88671875" style="173" customWidth="1"/>
    <col min="5394" max="5630" width="8.88671875" style="173"/>
    <col min="5631" max="5631" width="9" style="173" bestFit="1" customWidth="1"/>
    <col min="5632" max="5632" width="13.109375" style="173" customWidth="1"/>
    <col min="5633" max="5644" width="15.88671875" style="173" customWidth="1"/>
    <col min="5645" max="5645" width="19.44140625" style="173" customWidth="1"/>
    <col min="5646" max="5646" width="18.109375" style="173" bestFit="1" customWidth="1"/>
    <col min="5647" max="5647" width="19.109375" style="173" bestFit="1" customWidth="1"/>
    <col min="5648" max="5648" width="13.109375" style="173" customWidth="1"/>
    <col min="5649" max="5649" width="17.88671875" style="173" customWidth="1"/>
    <col min="5650" max="5886" width="8.88671875" style="173"/>
    <col min="5887" max="5887" width="9" style="173" bestFit="1" customWidth="1"/>
    <col min="5888" max="5888" width="13.109375" style="173" customWidth="1"/>
    <col min="5889" max="5900" width="15.88671875" style="173" customWidth="1"/>
    <col min="5901" max="5901" width="19.44140625" style="173" customWidth="1"/>
    <col min="5902" max="5902" width="18.109375" style="173" bestFit="1" customWidth="1"/>
    <col min="5903" max="5903" width="19.109375" style="173" bestFit="1" customWidth="1"/>
    <col min="5904" max="5904" width="13.109375" style="173" customWidth="1"/>
    <col min="5905" max="5905" width="17.88671875" style="173" customWidth="1"/>
    <col min="5906" max="6142" width="8.88671875" style="173"/>
    <col min="6143" max="6143" width="9" style="173" bestFit="1" customWidth="1"/>
    <col min="6144" max="6144" width="13.109375" style="173" customWidth="1"/>
    <col min="6145" max="6156" width="15.88671875" style="173" customWidth="1"/>
    <col min="6157" max="6157" width="19.44140625" style="173" customWidth="1"/>
    <col min="6158" max="6158" width="18.109375" style="173" bestFit="1" customWidth="1"/>
    <col min="6159" max="6159" width="19.109375" style="173" bestFit="1" customWidth="1"/>
    <col min="6160" max="6160" width="13.109375" style="173" customWidth="1"/>
    <col min="6161" max="6161" width="17.88671875" style="173" customWidth="1"/>
    <col min="6162" max="6398" width="8.88671875" style="173"/>
    <col min="6399" max="6399" width="9" style="173" bestFit="1" customWidth="1"/>
    <col min="6400" max="6400" width="13.109375" style="173" customWidth="1"/>
    <col min="6401" max="6412" width="15.88671875" style="173" customWidth="1"/>
    <col min="6413" max="6413" width="19.44140625" style="173" customWidth="1"/>
    <col min="6414" max="6414" width="18.109375" style="173" bestFit="1" customWidth="1"/>
    <col min="6415" max="6415" width="19.109375" style="173" bestFit="1" customWidth="1"/>
    <col min="6416" max="6416" width="13.109375" style="173" customWidth="1"/>
    <col min="6417" max="6417" width="17.88671875" style="173" customWidth="1"/>
    <col min="6418" max="6654" width="8.88671875" style="173"/>
    <col min="6655" max="6655" width="9" style="173" bestFit="1" customWidth="1"/>
    <col min="6656" max="6656" width="13.109375" style="173" customWidth="1"/>
    <col min="6657" max="6668" width="15.88671875" style="173" customWidth="1"/>
    <col min="6669" max="6669" width="19.44140625" style="173" customWidth="1"/>
    <col min="6670" max="6670" width="18.109375" style="173" bestFit="1" customWidth="1"/>
    <col min="6671" max="6671" width="19.109375" style="173" bestFit="1" customWidth="1"/>
    <col min="6672" max="6672" width="13.109375" style="173" customWidth="1"/>
    <col min="6673" max="6673" width="17.88671875" style="173" customWidth="1"/>
    <col min="6674" max="6910" width="8.88671875" style="173"/>
    <col min="6911" max="6911" width="9" style="173" bestFit="1" customWidth="1"/>
    <col min="6912" max="6912" width="13.109375" style="173" customWidth="1"/>
    <col min="6913" max="6924" width="15.88671875" style="173" customWidth="1"/>
    <col min="6925" max="6925" width="19.44140625" style="173" customWidth="1"/>
    <col min="6926" max="6926" width="18.109375" style="173" bestFit="1" customWidth="1"/>
    <col min="6927" max="6927" width="19.109375" style="173" bestFit="1" customWidth="1"/>
    <col min="6928" max="6928" width="13.109375" style="173" customWidth="1"/>
    <col min="6929" max="6929" width="17.88671875" style="173" customWidth="1"/>
    <col min="6930" max="7166" width="8.88671875" style="173"/>
    <col min="7167" max="7167" width="9" style="173" bestFit="1" customWidth="1"/>
    <col min="7168" max="7168" width="13.109375" style="173" customWidth="1"/>
    <col min="7169" max="7180" width="15.88671875" style="173" customWidth="1"/>
    <col min="7181" max="7181" width="19.44140625" style="173" customWidth="1"/>
    <col min="7182" max="7182" width="18.109375" style="173" bestFit="1" customWidth="1"/>
    <col min="7183" max="7183" width="19.109375" style="173" bestFit="1" customWidth="1"/>
    <col min="7184" max="7184" width="13.109375" style="173" customWidth="1"/>
    <col min="7185" max="7185" width="17.88671875" style="173" customWidth="1"/>
    <col min="7186" max="7422" width="8.88671875" style="173"/>
    <col min="7423" max="7423" width="9" style="173" bestFit="1" customWidth="1"/>
    <col min="7424" max="7424" width="13.109375" style="173" customWidth="1"/>
    <col min="7425" max="7436" width="15.88671875" style="173" customWidth="1"/>
    <col min="7437" max="7437" width="19.44140625" style="173" customWidth="1"/>
    <col min="7438" max="7438" width="18.109375" style="173" bestFit="1" customWidth="1"/>
    <col min="7439" max="7439" width="19.109375" style="173" bestFit="1" customWidth="1"/>
    <col min="7440" max="7440" width="13.109375" style="173" customWidth="1"/>
    <col min="7441" max="7441" width="17.88671875" style="173" customWidth="1"/>
    <col min="7442" max="7678" width="8.88671875" style="173"/>
    <col min="7679" max="7679" width="9" style="173" bestFit="1" customWidth="1"/>
    <col min="7680" max="7680" width="13.109375" style="173" customWidth="1"/>
    <col min="7681" max="7692" width="15.88671875" style="173" customWidth="1"/>
    <col min="7693" max="7693" width="19.44140625" style="173" customWidth="1"/>
    <col min="7694" max="7694" width="18.109375" style="173" bestFit="1" customWidth="1"/>
    <col min="7695" max="7695" width="19.109375" style="173" bestFit="1" customWidth="1"/>
    <col min="7696" max="7696" width="13.109375" style="173" customWidth="1"/>
    <col min="7697" max="7697" width="17.88671875" style="173" customWidth="1"/>
    <col min="7698" max="7934" width="8.88671875" style="173"/>
    <col min="7935" max="7935" width="9" style="173" bestFit="1" customWidth="1"/>
    <col min="7936" max="7936" width="13.109375" style="173" customWidth="1"/>
    <col min="7937" max="7948" width="15.88671875" style="173" customWidth="1"/>
    <col min="7949" max="7949" width="19.44140625" style="173" customWidth="1"/>
    <col min="7950" max="7950" width="18.109375" style="173" bestFit="1" customWidth="1"/>
    <col min="7951" max="7951" width="19.109375" style="173" bestFit="1" customWidth="1"/>
    <col min="7952" max="7952" width="13.109375" style="173" customWidth="1"/>
    <col min="7953" max="7953" width="17.88671875" style="173" customWidth="1"/>
    <col min="7954" max="8190" width="8.88671875" style="173"/>
    <col min="8191" max="8191" width="9" style="173" bestFit="1" customWidth="1"/>
    <col min="8192" max="8192" width="13.109375" style="173" customWidth="1"/>
    <col min="8193" max="8204" width="15.88671875" style="173" customWidth="1"/>
    <col min="8205" max="8205" width="19.44140625" style="173" customWidth="1"/>
    <col min="8206" max="8206" width="18.109375" style="173" bestFit="1" customWidth="1"/>
    <col min="8207" max="8207" width="19.109375" style="173" bestFit="1" customWidth="1"/>
    <col min="8208" max="8208" width="13.109375" style="173" customWidth="1"/>
    <col min="8209" max="8209" width="17.88671875" style="173" customWidth="1"/>
    <col min="8210" max="8446" width="8.88671875" style="173"/>
    <col min="8447" max="8447" width="9" style="173" bestFit="1" customWidth="1"/>
    <col min="8448" max="8448" width="13.109375" style="173" customWidth="1"/>
    <col min="8449" max="8460" width="15.88671875" style="173" customWidth="1"/>
    <col min="8461" max="8461" width="19.44140625" style="173" customWidth="1"/>
    <col min="8462" max="8462" width="18.109375" style="173" bestFit="1" customWidth="1"/>
    <col min="8463" max="8463" width="19.109375" style="173" bestFit="1" customWidth="1"/>
    <col min="8464" max="8464" width="13.109375" style="173" customWidth="1"/>
    <col min="8465" max="8465" width="17.88671875" style="173" customWidth="1"/>
    <col min="8466" max="8702" width="8.88671875" style="173"/>
    <col min="8703" max="8703" width="9" style="173" bestFit="1" customWidth="1"/>
    <col min="8704" max="8704" width="13.109375" style="173" customWidth="1"/>
    <col min="8705" max="8716" width="15.88671875" style="173" customWidth="1"/>
    <col min="8717" max="8717" width="19.44140625" style="173" customWidth="1"/>
    <col min="8718" max="8718" width="18.109375" style="173" bestFit="1" customWidth="1"/>
    <col min="8719" max="8719" width="19.109375" style="173" bestFit="1" customWidth="1"/>
    <col min="8720" max="8720" width="13.109375" style="173" customWidth="1"/>
    <col min="8721" max="8721" width="17.88671875" style="173" customWidth="1"/>
    <col min="8722" max="8958" width="8.88671875" style="173"/>
    <col min="8959" max="8959" width="9" style="173" bestFit="1" customWidth="1"/>
    <col min="8960" max="8960" width="13.109375" style="173" customWidth="1"/>
    <col min="8961" max="8972" width="15.88671875" style="173" customWidth="1"/>
    <col min="8973" max="8973" width="19.44140625" style="173" customWidth="1"/>
    <col min="8974" max="8974" width="18.109375" style="173" bestFit="1" customWidth="1"/>
    <col min="8975" max="8975" width="19.109375" style="173" bestFit="1" customWidth="1"/>
    <col min="8976" max="8976" width="13.109375" style="173" customWidth="1"/>
    <col min="8977" max="8977" width="17.88671875" style="173" customWidth="1"/>
    <col min="8978" max="9214" width="8.88671875" style="173"/>
    <col min="9215" max="9215" width="9" style="173" bestFit="1" customWidth="1"/>
    <col min="9216" max="9216" width="13.109375" style="173" customWidth="1"/>
    <col min="9217" max="9228" width="15.88671875" style="173" customWidth="1"/>
    <col min="9229" max="9229" width="19.44140625" style="173" customWidth="1"/>
    <col min="9230" max="9230" width="18.109375" style="173" bestFit="1" customWidth="1"/>
    <col min="9231" max="9231" width="19.109375" style="173" bestFit="1" customWidth="1"/>
    <col min="9232" max="9232" width="13.109375" style="173" customWidth="1"/>
    <col min="9233" max="9233" width="17.88671875" style="173" customWidth="1"/>
    <col min="9234" max="9470" width="8.88671875" style="173"/>
    <col min="9471" max="9471" width="9" style="173" bestFit="1" customWidth="1"/>
    <col min="9472" max="9472" width="13.109375" style="173" customWidth="1"/>
    <col min="9473" max="9484" width="15.88671875" style="173" customWidth="1"/>
    <col min="9485" max="9485" width="19.44140625" style="173" customWidth="1"/>
    <col min="9486" max="9486" width="18.109375" style="173" bestFit="1" customWidth="1"/>
    <col min="9487" max="9487" width="19.109375" style="173" bestFit="1" customWidth="1"/>
    <col min="9488" max="9488" width="13.109375" style="173" customWidth="1"/>
    <col min="9489" max="9489" width="17.88671875" style="173" customWidth="1"/>
    <col min="9490" max="9726" width="8.88671875" style="173"/>
    <col min="9727" max="9727" width="9" style="173" bestFit="1" customWidth="1"/>
    <col min="9728" max="9728" width="13.109375" style="173" customWidth="1"/>
    <col min="9729" max="9740" width="15.88671875" style="173" customWidth="1"/>
    <col min="9741" max="9741" width="19.44140625" style="173" customWidth="1"/>
    <col min="9742" max="9742" width="18.109375" style="173" bestFit="1" customWidth="1"/>
    <col min="9743" max="9743" width="19.109375" style="173" bestFit="1" customWidth="1"/>
    <col min="9744" max="9744" width="13.109375" style="173" customWidth="1"/>
    <col min="9745" max="9745" width="17.88671875" style="173" customWidth="1"/>
    <col min="9746" max="9982" width="8.88671875" style="173"/>
    <col min="9983" max="9983" width="9" style="173" bestFit="1" customWidth="1"/>
    <col min="9984" max="9984" width="13.109375" style="173" customWidth="1"/>
    <col min="9985" max="9996" width="15.88671875" style="173" customWidth="1"/>
    <col min="9997" max="9997" width="19.44140625" style="173" customWidth="1"/>
    <col min="9998" max="9998" width="18.109375" style="173" bestFit="1" customWidth="1"/>
    <col min="9999" max="9999" width="19.109375" style="173" bestFit="1" customWidth="1"/>
    <col min="10000" max="10000" width="13.109375" style="173" customWidth="1"/>
    <col min="10001" max="10001" width="17.88671875" style="173" customWidth="1"/>
    <col min="10002" max="10238" width="8.88671875" style="173"/>
    <col min="10239" max="10239" width="9" style="173" bestFit="1" customWidth="1"/>
    <col min="10240" max="10240" width="13.109375" style="173" customWidth="1"/>
    <col min="10241" max="10252" width="15.88671875" style="173" customWidth="1"/>
    <col min="10253" max="10253" width="19.44140625" style="173" customWidth="1"/>
    <col min="10254" max="10254" width="18.109375" style="173" bestFit="1" customWidth="1"/>
    <col min="10255" max="10255" width="19.109375" style="173" bestFit="1" customWidth="1"/>
    <col min="10256" max="10256" width="13.109375" style="173" customWidth="1"/>
    <col min="10257" max="10257" width="17.88671875" style="173" customWidth="1"/>
    <col min="10258" max="10494" width="8.88671875" style="173"/>
    <col min="10495" max="10495" width="9" style="173" bestFit="1" customWidth="1"/>
    <col min="10496" max="10496" width="13.109375" style="173" customWidth="1"/>
    <col min="10497" max="10508" width="15.88671875" style="173" customWidth="1"/>
    <col min="10509" max="10509" width="19.44140625" style="173" customWidth="1"/>
    <col min="10510" max="10510" width="18.109375" style="173" bestFit="1" customWidth="1"/>
    <col min="10511" max="10511" width="19.109375" style="173" bestFit="1" customWidth="1"/>
    <col min="10512" max="10512" width="13.109375" style="173" customWidth="1"/>
    <col min="10513" max="10513" width="17.88671875" style="173" customWidth="1"/>
    <col min="10514" max="10750" width="8.88671875" style="173"/>
    <col min="10751" max="10751" width="9" style="173" bestFit="1" customWidth="1"/>
    <col min="10752" max="10752" width="13.109375" style="173" customWidth="1"/>
    <col min="10753" max="10764" width="15.88671875" style="173" customWidth="1"/>
    <col min="10765" max="10765" width="19.44140625" style="173" customWidth="1"/>
    <col min="10766" max="10766" width="18.109375" style="173" bestFit="1" customWidth="1"/>
    <col min="10767" max="10767" width="19.109375" style="173" bestFit="1" customWidth="1"/>
    <col min="10768" max="10768" width="13.109375" style="173" customWidth="1"/>
    <col min="10769" max="10769" width="17.88671875" style="173" customWidth="1"/>
    <col min="10770" max="11006" width="8.88671875" style="173"/>
    <col min="11007" max="11007" width="9" style="173" bestFit="1" customWidth="1"/>
    <col min="11008" max="11008" width="13.109375" style="173" customWidth="1"/>
    <col min="11009" max="11020" width="15.88671875" style="173" customWidth="1"/>
    <col min="11021" max="11021" width="19.44140625" style="173" customWidth="1"/>
    <col min="11022" max="11022" width="18.109375" style="173" bestFit="1" customWidth="1"/>
    <col min="11023" max="11023" width="19.109375" style="173" bestFit="1" customWidth="1"/>
    <col min="11024" max="11024" width="13.109375" style="173" customWidth="1"/>
    <col min="11025" max="11025" width="17.88671875" style="173" customWidth="1"/>
    <col min="11026" max="11262" width="8.88671875" style="173"/>
    <col min="11263" max="11263" width="9" style="173" bestFit="1" customWidth="1"/>
    <col min="11264" max="11264" width="13.109375" style="173" customWidth="1"/>
    <col min="11265" max="11276" width="15.88671875" style="173" customWidth="1"/>
    <col min="11277" max="11277" width="19.44140625" style="173" customWidth="1"/>
    <col min="11278" max="11278" width="18.109375" style="173" bestFit="1" customWidth="1"/>
    <col min="11279" max="11279" width="19.109375" style="173" bestFit="1" customWidth="1"/>
    <col min="11280" max="11280" width="13.109375" style="173" customWidth="1"/>
    <col min="11281" max="11281" width="17.88671875" style="173" customWidth="1"/>
    <col min="11282" max="11518" width="8.88671875" style="173"/>
    <col min="11519" max="11519" width="9" style="173" bestFit="1" customWidth="1"/>
    <col min="11520" max="11520" width="13.109375" style="173" customWidth="1"/>
    <col min="11521" max="11532" width="15.88671875" style="173" customWidth="1"/>
    <col min="11533" max="11533" width="19.44140625" style="173" customWidth="1"/>
    <col min="11534" max="11534" width="18.109375" style="173" bestFit="1" customWidth="1"/>
    <col min="11535" max="11535" width="19.109375" style="173" bestFit="1" customWidth="1"/>
    <col min="11536" max="11536" width="13.109375" style="173" customWidth="1"/>
    <col min="11537" max="11537" width="17.88671875" style="173" customWidth="1"/>
    <col min="11538" max="11774" width="8.88671875" style="173"/>
    <col min="11775" max="11775" width="9" style="173" bestFit="1" customWidth="1"/>
    <col min="11776" max="11776" width="13.109375" style="173" customWidth="1"/>
    <col min="11777" max="11788" width="15.88671875" style="173" customWidth="1"/>
    <col min="11789" max="11789" width="19.44140625" style="173" customWidth="1"/>
    <col min="11790" max="11790" width="18.109375" style="173" bestFit="1" customWidth="1"/>
    <col min="11791" max="11791" width="19.109375" style="173" bestFit="1" customWidth="1"/>
    <col min="11792" max="11792" width="13.109375" style="173" customWidth="1"/>
    <col min="11793" max="11793" width="17.88671875" style="173" customWidth="1"/>
    <col min="11794" max="12030" width="8.88671875" style="173"/>
    <col min="12031" max="12031" width="9" style="173" bestFit="1" customWidth="1"/>
    <col min="12032" max="12032" width="13.109375" style="173" customWidth="1"/>
    <col min="12033" max="12044" width="15.88671875" style="173" customWidth="1"/>
    <col min="12045" max="12045" width="19.44140625" style="173" customWidth="1"/>
    <col min="12046" max="12046" width="18.109375" style="173" bestFit="1" customWidth="1"/>
    <col min="12047" max="12047" width="19.109375" style="173" bestFit="1" customWidth="1"/>
    <col min="12048" max="12048" width="13.109375" style="173" customWidth="1"/>
    <col min="12049" max="12049" width="17.88671875" style="173" customWidth="1"/>
    <col min="12050" max="12286" width="8.88671875" style="173"/>
    <col min="12287" max="12287" width="9" style="173" bestFit="1" customWidth="1"/>
    <col min="12288" max="12288" width="13.109375" style="173" customWidth="1"/>
    <col min="12289" max="12300" width="15.88671875" style="173" customWidth="1"/>
    <col min="12301" max="12301" width="19.44140625" style="173" customWidth="1"/>
    <col min="12302" max="12302" width="18.109375" style="173" bestFit="1" customWidth="1"/>
    <col min="12303" max="12303" width="19.109375" style="173" bestFit="1" customWidth="1"/>
    <col min="12304" max="12304" width="13.109375" style="173" customWidth="1"/>
    <col min="12305" max="12305" width="17.88671875" style="173" customWidth="1"/>
    <col min="12306" max="12542" width="8.88671875" style="173"/>
    <col min="12543" max="12543" width="9" style="173" bestFit="1" customWidth="1"/>
    <col min="12544" max="12544" width="13.109375" style="173" customWidth="1"/>
    <col min="12545" max="12556" width="15.88671875" style="173" customWidth="1"/>
    <col min="12557" max="12557" width="19.44140625" style="173" customWidth="1"/>
    <col min="12558" max="12558" width="18.109375" style="173" bestFit="1" customWidth="1"/>
    <col min="12559" max="12559" width="19.109375" style="173" bestFit="1" customWidth="1"/>
    <col min="12560" max="12560" width="13.109375" style="173" customWidth="1"/>
    <col min="12561" max="12561" width="17.88671875" style="173" customWidth="1"/>
    <col min="12562" max="12798" width="8.88671875" style="173"/>
    <col min="12799" max="12799" width="9" style="173" bestFit="1" customWidth="1"/>
    <col min="12800" max="12800" width="13.109375" style="173" customWidth="1"/>
    <col min="12801" max="12812" width="15.88671875" style="173" customWidth="1"/>
    <col min="12813" max="12813" width="19.44140625" style="173" customWidth="1"/>
    <col min="12814" max="12814" width="18.109375" style="173" bestFit="1" customWidth="1"/>
    <col min="12815" max="12815" width="19.109375" style="173" bestFit="1" customWidth="1"/>
    <col min="12816" max="12816" width="13.109375" style="173" customWidth="1"/>
    <col min="12817" max="12817" width="17.88671875" style="173" customWidth="1"/>
    <col min="12818" max="13054" width="8.88671875" style="173"/>
    <col min="13055" max="13055" width="9" style="173" bestFit="1" customWidth="1"/>
    <col min="13056" max="13056" width="13.109375" style="173" customWidth="1"/>
    <col min="13057" max="13068" width="15.88671875" style="173" customWidth="1"/>
    <col min="13069" max="13069" width="19.44140625" style="173" customWidth="1"/>
    <col min="13070" max="13070" width="18.109375" style="173" bestFit="1" customWidth="1"/>
    <col min="13071" max="13071" width="19.109375" style="173" bestFit="1" customWidth="1"/>
    <col min="13072" max="13072" width="13.109375" style="173" customWidth="1"/>
    <col min="13073" max="13073" width="17.88671875" style="173" customWidth="1"/>
    <col min="13074" max="13310" width="8.88671875" style="173"/>
    <col min="13311" max="13311" width="9" style="173" bestFit="1" customWidth="1"/>
    <col min="13312" max="13312" width="13.109375" style="173" customWidth="1"/>
    <col min="13313" max="13324" width="15.88671875" style="173" customWidth="1"/>
    <col min="13325" max="13325" width="19.44140625" style="173" customWidth="1"/>
    <col min="13326" max="13326" width="18.109375" style="173" bestFit="1" customWidth="1"/>
    <col min="13327" max="13327" width="19.109375" style="173" bestFit="1" customWidth="1"/>
    <col min="13328" max="13328" width="13.109375" style="173" customWidth="1"/>
    <col min="13329" max="13329" width="17.88671875" style="173" customWidth="1"/>
    <col min="13330" max="13566" width="8.88671875" style="173"/>
    <col min="13567" max="13567" width="9" style="173" bestFit="1" customWidth="1"/>
    <col min="13568" max="13568" width="13.109375" style="173" customWidth="1"/>
    <col min="13569" max="13580" width="15.88671875" style="173" customWidth="1"/>
    <col min="13581" max="13581" width="19.44140625" style="173" customWidth="1"/>
    <col min="13582" max="13582" width="18.109375" style="173" bestFit="1" customWidth="1"/>
    <col min="13583" max="13583" width="19.109375" style="173" bestFit="1" customWidth="1"/>
    <col min="13584" max="13584" width="13.109375" style="173" customWidth="1"/>
    <col min="13585" max="13585" width="17.88671875" style="173" customWidth="1"/>
    <col min="13586" max="13822" width="8.88671875" style="173"/>
    <col min="13823" max="13823" width="9" style="173" bestFit="1" customWidth="1"/>
    <col min="13824" max="13824" width="13.109375" style="173" customWidth="1"/>
    <col min="13825" max="13836" width="15.88671875" style="173" customWidth="1"/>
    <col min="13837" max="13837" width="19.44140625" style="173" customWidth="1"/>
    <col min="13838" max="13838" width="18.109375" style="173" bestFit="1" customWidth="1"/>
    <col min="13839" max="13839" width="19.109375" style="173" bestFit="1" customWidth="1"/>
    <col min="13840" max="13840" width="13.109375" style="173" customWidth="1"/>
    <col min="13841" max="13841" width="17.88671875" style="173" customWidth="1"/>
    <col min="13842" max="14078" width="8.88671875" style="173"/>
    <col min="14079" max="14079" width="9" style="173" bestFit="1" customWidth="1"/>
    <col min="14080" max="14080" width="13.109375" style="173" customWidth="1"/>
    <col min="14081" max="14092" width="15.88671875" style="173" customWidth="1"/>
    <col min="14093" max="14093" width="19.44140625" style="173" customWidth="1"/>
    <col min="14094" max="14094" width="18.109375" style="173" bestFit="1" customWidth="1"/>
    <col min="14095" max="14095" width="19.109375" style="173" bestFit="1" customWidth="1"/>
    <col min="14096" max="14096" width="13.109375" style="173" customWidth="1"/>
    <col min="14097" max="14097" width="17.88671875" style="173" customWidth="1"/>
    <col min="14098" max="14334" width="8.88671875" style="173"/>
    <col min="14335" max="14335" width="9" style="173" bestFit="1" customWidth="1"/>
    <col min="14336" max="14336" width="13.109375" style="173" customWidth="1"/>
    <col min="14337" max="14348" width="15.88671875" style="173" customWidth="1"/>
    <col min="14349" max="14349" width="19.44140625" style="173" customWidth="1"/>
    <col min="14350" max="14350" width="18.109375" style="173" bestFit="1" customWidth="1"/>
    <col min="14351" max="14351" width="19.109375" style="173" bestFit="1" customWidth="1"/>
    <col min="14352" max="14352" width="13.109375" style="173" customWidth="1"/>
    <col min="14353" max="14353" width="17.88671875" style="173" customWidth="1"/>
    <col min="14354" max="14590" width="8.88671875" style="173"/>
    <col min="14591" max="14591" width="9" style="173" bestFit="1" customWidth="1"/>
    <col min="14592" max="14592" width="13.109375" style="173" customWidth="1"/>
    <col min="14593" max="14604" width="15.88671875" style="173" customWidth="1"/>
    <col min="14605" max="14605" width="19.44140625" style="173" customWidth="1"/>
    <col min="14606" max="14606" width="18.109375" style="173" bestFit="1" customWidth="1"/>
    <col min="14607" max="14607" width="19.109375" style="173" bestFit="1" customWidth="1"/>
    <col min="14608" max="14608" width="13.109375" style="173" customWidth="1"/>
    <col min="14609" max="14609" width="17.88671875" style="173" customWidth="1"/>
    <col min="14610" max="14846" width="8.88671875" style="173"/>
    <col min="14847" max="14847" width="9" style="173" bestFit="1" customWidth="1"/>
    <col min="14848" max="14848" width="13.109375" style="173" customWidth="1"/>
    <col min="14849" max="14860" width="15.88671875" style="173" customWidth="1"/>
    <col min="14861" max="14861" width="19.44140625" style="173" customWidth="1"/>
    <col min="14862" max="14862" width="18.109375" style="173" bestFit="1" customWidth="1"/>
    <col min="14863" max="14863" width="19.109375" style="173" bestFit="1" customWidth="1"/>
    <col min="14864" max="14864" width="13.109375" style="173" customWidth="1"/>
    <col min="14865" max="14865" width="17.88671875" style="173" customWidth="1"/>
    <col min="14866" max="15102" width="8.88671875" style="173"/>
    <col min="15103" max="15103" width="9" style="173" bestFit="1" customWidth="1"/>
    <col min="15104" max="15104" width="13.109375" style="173" customWidth="1"/>
    <col min="15105" max="15116" width="15.88671875" style="173" customWidth="1"/>
    <col min="15117" max="15117" width="19.44140625" style="173" customWidth="1"/>
    <col min="15118" max="15118" width="18.109375" style="173" bestFit="1" customWidth="1"/>
    <col min="15119" max="15119" width="19.109375" style="173" bestFit="1" customWidth="1"/>
    <col min="15120" max="15120" width="13.109375" style="173" customWidth="1"/>
    <col min="15121" max="15121" width="17.88671875" style="173" customWidth="1"/>
    <col min="15122" max="15358" width="8.88671875" style="173"/>
    <col min="15359" max="15359" width="9" style="173" bestFit="1" customWidth="1"/>
    <col min="15360" max="15360" width="13.109375" style="173" customWidth="1"/>
    <col min="15361" max="15372" width="15.88671875" style="173" customWidth="1"/>
    <col min="15373" max="15373" width="19.44140625" style="173" customWidth="1"/>
    <col min="15374" max="15374" width="18.109375" style="173" bestFit="1" customWidth="1"/>
    <col min="15375" max="15375" width="19.109375" style="173" bestFit="1" customWidth="1"/>
    <col min="15376" max="15376" width="13.109375" style="173" customWidth="1"/>
    <col min="15377" max="15377" width="17.88671875" style="173" customWidth="1"/>
    <col min="15378" max="15614" width="8.88671875" style="173"/>
    <col min="15615" max="15615" width="9" style="173" bestFit="1" customWidth="1"/>
    <col min="15616" max="15616" width="13.109375" style="173" customWidth="1"/>
    <col min="15617" max="15628" width="15.88671875" style="173" customWidth="1"/>
    <col min="15629" max="15629" width="19.44140625" style="173" customWidth="1"/>
    <col min="15630" max="15630" width="18.109375" style="173" bestFit="1" customWidth="1"/>
    <col min="15631" max="15631" width="19.109375" style="173" bestFit="1" customWidth="1"/>
    <col min="15632" max="15632" width="13.109375" style="173" customWidth="1"/>
    <col min="15633" max="15633" width="17.88671875" style="173" customWidth="1"/>
    <col min="15634" max="15870" width="8.88671875" style="173"/>
    <col min="15871" max="15871" width="9" style="173" bestFit="1" customWidth="1"/>
    <col min="15872" max="15872" width="13.109375" style="173" customWidth="1"/>
    <col min="15873" max="15884" width="15.88671875" style="173" customWidth="1"/>
    <col min="15885" max="15885" width="19.44140625" style="173" customWidth="1"/>
    <col min="15886" max="15886" width="18.109375" style="173" bestFit="1" customWidth="1"/>
    <col min="15887" max="15887" width="19.109375" style="173" bestFit="1" customWidth="1"/>
    <col min="15888" max="15888" width="13.109375" style="173" customWidth="1"/>
    <col min="15889" max="15889" width="17.88671875" style="173" customWidth="1"/>
    <col min="15890" max="16126" width="8.88671875" style="173"/>
    <col min="16127" max="16127" width="9" style="173" bestFit="1" customWidth="1"/>
    <col min="16128" max="16128" width="13.109375" style="173" customWidth="1"/>
    <col min="16129" max="16140" width="15.88671875" style="173" customWidth="1"/>
    <col min="16141" max="16141" width="19.44140625" style="173" customWidth="1"/>
    <col min="16142" max="16142" width="18.109375" style="173" bestFit="1" customWidth="1"/>
    <col min="16143" max="16143" width="19.109375" style="173" bestFit="1" customWidth="1"/>
    <col min="16144" max="16144" width="13.109375" style="173" customWidth="1"/>
    <col min="16145" max="16145" width="17.88671875" style="173" customWidth="1"/>
    <col min="16146" max="16384" width="8.88671875" style="173"/>
  </cols>
  <sheetData>
    <row r="1" spans="1:254">
      <c r="A1" s="167" t="s">
        <v>555</v>
      </c>
      <c r="B1" s="168" t="s">
        <v>536</v>
      </c>
      <c r="C1" s="169" t="s">
        <v>556</v>
      </c>
      <c r="D1" s="169" t="s">
        <v>182</v>
      </c>
      <c r="E1" s="169" t="s">
        <v>183</v>
      </c>
      <c r="F1" s="169" t="s">
        <v>184</v>
      </c>
      <c r="G1" s="169" t="s">
        <v>185</v>
      </c>
      <c r="H1" s="169" t="s">
        <v>186</v>
      </c>
      <c r="I1" s="169" t="s">
        <v>187</v>
      </c>
      <c r="J1" s="169" t="s">
        <v>188</v>
      </c>
      <c r="K1" s="169" t="s">
        <v>189</v>
      </c>
      <c r="L1" s="169" t="s">
        <v>190</v>
      </c>
      <c r="M1" s="169" t="s">
        <v>191</v>
      </c>
      <c r="N1" s="169" t="s">
        <v>192</v>
      </c>
      <c r="O1" s="170" t="s">
        <v>220</v>
      </c>
      <c r="P1" s="171"/>
      <c r="Q1" s="185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I1" s="172"/>
      <c r="BJ1" s="172"/>
      <c r="BK1" s="172"/>
      <c r="BL1" s="172"/>
      <c r="BM1" s="172"/>
      <c r="BN1" s="172"/>
      <c r="BO1" s="172"/>
      <c r="BP1" s="172"/>
      <c r="BQ1" s="172"/>
      <c r="BR1" s="172"/>
      <c r="BS1" s="172"/>
      <c r="BT1" s="172"/>
      <c r="BU1" s="172"/>
      <c r="BV1" s="172"/>
      <c r="BW1" s="172"/>
      <c r="BX1" s="172"/>
      <c r="BY1" s="172"/>
      <c r="BZ1" s="172"/>
      <c r="CA1" s="172"/>
      <c r="CB1" s="172"/>
      <c r="CC1" s="172"/>
      <c r="CD1" s="172"/>
      <c r="CE1" s="172"/>
      <c r="CF1" s="172"/>
      <c r="CG1" s="172"/>
      <c r="CH1" s="172"/>
      <c r="CI1" s="172"/>
      <c r="CJ1" s="172"/>
      <c r="CK1" s="172"/>
      <c r="CL1" s="172"/>
      <c r="CM1" s="172"/>
      <c r="CN1" s="172"/>
      <c r="CO1" s="172"/>
      <c r="CP1" s="172"/>
      <c r="CQ1" s="172"/>
      <c r="CR1" s="172"/>
      <c r="CS1" s="172"/>
      <c r="CT1" s="172"/>
      <c r="CU1" s="172"/>
      <c r="CV1" s="172"/>
      <c r="CW1" s="172"/>
      <c r="CX1" s="172"/>
      <c r="CY1" s="172"/>
      <c r="CZ1" s="172"/>
      <c r="DA1" s="172"/>
      <c r="DB1" s="172"/>
      <c r="DC1" s="172"/>
      <c r="DD1" s="172"/>
      <c r="DE1" s="172"/>
      <c r="DF1" s="172"/>
      <c r="DG1" s="172"/>
      <c r="DH1" s="172"/>
      <c r="DI1" s="172"/>
      <c r="DJ1" s="172"/>
      <c r="DK1" s="172"/>
      <c r="DL1" s="172"/>
      <c r="DM1" s="172"/>
      <c r="DN1" s="172"/>
      <c r="DO1" s="172"/>
      <c r="DP1" s="172"/>
      <c r="DQ1" s="172"/>
      <c r="DR1" s="172"/>
      <c r="DS1" s="172"/>
      <c r="DT1" s="172"/>
      <c r="DU1" s="172"/>
      <c r="DV1" s="172"/>
      <c r="DW1" s="172"/>
      <c r="DX1" s="172"/>
      <c r="DY1" s="172"/>
      <c r="DZ1" s="172"/>
      <c r="EA1" s="172"/>
      <c r="EB1" s="172"/>
      <c r="EC1" s="172"/>
      <c r="ED1" s="172"/>
      <c r="EE1" s="172"/>
      <c r="EF1" s="172"/>
      <c r="EG1" s="172"/>
      <c r="EH1" s="172"/>
      <c r="EI1" s="172"/>
      <c r="EJ1" s="172"/>
      <c r="EK1" s="172"/>
      <c r="EL1" s="172"/>
      <c r="EM1" s="172"/>
      <c r="EN1" s="172"/>
      <c r="EO1" s="172"/>
      <c r="EP1" s="172"/>
      <c r="EQ1" s="172"/>
      <c r="ER1" s="172"/>
      <c r="ES1" s="172"/>
      <c r="ET1" s="172"/>
      <c r="EU1" s="172"/>
      <c r="EV1" s="172"/>
      <c r="EW1" s="172"/>
      <c r="EX1" s="172"/>
      <c r="EY1" s="172"/>
      <c r="EZ1" s="172"/>
      <c r="FA1" s="172"/>
      <c r="FB1" s="172"/>
      <c r="FC1" s="172"/>
      <c r="FD1" s="172"/>
      <c r="FE1" s="172"/>
      <c r="FF1" s="172"/>
      <c r="FG1" s="172"/>
      <c r="FH1" s="172"/>
      <c r="FI1" s="172"/>
      <c r="FJ1" s="172"/>
      <c r="FK1" s="172"/>
      <c r="FL1" s="172"/>
      <c r="FM1" s="172"/>
      <c r="FN1" s="172"/>
      <c r="FO1" s="172"/>
      <c r="FP1" s="172"/>
      <c r="FQ1" s="172"/>
      <c r="FR1" s="172"/>
      <c r="FS1" s="172"/>
      <c r="FT1" s="172"/>
      <c r="FU1" s="172"/>
      <c r="FV1" s="172"/>
      <c r="FW1" s="172"/>
      <c r="FX1" s="172"/>
      <c r="FY1" s="172"/>
      <c r="FZ1" s="172"/>
      <c r="GA1" s="172"/>
      <c r="GB1" s="172"/>
      <c r="GC1" s="172"/>
      <c r="GD1" s="172"/>
      <c r="GE1" s="172"/>
      <c r="GF1" s="172"/>
      <c r="GG1" s="172"/>
      <c r="GH1" s="172"/>
      <c r="GI1" s="172"/>
      <c r="GJ1" s="172"/>
      <c r="GK1" s="172"/>
      <c r="GL1" s="172"/>
      <c r="GM1" s="172"/>
      <c r="GN1" s="172"/>
      <c r="GO1" s="172"/>
      <c r="GP1" s="172"/>
      <c r="GQ1" s="172"/>
      <c r="GR1" s="172"/>
      <c r="GS1" s="172"/>
      <c r="GT1" s="172"/>
      <c r="GU1" s="172"/>
      <c r="GV1" s="172"/>
      <c r="GW1" s="172"/>
      <c r="GX1" s="172"/>
      <c r="GY1" s="172"/>
      <c r="GZ1" s="172"/>
      <c r="HA1" s="172"/>
      <c r="HB1" s="172"/>
      <c r="HC1" s="172"/>
      <c r="HD1" s="172"/>
      <c r="HE1" s="172"/>
      <c r="HF1" s="172"/>
      <c r="HG1" s="172"/>
      <c r="HH1" s="172"/>
      <c r="HI1" s="172"/>
      <c r="HJ1" s="172"/>
      <c r="HK1" s="172"/>
      <c r="HL1" s="172"/>
      <c r="HM1" s="172"/>
      <c r="HN1" s="172"/>
      <c r="HO1" s="172"/>
      <c r="HP1" s="172"/>
      <c r="HQ1" s="172"/>
      <c r="HR1" s="172"/>
      <c r="HS1" s="172"/>
      <c r="HT1" s="172"/>
      <c r="HU1" s="172"/>
      <c r="HV1" s="172"/>
      <c r="HW1" s="172"/>
      <c r="HX1" s="172"/>
      <c r="HY1" s="172"/>
      <c r="HZ1" s="172"/>
      <c r="IA1" s="172"/>
      <c r="IB1" s="172"/>
      <c r="IC1" s="172"/>
      <c r="ID1" s="172"/>
      <c r="IE1" s="172"/>
      <c r="IF1" s="172"/>
      <c r="IG1" s="172"/>
      <c r="IH1" s="172"/>
      <c r="II1" s="172"/>
      <c r="IJ1" s="172"/>
      <c r="IK1" s="172"/>
      <c r="IL1" s="172"/>
      <c r="IM1" s="172"/>
      <c r="IN1" s="172"/>
      <c r="IO1" s="172"/>
      <c r="IP1" s="172"/>
      <c r="IQ1" s="172"/>
      <c r="IR1" s="172"/>
      <c r="IS1" s="172"/>
      <c r="IT1" s="172"/>
    </row>
    <row r="2" spans="1:254">
      <c r="A2" s="174">
        <v>601</v>
      </c>
      <c r="B2" s="174" t="s">
        <v>557</v>
      </c>
      <c r="C2" s="175">
        <f>'601'!F76</f>
        <v>3336000</v>
      </c>
      <c r="D2" s="175">
        <f>'601'!G76</f>
        <v>1112000</v>
      </c>
      <c r="E2" s="175">
        <f>'601'!H76</f>
        <v>1112000</v>
      </c>
      <c r="F2" s="175">
        <f>'601'!I76</f>
        <v>1112000</v>
      </c>
      <c r="G2" s="175">
        <f>'601'!J76</f>
        <v>1112000</v>
      </c>
      <c r="H2" s="175">
        <f>'601'!K76</f>
        <v>1112000</v>
      </c>
      <c r="I2" s="175">
        <f>'601'!L76</f>
        <v>1112000</v>
      </c>
      <c r="J2" s="175">
        <f>'601'!M76</f>
        <v>1112000</v>
      </c>
      <c r="K2" s="175">
        <f>'601'!N76</f>
        <v>1112000</v>
      </c>
      <c r="L2" s="175">
        <f>'601'!O76</f>
        <v>1113000</v>
      </c>
      <c r="M2" s="175">
        <f>'601'!P76</f>
        <v>0</v>
      </c>
      <c r="N2" s="175">
        <f>'601'!Q76</f>
        <v>0</v>
      </c>
      <c r="O2" s="176">
        <f>SUM(C2:N2)</f>
        <v>13345000</v>
      </c>
    </row>
    <row r="3" spans="1:254">
      <c r="A3" s="228">
        <v>602</v>
      </c>
      <c r="B3" s="174" t="s">
        <v>558</v>
      </c>
      <c r="C3" s="175">
        <f>'602'!F76</f>
        <v>10605000</v>
      </c>
      <c r="D3" s="175">
        <f>'602'!G76</f>
        <v>3504000</v>
      </c>
      <c r="E3" s="175">
        <f>'602'!H76</f>
        <v>3504000</v>
      </c>
      <c r="F3" s="175">
        <f>'602'!I76</f>
        <v>3504000</v>
      </c>
      <c r="G3" s="175">
        <f>'602'!J76</f>
        <v>3504000</v>
      </c>
      <c r="H3" s="175">
        <f>'602'!K76</f>
        <v>3504000</v>
      </c>
      <c r="I3" s="175">
        <f>'602'!L76</f>
        <v>3504000</v>
      </c>
      <c r="J3" s="175">
        <f>'602'!M76</f>
        <v>3504000</v>
      </c>
      <c r="K3" s="175">
        <f>'602'!N76</f>
        <v>3504000</v>
      </c>
      <c r="L3" s="175">
        <f>'602'!O76</f>
        <v>3507000</v>
      </c>
      <c r="M3" s="175">
        <f>'602'!P76</f>
        <v>0</v>
      </c>
      <c r="N3" s="175">
        <f>'602'!Q76</f>
        <v>0</v>
      </c>
      <c r="O3" s="176">
        <f t="shared" ref="O3:O66" si="0">SUM(C3:N3)</f>
        <v>42144000</v>
      </c>
    </row>
    <row r="4" spans="1:254">
      <c r="A4" s="230">
        <v>603</v>
      </c>
      <c r="B4" s="174" t="s">
        <v>559</v>
      </c>
      <c r="C4" s="175">
        <f>'603'!F76</f>
        <v>6002000</v>
      </c>
      <c r="D4" s="175">
        <f>'603'!G76</f>
        <v>2001000</v>
      </c>
      <c r="E4" s="175">
        <f>'603'!H76</f>
        <v>2001000</v>
      </c>
      <c r="F4" s="175">
        <f>'603'!I76</f>
        <v>2001000</v>
      </c>
      <c r="G4" s="175">
        <f>'603'!J76</f>
        <v>2001000</v>
      </c>
      <c r="H4" s="175">
        <f>'603'!K76</f>
        <v>2001000</v>
      </c>
      <c r="I4" s="175">
        <f>'603'!L76</f>
        <v>2001000</v>
      </c>
      <c r="J4" s="175">
        <f>'603'!M76</f>
        <v>2001000</v>
      </c>
      <c r="K4" s="175">
        <f>'603'!N76</f>
        <v>2001000</v>
      </c>
      <c r="L4" s="175">
        <f>'603'!O76</f>
        <v>1999000</v>
      </c>
      <c r="M4" s="175">
        <f>'603'!P76</f>
        <v>0</v>
      </c>
      <c r="N4" s="175">
        <f>'603'!Q76</f>
        <v>0</v>
      </c>
      <c r="O4" s="176">
        <f t="shared" si="0"/>
        <v>24009000</v>
      </c>
    </row>
    <row r="5" spans="1:254">
      <c r="A5" s="228">
        <v>604</v>
      </c>
      <c r="B5" s="174" t="s">
        <v>560</v>
      </c>
      <c r="C5" s="175">
        <f>'604'!F76</f>
        <v>2542000</v>
      </c>
      <c r="D5" s="175">
        <f>'604'!G76</f>
        <v>847000</v>
      </c>
      <c r="E5" s="175">
        <f>'604'!H76</f>
        <v>847000</v>
      </c>
      <c r="F5" s="175">
        <f>'604'!I76</f>
        <v>847000</v>
      </c>
      <c r="G5" s="175">
        <f>'604'!J76</f>
        <v>847000</v>
      </c>
      <c r="H5" s="175">
        <f>'604'!K76</f>
        <v>847000</v>
      </c>
      <c r="I5" s="175">
        <f>'604'!L76</f>
        <v>847000</v>
      </c>
      <c r="J5" s="175">
        <f>'604'!M76</f>
        <v>847000</v>
      </c>
      <c r="K5" s="175">
        <f>'604'!N76</f>
        <v>847000</v>
      </c>
      <c r="L5" s="175">
        <f>'604'!O76</f>
        <v>850000</v>
      </c>
      <c r="M5" s="175">
        <f>'604'!P76</f>
        <v>0</v>
      </c>
      <c r="N5" s="175">
        <f>'604'!Q76</f>
        <v>0</v>
      </c>
      <c r="O5" s="176">
        <f t="shared" si="0"/>
        <v>10168000</v>
      </c>
    </row>
    <row r="6" spans="1:254">
      <c r="A6" s="228">
        <v>605</v>
      </c>
      <c r="B6" s="174" t="s">
        <v>561</v>
      </c>
      <c r="C6" s="175">
        <f>'605'!F76</f>
        <v>7534000</v>
      </c>
      <c r="D6" s="175">
        <f>'605'!G76</f>
        <v>2511000</v>
      </c>
      <c r="E6" s="175">
        <f>'605'!H76</f>
        <v>2511000</v>
      </c>
      <c r="F6" s="175">
        <f>'605'!I76</f>
        <v>2511000</v>
      </c>
      <c r="G6" s="175">
        <f>'605'!J76</f>
        <v>2511000</v>
      </c>
      <c r="H6" s="175">
        <f>'605'!K76</f>
        <v>2511000</v>
      </c>
      <c r="I6" s="175">
        <f>'605'!L76</f>
        <v>2511000</v>
      </c>
      <c r="J6" s="175">
        <f>'605'!M76</f>
        <v>2511000</v>
      </c>
      <c r="K6" s="175">
        <f>'605'!N76</f>
        <v>2511000</v>
      </c>
      <c r="L6" s="175">
        <f>'605'!O76</f>
        <v>2515000</v>
      </c>
      <c r="M6" s="175">
        <f>'605'!P76</f>
        <v>0</v>
      </c>
      <c r="N6" s="175">
        <f>'605'!Q76</f>
        <v>0</v>
      </c>
      <c r="O6" s="176">
        <f t="shared" si="0"/>
        <v>30137000</v>
      </c>
      <c r="Q6" s="187"/>
    </row>
    <row r="7" spans="1:254">
      <c r="A7" s="228">
        <v>606</v>
      </c>
      <c r="B7" s="174" t="s">
        <v>562</v>
      </c>
      <c r="C7" s="175">
        <f>'606'!F76</f>
        <v>1504000</v>
      </c>
      <c r="D7" s="175">
        <f>'606'!G76</f>
        <v>491000</v>
      </c>
      <c r="E7" s="175">
        <f>'606'!H76</f>
        <v>491000</v>
      </c>
      <c r="F7" s="175">
        <f>'606'!I76</f>
        <v>491000</v>
      </c>
      <c r="G7" s="175">
        <f>'606'!J76</f>
        <v>491000</v>
      </c>
      <c r="H7" s="175">
        <f>'606'!K76</f>
        <v>491000</v>
      </c>
      <c r="I7" s="175">
        <f>'606'!L76</f>
        <v>491000</v>
      </c>
      <c r="J7" s="175">
        <f>'606'!M76</f>
        <v>491000</v>
      </c>
      <c r="K7" s="175">
        <f>'606'!N76</f>
        <v>491000</v>
      </c>
      <c r="L7" s="175">
        <f>'606'!O76</f>
        <v>486000</v>
      </c>
      <c r="M7" s="175">
        <f>'606'!P76</f>
        <v>0</v>
      </c>
      <c r="N7" s="175">
        <f>'606'!Q76</f>
        <v>0</v>
      </c>
      <c r="O7" s="176">
        <f t="shared" si="0"/>
        <v>5918000</v>
      </c>
    </row>
    <row r="8" spans="1:254">
      <c r="A8" s="228">
        <v>607</v>
      </c>
      <c r="B8" s="174" t="s">
        <v>563</v>
      </c>
      <c r="C8" s="175">
        <f>'607'!F76</f>
        <v>2830000</v>
      </c>
      <c r="D8" s="175">
        <f>'607'!G76</f>
        <v>943000</v>
      </c>
      <c r="E8" s="175">
        <f>'607'!H76</f>
        <v>943000</v>
      </c>
      <c r="F8" s="175">
        <f>'607'!I76</f>
        <v>943000</v>
      </c>
      <c r="G8" s="175">
        <f>'607'!J76</f>
        <v>943000</v>
      </c>
      <c r="H8" s="175">
        <f>'607'!K76</f>
        <v>943000</v>
      </c>
      <c r="I8" s="175">
        <f>'607'!L76</f>
        <v>943000</v>
      </c>
      <c r="J8" s="175">
        <f>'607'!M76</f>
        <v>943000</v>
      </c>
      <c r="K8" s="175">
        <f>'607'!N76</f>
        <v>943000</v>
      </c>
      <c r="L8" s="175">
        <f>'607'!O76</f>
        <v>943000</v>
      </c>
      <c r="M8" s="175">
        <f>'607'!P76</f>
        <v>0</v>
      </c>
      <c r="N8" s="175">
        <f>'607'!Q76</f>
        <v>0</v>
      </c>
      <c r="O8" s="176">
        <f t="shared" si="0"/>
        <v>11317000</v>
      </c>
      <c r="Q8" s="187"/>
    </row>
    <row r="9" spans="1:254">
      <c r="A9" s="228">
        <v>608</v>
      </c>
      <c r="B9" s="174" t="s">
        <v>564</v>
      </c>
      <c r="C9" s="175">
        <f>'608'!F76</f>
        <v>1986000</v>
      </c>
      <c r="D9" s="175">
        <f>'608'!G76</f>
        <v>662000</v>
      </c>
      <c r="E9" s="175">
        <f>'608'!H76</f>
        <v>662000</v>
      </c>
      <c r="F9" s="175">
        <f>'608'!I76</f>
        <v>662000</v>
      </c>
      <c r="G9" s="175">
        <f>'608'!J76</f>
        <v>662000</v>
      </c>
      <c r="H9" s="175">
        <f>'608'!K76</f>
        <v>662000</v>
      </c>
      <c r="I9" s="175">
        <f>'608'!L76</f>
        <v>662000</v>
      </c>
      <c r="J9" s="175">
        <f>'608'!M76</f>
        <v>662000</v>
      </c>
      <c r="K9" s="175">
        <f>'608'!N76</f>
        <v>662000</v>
      </c>
      <c r="L9" s="175">
        <f>'608'!O76</f>
        <v>660000</v>
      </c>
      <c r="M9" s="175">
        <f>'608'!P76</f>
        <v>0</v>
      </c>
      <c r="N9" s="175">
        <f>'608'!Q76</f>
        <v>0</v>
      </c>
      <c r="O9" s="176">
        <f t="shared" si="0"/>
        <v>7942000</v>
      </c>
      <c r="Q9" s="187"/>
    </row>
    <row r="10" spans="1:254" s="234" customFormat="1">
      <c r="A10" s="228">
        <v>609</v>
      </c>
      <c r="B10" s="228" t="s">
        <v>565</v>
      </c>
      <c r="C10" s="232">
        <f>'609'!F76</f>
        <v>3274000</v>
      </c>
      <c r="D10" s="232">
        <f>'609'!G76</f>
        <v>1092000</v>
      </c>
      <c r="E10" s="232">
        <f>'609'!H76</f>
        <v>1092000</v>
      </c>
      <c r="F10" s="232">
        <f>'609'!I76</f>
        <v>1092000</v>
      </c>
      <c r="G10" s="232">
        <f>'609'!J76</f>
        <v>1092000</v>
      </c>
      <c r="H10" s="232">
        <f>'609'!K76</f>
        <v>1092000</v>
      </c>
      <c r="I10" s="232">
        <f>'609'!L76</f>
        <v>1092000</v>
      </c>
      <c r="J10" s="232">
        <f>'609'!M76</f>
        <v>1092000</v>
      </c>
      <c r="K10" s="232">
        <f>'609'!N76</f>
        <v>1092000</v>
      </c>
      <c r="L10" s="232">
        <f>'609'!O76</f>
        <v>1086000</v>
      </c>
      <c r="M10" s="232">
        <f>'609'!P76</f>
        <v>0</v>
      </c>
      <c r="N10" s="232">
        <f>'609'!Q76</f>
        <v>0</v>
      </c>
      <c r="O10" s="233">
        <f t="shared" si="0"/>
        <v>13096000</v>
      </c>
      <c r="P10" s="235"/>
      <c r="Q10" s="236"/>
    </row>
    <row r="11" spans="1:254" s="234" customFormat="1">
      <c r="A11" s="228">
        <v>610</v>
      </c>
      <c r="B11" s="228" t="s">
        <v>566</v>
      </c>
      <c r="C11" s="232">
        <f>'610'!F76</f>
        <v>375000</v>
      </c>
      <c r="D11" s="232">
        <f>'610'!G76</f>
        <v>125000</v>
      </c>
      <c r="E11" s="232">
        <f>'610'!H76</f>
        <v>125000</v>
      </c>
      <c r="F11" s="232">
        <f>'610'!I76</f>
        <v>125000</v>
      </c>
      <c r="G11" s="232">
        <f>'610'!J76</f>
        <v>125000</v>
      </c>
      <c r="H11" s="232">
        <f>'610'!K76</f>
        <v>125000</v>
      </c>
      <c r="I11" s="232">
        <f>'610'!L76</f>
        <v>125000</v>
      </c>
      <c r="J11" s="232">
        <f>'610'!M76</f>
        <v>125000</v>
      </c>
      <c r="K11" s="232">
        <f>'610'!N76</f>
        <v>125000</v>
      </c>
      <c r="L11" s="232">
        <f>'610'!O76</f>
        <v>126000</v>
      </c>
      <c r="M11" s="232">
        <f>'610'!P76</f>
        <v>0</v>
      </c>
      <c r="N11" s="232">
        <f>'610'!Q76</f>
        <v>0</v>
      </c>
      <c r="O11" s="233">
        <f t="shared" si="0"/>
        <v>1501000</v>
      </c>
      <c r="P11" s="235"/>
      <c r="Q11" s="236"/>
    </row>
    <row r="12" spans="1:254" s="234" customFormat="1">
      <c r="A12" s="228">
        <v>611</v>
      </c>
      <c r="B12" s="228" t="s">
        <v>567</v>
      </c>
      <c r="C12" s="232">
        <f>'611'!F76</f>
        <v>4644000</v>
      </c>
      <c r="D12" s="232">
        <f>'611'!G76</f>
        <v>1548000</v>
      </c>
      <c r="E12" s="232">
        <f>'611'!H76</f>
        <v>1548000</v>
      </c>
      <c r="F12" s="232">
        <f>'611'!I76</f>
        <v>1548000</v>
      </c>
      <c r="G12" s="232">
        <f>'611'!J76</f>
        <v>1548000</v>
      </c>
      <c r="H12" s="232">
        <f>'611'!K76</f>
        <v>1548000</v>
      </c>
      <c r="I12" s="232">
        <f>'611'!L76</f>
        <v>1548000</v>
      </c>
      <c r="J12" s="232">
        <f>'611'!M76</f>
        <v>1548000</v>
      </c>
      <c r="K12" s="232">
        <f>'611'!N76</f>
        <v>1548000</v>
      </c>
      <c r="L12" s="232">
        <f>'611'!O76</f>
        <v>1547000</v>
      </c>
      <c r="M12" s="232">
        <f>'611'!P76</f>
        <v>0</v>
      </c>
      <c r="N12" s="232">
        <f>'611'!Q76</f>
        <v>0</v>
      </c>
      <c r="O12" s="233">
        <f t="shared" si="0"/>
        <v>18575000</v>
      </c>
      <c r="P12" s="235"/>
      <c r="Q12" s="236"/>
    </row>
    <row r="13" spans="1:254" s="234" customFormat="1">
      <c r="A13" s="228">
        <v>612</v>
      </c>
      <c r="B13" s="228" t="s">
        <v>568</v>
      </c>
      <c r="C13" s="232">
        <f>'612'!F76</f>
        <v>1400000</v>
      </c>
      <c r="D13" s="232">
        <f>'612'!G76</f>
        <v>467000</v>
      </c>
      <c r="E13" s="232">
        <f>'612'!H76</f>
        <v>467000</v>
      </c>
      <c r="F13" s="232">
        <f>'612'!I76</f>
        <v>467000</v>
      </c>
      <c r="G13" s="232">
        <f>'612'!J76</f>
        <v>467000</v>
      </c>
      <c r="H13" s="232">
        <f>'612'!K76</f>
        <v>467000</v>
      </c>
      <c r="I13" s="232">
        <f>'612'!L76</f>
        <v>467000</v>
      </c>
      <c r="J13" s="232">
        <f>'612'!M76</f>
        <v>467000</v>
      </c>
      <c r="K13" s="232">
        <f>'612'!N76</f>
        <v>467000</v>
      </c>
      <c r="L13" s="232">
        <f>'612'!O76</f>
        <v>462000</v>
      </c>
      <c r="M13" s="232">
        <f>'612'!P76</f>
        <v>0</v>
      </c>
      <c r="N13" s="232">
        <f>'612'!Q76</f>
        <v>0</v>
      </c>
      <c r="O13" s="233">
        <f t="shared" si="0"/>
        <v>5598000</v>
      </c>
      <c r="P13" s="235"/>
      <c r="Q13" s="236"/>
    </row>
    <row r="14" spans="1:254" s="234" customFormat="1">
      <c r="A14" s="228">
        <v>613</v>
      </c>
      <c r="B14" s="228" t="s">
        <v>569</v>
      </c>
      <c r="C14" s="232">
        <f>'613'!F76</f>
        <v>681000</v>
      </c>
      <c r="D14" s="232">
        <f>'613'!G76</f>
        <v>227000</v>
      </c>
      <c r="E14" s="232">
        <f>'613'!H76</f>
        <v>227000</v>
      </c>
      <c r="F14" s="232">
        <f>'613'!I76</f>
        <v>227000</v>
      </c>
      <c r="G14" s="232">
        <f>'613'!J76</f>
        <v>227000</v>
      </c>
      <c r="H14" s="232">
        <f>'613'!K76</f>
        <v>227000</v>
      </c>
      <c r="I14" s="232">
        <f>'613'!L76</f>
        <v>227000</v>
      </c>
      <c r="J14" s="232">
        <f>'613'!M76</f>
        <v>227000</v>
      </c>
      <c r="K14" s="232">
        <f>'613'!N76</f>
        <v>227000</v>
      </c>
      <c r="L14" s="232">
        <f>'613'!O76</f>
        <v>225000</v>
      </c>
      <c r="M14" s="232">
        <f>'613'!P76</f>
        <v>0</v>
      </c>
      <c r="N14" s="232">
        <f>'613'!Q76</f>
        <v>0</v>
      </c>
      <c r="O14" s="233">
        <f t="shared" si="0"/>
        <v>2722000</v>
      </c>
      <c r="P14" s="235"/>
      <c r="Q14" s="236"/>
    </row>
    <row r="15" spans="1:254" s="234" customFormat="1">
      <c r="A15" s="228">
        <v>614</v>
      </c>
      <c r="B15" s="228" t="s">
        <v>570</v>
      </c>
      <c r="C15" s="232">
        <f>'614'!F76</f>
        <v>1542000</v>
      </c>
      <c r="D15" s="232">
        <f>'614'!G76</f>
        <v>514000</v>
      </c>
      <c r="E15" s="232">
        <f>'614'!H76</f>
        <v>514000</v>
      </c>
      <c r="F15" s="232">
        <f>'614'!I76</f>
        <v>514000</v>
      </c>
      <c r="G15" s="232">
        <f>'614'!J76</f>
        <v>514000</v>
      </c>
      <c r="H15" s="232">
        <f>'614'!K76</f>
        <v>514000</v>
      </c>
      <c r="I15" s="232">
        <f>'614'!L76</f>
        <v>514000</v>
      </c>
      <c r="J15" s="232">
        <f>'614'!M76</f>
        <v>514000</v>
      </c>
      <c r="K15" s="232">
        <f>'614'!N76</f>
        <v>514000</v>
      </c>
      <c r="L15" s="232">
        <f>'614'!O76</f>
        <v>514000</v>
      </c>
      <c r="M15" s="232">
        <f>'614'!P76</f>
        <v>0</v>
      </c>
      <c r="N15" s="232">
        <f>'614'!Q76</f>
        <v>0</v>
      </c>
      <c r="O15" s="233">
        <f t="shared" si="0"/>
        <v>6168000</v>
      </c>
      <c r="P15" s="235"/>
      <c r="Q15" s="236"/>
    </row>
    <row r="16" spans="1:254" s="234" customFormat="1">
      <c r="A16" s="228">
        <v>615</v>
      </c>
      <c r="B16" s="228" t="s">
        <v>571</v>
      </c>
      <c r="C16" s="232">
        <f>'615'!F76</f>
        <v>1107000</v>
      </c>
      <c r="D16" s="232">
        <f>'615'!G76</f>
        <v>367000</v>
      </c>
      <c r="E16" s="232">
        <f>'615'!H76</f>
        <v>367000</v>
      </c>
      <c r="F16" s="232">
        <f>'615'!I76</f>
        <v>367000</v>
      </c>
      <c r="G16" s="232">
        <f>'615'!J76</f>
        <v>367000</v>
      </c>
      <c r="H16" s="232">
        <f>'615'!K76</f>
        <v>367000</v>
      </c>
      <c r="I16" s="232">
        <f>'615'!L76</f>
        <v>367000</v>
      </c>
      <c r="J16" s="232">
        <f>'615'!M76</f>
        <v>367000</v>
      </c>
      <c r="K16" s="232">
        <f>'615'!N76</f>
        <v>367000</v>
      </c>
      <c r="L16" s="232">
        <f>'615'!O76</f>
        <v>368000</v>
      </c>
      <c r="M16" s="232">
        <f>'615'!P76</f>
        <v>0</v>
      </c>
      <c r="N16" s="232">
        <f>'615'!Q76</f>
        <v>0</v>
      </c>
      <c r="O16" s="233">
        <f t="shared" si="0"/>
        <v>4411000</v>
      </c>
      <c r="P16" s="235"/>
      <c r="Q16" s="236"/>
    </row>
    <row r="17" spans="1:17" s="237" customFormat="1">
      <c r="A17" s="228">
        <v>616</v>
      </c>
      <c r="B17" s="228" t="s">
        <v>572</v>
      </c>
      <c r="C17" s="232">
        <f>'616'!F76</f>
        <v>1317000</v>
      </c>
      <c r="D17" s="232">
        <f>'616'!G76</f>
        <v>439000</v>
      </c>
      <c r="E17" s="232">
        <f>'616'!H76</f>
        <v>439000</v>
      </c>
      <c r="F17" s="232">
        <f>'616'!I76</f>
        <v>439000</v>
      </c>
      <c r="G17" s="232">
        <f>'616'!J76</f>
        <v>439000</v>
      </c>
      <c r="H17" s="232">
        <f>'616'!K76</f>
        <v>439000</v>
      </c>
      <c r="I17" s="232">
        <f>'616'!L76</f>
        <v>439000</v>
      </c>
      <c r="J17" s="232">
        <f>'616'!M76</f>
        <v>439000</v>
      </c>
      <c r="K17" s="232">
        <f>'616'!N76</f>
        <v>439000</v>
      </c>
      <c r="L17" s="232">
        <f>'616'!O76</f>
        <v>440000</v>
      </c>
      <c r="M17" s="232">
        <f>'616'!P76</f>
        <v>0</v>
      </c>
      <c r="N17" s="232">
        <f>'616'!Q76</f>
        <v>0</v>
      </c>
      <c r="O17" s="233">
        <f t="shared" si="0"/>
        <v>5269000</v>
      </c>
      <c r="P17" s="238"/>
      <c r="Q17" s="239"/>
    </row>
    <row r="18" spans="1:17" s="237" customFormat="1">
      <c r="A18" s="228">
        <v>617</v>
      </c>
      <c r="B18" s="228" t="s">
        <v>573</v>
      </c>
      <c r="C18" s="232">
        <f>'617'!F76</f>
        <v>3349000</v>
      </c>
      <c r="D18" s="232">
        <f>'617'!G76</f>
        <v>1117000</v>
      </c>
      <c r="E18" s="232">
        <f>'617'!H76</f>
        <v>1117000</v>
      </c>
      <c r="F18" s="232">
        <f>'617'!I76</f>
        <v>1117000</v>
      </c>
      <c r="G18" s="232">
        <f>'617'!J76</f>
        <v>1117000</v>
      </c>
      <c r="H18" s="232">
        <f>'617'!K76</f>
        <v>1117000</v>
      </c>
      <c r="I18" s="232">
        <f>'617'!L76</f>
        <v>1117000</v>
      </c>
      <c r="J18" s="232">
        <f>'617'!M76</f>
        <v>1117000</v>
      </c>
      <c r="K18" s="232">
        <f>'617'!N76</f>
        <v>1117000</v>
      </c>
      <c r="L18" s="232">
        <f>'617'!O76</f>
        <v>1110000</v>
      </c>
      <c r="M18" s="232">
        <f>'617'!P76</f>
        <v>0</v>
      </c>
      <c r="N18" s="232">
        <f>'617'!Q76</f>
        <v>0</v>
      </c>
      <c r="O18" s="233">
        <f t="shared" si="0"/>
        <v>13395000</v>
      </c>
      <c r="P18" s="238"/>
      <c r="Q18" s="239"/>
    </row>
    <row r="19" spans="1:17" s="279" customFormat="1">
      <c r="A19" s="229">
        <v>618</v>
      </c>
      <c r="B19" s="229" t="s">
        <v>574</v>
      </c>
      <c r="C19" s="277">
        <f>'618'!F76</f>
        <v>8223000</v>
      </c>
      <c r="D19" s="277">
        <f>'618'!G76</f>
        <v>2730000</v>
      </c>
      <c r="E19" s="277">
        <f>'618'!H76</f>
        <v>2730000</v>
      </c>
      <c r="F19" s="277">
        <f>'618'!I76</f>
        <v>2730000</v>
      </c>
      <c r="G19" s="277">
        <f>'618'!J76</f>
        <v>2730000</v>
      </c>
      <c r="H19" s="277">
        <f>'618'!K76</f>
        <v>2730000</v>
      </c>
      <c r="I19" s="277">
        <f>'618'!L76</f>
        <v>2730000</v>
      </c>
      <c r="J19" s="277">
        <f>'618'!M76</f>
        <v>2730000</v>
      </c>
      <c r="K19" s="277">
        <f>'618'!N76</f>
        <v>2730000</v>
      </c>
      <c r="L19" s="277">
        <f>'618'!O76</f>
        <v>2725000</v>
      </c>
      <c r="M19" s="277">
        <f>'618'!P76</f>
        <v>0</v>
      </c>
      <c r="N19" s="277">
        <f>'618'!Q76</f>
        <v>0</v>
      </c>
      <c r="O19" s="278">
        <f t="shared" si="0"/>
        <v>32788000</v>
      </c>
      <c r="P19" s="280"/>
      <c r="Q19" s="281"/>
    </row>
    <row r="20" spans="1:17" s="279" customFormat="1">
      <c r="A20" s="229">
        <v>619</v>
      </c>
      <c r="B20" s="229" t="s">
        <v>575</v>
      </c>
      <c r="C20" s="277">
        <f>'619'!F76</f>
        <v>3579000</v>
      </c>
      <c r="D20" s="277">
        <f>'619'!G76</f>
        <v>1170000</v>
      </c>
      <c r="E20" s="277">
        <f>'619'!H76</f>
        <v>1170000</v>
      </c>
      <c r="F20" s="277">
        <f>'619'!I76</f>
        <v>1170000</v>
      </c>
      <c r="G20" s="277">
        <f>'619'!J76</f>
        <v>1170000</v>
      </c>
      <c r="H20" s="277">
        <f>'619'!K76</f>
        <v>1170000</v>
      </c>
      <c r="I20" s="277">
        <f>'619'!L76</f>
        <v>1170000</v>
      </c>
      <c r="J20" s="277">
        <f>'619'!M76</f>
        <v>1170000</v>
      </c>
      <c r="K20" s="277">
        <f>'619'!N76</f>
        <v>1170000</v>
      </c>
      <c r="L20" s="277">
        <f>'619'!O76</f>
        <v>1169000</v>
      </c>
      <c r="M20" s="277">
        <f>'619'!P76</f>
        <v>0</v>
      </c>
      <c r="N20" s="277">
        <f>'619'!Q76</f>
        <v>0</v>
      </c>
      <c r="O20" s="278">
        <f t="shared" si="0"/>
        <v>14108000</v>
      </c>
      <c r="P20" s="280"/>
      <c r="Q20" s="281"/>
    </row>
    <row r="21" spans="1:17" s="279" customFormat="1">
      <c r="A21" s="229">
        <v>620</v>
      </c>
      <c r="B21" s="229" t="s">
        <v>576</v>
      </c>
      <c r="C21" s="277">
        <f>'620'!F76</f>
        <v>1414000</v>
      </c>
      <c r="D21" s="277">
        <f>'620'!G76</f>
        <v>460000</v>
      </c>
      <c r="E21" s="277">
        <f>'620'!H76</f>
        <v>460000</v>
      </c>
      <c r="F21" s="277">
        <f>'620'!I76</f>
        <v>460000</v>
      </c>
      <c r="G21" s="277">
        <f>'620'!J76</f>
        <v>460000</v>
      </c>
      <c r="H21" s="277">
        <f>'620'!K76</f>
        <v>460000</v>
      </c>
      <c r="I21" s="277">
        <f>'620'!L76</f>
        <v>460000</v>
      </c>
      <c r="J21" s="277">
        <f>'620'!M76</f>
        <v>460000</v>
      </c>
      <c r="K21" s="277">
        <f>'620'!N76</f>
        <v>460000</v>
      </c>
      <c r="L21" s="277">
        <f>'620'!O76</f>
        <v>460000</v>
      </c>
      <c r="M21" s="277">
        <f>'620'!P76</f>
        <v>0</v>
      </c>
      <c r="N21" s="277">
        <f>'620'!Q76</f>
        <v>0</v>
      </c>
      <c r="O21" s="278">
        <f t="shared" si="0"/>
        <v>5554000</v>
      </c>
      <c r="P21" s="280"/>
      <c r="Q21" s="281"/>
    </row>
    <row r="22" spans="1:17" s="279" customFormat="1">
      <c r="A22" s="229">
        <v>621</v>
      </c>
      <c r="B22" s="229" t="s">
        <v>577</v>
      </c>
      <c r="C22" s="277">
        <f>'621'!F76</f>
        <v>2565000</v>
      </c>
      <c r="D22" s="277">
        <f>'621'!G76</f>
        <v>834000</v>
      </c>
      <c r="E22" s="277">
        <f>'621'!H76</f>
        <v>834000</v>
      </c>
      <c r="F22" s="277">
        <f>'621'!I76</f>
        <v>834000</v>
      </c>
      <c r="G22" s="277">
        <f>'621'!J76</f>
        <v>834000</v>
      </c>
      <c r="H22" s="277">
        <f>'621'!K76</f>
        <v>834000</v>
      </c>
      <c r="I22" s="277">
        <f>'621'!L76</f>
        <v>834000</v>
      </c>
      <c r="J22" s="277">
        <f>'621'!M76</f>
        <v>834000</v>
      </c>
      <c r="K22" s="277">
        <f>'621'!N76</f>
        <v>834000</v>
      </c>
      <c r="L22" s="277">
        <f>'621'!O76</f>
        <v>835000</v>
      </c>
      <c r="M22" s="277">
        <f>'621'!P76</f>
        <v>0</v>
      </c>
      <c r="N22" s="277">
        <f>'621'!Q76</f>
        <v>0</v>
      </c>
      <c r="O22" s="278">
        <f t="shared" si="0"/>
        <v>10072000</v>
      </c>
      <c r="P22" s="280"/>
      <c r="Q22" s="281"/>
    </row>
    <row r="23" spans="1:17" s="279" customFormat="1">
      <c r="A23" s="229">
        <v>622</v>
      </c>
      <c r="B23" s="229" t="s">
        <v>578</v>
      </c>
      <c r="C23" s="277">
        <f>'622'!F76</f>
        <v>1574000</v>
      </c>
      <c r="D23" s="277">
        <f>'622'!G76</f>
        <v>524000</v>
      </c>
      <c r="E23" s="277">
        <f>'622'!H76</f>
        <v>524000</v>
      </c>
      <c r="F23" s="277">
        <f>'622'!I76</f>
        <v>524000</v>
      </c>
      <c r="G23" s="277">
        <f>'622'!J76</f>
        <v>524000</v>
      </c>
      <c r="H23" s="277">
        <f>'622'!K76</f>
        <v>524000</v>
      </c>
      <c r="I23" s="277">
        <f>'622'!L76</f>
        <v>524000</v>
      </c>
      <c r="J23" s="277">
        <f>'622'!M76</f>
        <v>524000</v>
      </c>
      <c r="K23" s="277">
        <f>'622'!N76</f>
        <v>524000</v>
      </c>
      <c r="L23" s="277">
        <f>'622'!O76</f>
        <v>529000</v>
      </c>
      <c r="M23" s="277">
        <f>'622'!P76</f>
        <v>0</v>
      </c>
      <c r="N23" s="277">
        <f>'622'!Q76</f>
        <v>0</v>
      </c>
      <c r="O23" s="278">
        <f t="shared" si="0"/>
        <v>6295000</v>
      </c>
      <c r="P23" s="280"/>
      <c r="Q23" s="281"/>
    </row>
    <row r="24" spans="1:17" s="279" customFormat="1">
      <c r="A24" s="229">
        <v>623</v>
      </c>
      <c r="B24" s="229" t="s">
        <v>579</v>
      </c>
      <c r="C24" s="277">
        <f>'623'!F76</f>
        <v>3280000</v>
      </c>
      <c r="D24" s="277">
        <f>'623'!G76</f>
        <v>1061000</v>
      </c>
      <c r="E24" s="277">
        <f>'623'!H76</f>
        <v>1061000</v>
      </c>
      <c r="F24" s="277">
        <f>'623'!I76</f>
        <v>1061000</v>
      </c>
      <c r="G24" s="277">
        <f>'623'!J76</f>
        <v>1061000</v>
      </c>
      <c r="H24" s="277">
        <f>'623'!K76</f>
        <v>1061000</v>
      </c>
      <c r="I24" s="277">
        <f>'623'!L76</f>
        <v>1061000</v>
      </c>
      <c r="J24" s="277">
        <f>'623'!M76</f>
        <v>1061000</v>
      </c>
      <c r="K24" s="277">
        <f>'623'!N76</f>
        <v>1061000</v>
      </c>
      <c r="L24" s="277">
        <f>'623'!O76</f>
        <v>1060000</v>
      </c>
      <c r="M24" s="277">
        <f>'623'!P76</f>
        <v>0</v>
      </c>
      <c r="N24" s="277">
        <f>'623'!Q76</f>
        <v>0</v>
      </c>
      <c r="O24" s="278">
        <f t="shared" si="0"/>
        <v>12828000</v>
      </c>
      <c r="P24" s="280"/>
      <c r="Q24" s="281"/>
    </row>
    <row r="25" spans="1:17" s="279" customFormat="1">
      <c r="A25" s="229">
        <v>624</v>
      </c>
      <c r="B25" s="229" t="s">
        <v>580</v>
      </c>
      <c r="C25" s="277">
        <f>'624'!F76</f>
        <v>4264000</v>
      </c>
      <c r="D25" s="277">
        <f>'624'!G76</f>
        <v>1421000</v>
      </c>
      <c r="E25" s="277">
        <f>'624'!H76</f>
        <v>1421000</v>
      </c>
      <c r="F25" s="277">
        <f>'624'!I76</f>
        <v>1421000</v>
      </c>
      <c r="G25" s="277">
        <f>'624'!J76</f>
        <v>1421000</v>
      </c>
      <c r="H25" s="277">
        <f>'624'!K76</f>
        <v>1421000</v>
      </c>
      <c r="I25" s="277">
        <f>'624'!L76</f>
        <v>1421000</v>
      </c>
      <c r="J25" s="277">
        <f>'624'!M76</f>
        <v>1421000</v>
      </c>
      <c r="K25" s="277">
        <f>'624'!N76</f>
        <v>1421000</v>
      </c>
      <c r="L25" s="277">
        <f>'624'!O76</f>
        <v>1425000</v>
      </c>
      <c r="M25" s="277">
        <f>'624'!P76</f>
        <v>0</v>
      </c>
      <c r="N25" s="277">
        <f>'624'!Q76</f>
        <v>0</v>
      </c>
      <c r="O25" s="278">
        <f t="shared" si="0"/>
        <v>17057000</v>
      </c>
      <c r="P25" s="280"/>
      <c r="Q25" s="281"/>
    </row>
    <row r="26" spans="1:17" s="279" customFormat="1">
      <c r="A26" s="229">
        <v>625</v>
      </c>
      <c r="B26" s="229" t="s">
        <v>581</v>
      </c>
      <c r="C26" s="277">
        <f>'625'!F76</f>
        <v>898000</v>
      </c>
      <c r="D26" s="277">
        <f>'625'!G76</f>
        <v>299000</v>
      </c>
      <c r="E26" s="277">
        <f>'625'!H76</f>
        <v>299000</v>
      </c>
      <c r="F26" s="277">
        <f>'625'!I76</f>
        <v>299000</v>
      </c>
      <c r="G26" s="277">
        <f>'625'!J76</f>
        <v>299000</v>
      </c>
      <c r="H26" s="277">
        <f>'625'!K76</f>
        <v>299000</v>
      </c>
      <c r="I26" s="277">
        <f>'625'!L76</f>
        <v>299000</v>
      </c>
      <c r="J26" s="277">
        <f>'625'!M76</f>
        <v>299000</v>
      </c>
      <c r="K26" s="277">
        <f>'625'!N76</f>
        <v>299000</v>
      </c>
      <c r="L26" s="277">
        <f>'625'!O76</f>
        <v>299000</v>
      </c>
      <c r="M26" s="277">
        <f>'625'!P76</f>
        <v>0</v>
      </c>
      <c r="N26" s="277">
        <f>'625'!Q76</f>
        <v>0</v>
      </c>
      <c r="O26" s="278">
        <f t="shared" si="0"/>
        <v>3589000</v>
      </c>
      <c r="P26" s="280"/>
      <c r="Q26" s="281"/>
    </row>
    <row r="27" spans="1:17" s="279" customFormat="1">
      <c r="A27" s="229">
        <v>626</v>
      </c>
      <c r="B27" s="229" t="s">
        <v>582</v>
      </c>
      <c r="C27" s="277">
        <f>'626'!F76</f>
        <v>933000</v>
      </c>
      <c r="D27" s="277">
        <f>'626'!G76</f>
        <v>311000</v>
      </c>
      <c r="E27" s="277">
        <f>'626'!H76</f>
        <v>311000</v>
      </c>
      <c r="F27" s="277">
        <f>'626'!I76</f>
        <v>311000</v>
      </c>
      <c r="G27" s="277">
        <f>'626'!J76</f>
        <v>311000</v>
      </c>
      <c r="H27" s="277">
        <f>'626'!K76</f>
        <v>311000</v>
      </c>
      <c r="I27" s="277">
        <f>'626'!L76</f>
        <v>311000</v>
      </c>
      <c r="J27" s="277">
        <f>'626'!M76</f>
        <v>311000</v>
      </c>
      <c r="K27" s="277">
        <f>'626'!N76</f>
        <v>311000</v>
      </c>
      <c r="L27" s="277">
        <f>'626'!O76</f>
        <v>310000</v>
      </c>
      <c r="M27" s="277">
        <f>'626'!P76</f>
        <v>0</v>
      </c>
      <c r="N27" s="277">
        <f>'626'!Q76</f>
        <v>0</v>
      </c>
      <c r="O27" s="278">
        <f t="shared" si="0"/>
        <v>3731000</v>
      </c>
      <c r="P27" s="280"/>
      <c r="Q27" s="281"/>
    </row>
    <row r="28" spans="1:17" s="279" customFormat="1">
      <c r="A28" s="229">
        <v>627</v>
      </c>
      <c r="B28" s="229" t="s">
        <v>583</v>
      </c>
      <c r="C28" s="277">
        <f>'627'!F76</f>
        <v>314000</v>
      </c>
      <c r="D28" s="277">
        <f>'627'!G76</f>
        <v>105000</v>
      </c>
      <c r="E28" s="277">
        <f>'627'!H76</f>
        <v>105000</v>
      </c>
      <c r="F28" s="277">
        <f>'627'!I76</f>
        <v>105000</v>
      </c>
      <c r="G28" s="277">
        <f>'627'!J76</f>
        <v>105000</v>
      </c>
      <c r="H28" s="277">
        <f>'627'!K76</f>
        <v>105000</v>
      </c>
      <c r="I28" s="277">
        <f>'627'!L76</f>
        <v>105000</v>
      </c>
      <c r="J28" s="277">
        <f>'627'!M76</f>
        <v>105000</v>
      </c>
      <c r="K28" s="277">
        <f>'627'!N76</f>
        <v>105000</v>
      </c>
      <c r="L28" s="277">
        <f>'627'!O76</f>
        <v>99000</v>
      </c>
      <c r="M28" s="277">
        <f>'627'!P76</f>
        <v>0</v>
      </c>
      <c r="N28" s="277">
        <f>'627'!Q76</f>
        <v>0</v>
      </c>
      <c r="O28" s="278">
        <f t="shared" si="0"/>
        <v>1253000</v>
      </c>
      <c r="P28" s="280"/>
      <c r="Q28" s="281"/>
    </row>
    <row r="29" spans="1:17" s="279" customFormat="1">
      <c r="A29" s="229">
        <v>628</v>
      </c>
      <c r="B29" s="229" t="s">
        <v>584</v>
      </c>
      <c r="C29" s="277">
        <f>'628'!F76</f>
        <v>893000</v>
      </c>
      <c r="D29" s="277">
        <f>'628'!G76</f>
        <v>297000</v>
      </c>
      <c r="E29" s="277">
        <f>'628'!H76</f>
        <v>297000</v>
      </c>
      <c r="F29" s="277">
        <f>'628'!I76</f>
        <v>297000</v>
      </c>
      <c r="G29" s="277">
        <f>'628'!J76</f>
        <v>297000</v>
      </c>
      <c r="H29" s="277">
        <f>'628'!K76</f>
        <v>297000</v>
      </c>
      <c r="I29" s="277">
        <f>'628'!L76</f>
        <v>297000</v>
      </c>
      <c r="J29" s="277">
        <f>'628'!M76</f>
        <v>297000</v>
      </c>
      <c r="K29" s="277">
        <f>'628'!N76</f>
        <v>297000</v>
      </c>
      <c r="L29" s="277">
        <f>'628'!O76</f>
        <v>302000</v>
      </c>
      <c r="M29" s="277">
        <f>'628'!P76</f>
        <v>0</v>
      </c>
      <c r="N29" s="277">
        <f>'628'!Q76</f>
        <v>0</v>
      </c>
      <c r="O29" s="278">
        <f t="shared" si="0"/>
        <v>3571000</v>
      </c>
      <c r="P29" s="280"/>
      <c r="Q29" s="281"/>
    </row>
    <row r="30" spans="1:17" s="279" customFormat="1">
      <c r="A30" s="229">
        <v>629</v>
      </c>
      <c r="B30" s="229" t="s">
        <v>585</v>
      </c>
      <c r="C30" s="277">
        <f>'629'!F76</f>
        <v>1042000</v>
      </c>
      <c r="D30" s="277">
        <f>'629'!G76</f>
        <v>347000</v>
      </c>
      <c r="E30" s="277">
        <f>'629'!H76</f>
        <v>347000</v>
      </c>
      <c r="F30" s="277">
        <f>'629'!I76</f>
        <v>347000</v>
      </c>
      <c r="G30" s="277">
        <f>'629'!J76</f>
        <v>347000</v>
      </c>
      <c r="H30" s="277">
        <f>'629'!K76</f>
        <v>347000</v>
      </c>
      <c r="I30" s="277">
        <f>'629'!L76</f>
        <v>347000</v>
      </c>
      <c r="J30" s="277">
        <f>'629'!M76</f>
        <v>347000</v>
      </c>
      <c r="K30" s="277">
        <f>'629'!N76</f>
        <v>347000</v>
      </c>
      <c r="L30" s="277">
        <f>'629'!O76</f>
        <v>350000</v>
      </c>
      <c r="M30" s="277">
        <f>'629'!P76</f>
        <v>0</v>
      </c>
      <c r="N30" s="277">
        <f>'629'!Q76</f>
        <v>0</v>
      </c>
      <c r="O30" s="278">
        <f t="shared" si="0"/>
        <v>4168000</v>
      </c>
      <c r="P30" s="280"/>
      <c r="Q30" s="281"/>
    </row>
    <row r="31" spans="1:17" s="279" customFormat="1">
      <c r="A31" s="229">
        <v>630</v>
      </c>
      <c r="B31" s="229" t="s">
        <v>586</v>
      </c>
      <c r="C31" s="277">
        <f>'630'!F76</f>
        <v>701000</v>
      </c>
      <c r="D31" s="277">
        <f>'630'!G76</f>
        <v>234000</v>
      </c>
      <c r="E31" s="277">
        <f>'630'!H76</f>
        <v>234000</v>
      </c>
      <c r="F31" s="277">
        <f>'630'!I76</f>
        <v>234000</v>
      </c>
      <c r="G31" s="277">
        <f>'630'!J76</f>
        <v>234000</v>
      </c>
      <c r="H31" s="277">
        <f>'630'!K76</f>
        <v>234000</v>
      </c>
      <c r="I31" s="277">
        <f>'630'!L76</f>
        <v>234000</v>
      </c>
      <c r="J31" s="277">
        <f>'630'!M76</f>
        <v>234000</v>
      </c>
      <c r="K31" s="277">
        <f>'630'!N76</f>
        <v>234000</v>
      </c>
      <c r="L31" s="277">
        <f>'630'!O76</f>
        <v>227000</v>
      </c>
      <c r="M31" s="277">
        <f>'630'!P76</f>
        <v>0</v>
      </c>
      <c r="N31" s="277">
        <f>'630'!Q76</f>
        <v>0</v>
      </c>
      <c r="O31" s="278">
        <f t="shared" si="0"/>
        <v>2800000</v>
      </c>
      <c r="P31" s="280"/>
      <c r="Q31" s="281"/>
    </row>
    <row r="32" spans="1:17" s="279" customFormat="1">
      <c r="A32" s="229">
        <v>631</v>
      </c>
      <c r="B32" s="229" t="s">
        <v>587</v>
      </c>
      <c r="C32" s="277">
        <f>'631'!F76</f>
        <v>510000</v>
      </c>
      <c r="D32" s="277">
        <f>'631'!G76</f>
        <v>170000</v>
      </c>
      <c r="E32" s="277">
        <f>'631'!H76</f>
        <v>170000</v>
      </c>
      <c r="F32" s="277">
        <f>'631'!I76</f>
        <v>170000</v>
      </c>
      <c r="G32" s="277">
        <f>'631'!J76</f>
        <v>170000</v>
      </c>
      <c r="H32" s="277">
        <f>'631'!K76</f>
        <v>170000</v>
      </c>
      <c r="I32" s="277">
        <f>'631'!L76</f>
        <v>170000</v>
      </c>
      <c r="J32" s="277">
        <f>'631'!M76</f>
        <v>170000</v>
      </c>
      <c r="K32" s="277">
        <f>'631'!N76</f>
        <v>170000</v>
      </c>
      <c r="L32" s="277">
        <f>'631'!O76</f>
        <v>170000</v>
      </c>
      <c r="M32" s="277">
        <f>'631'!P76</f>
        <v>0</v>
      </c>
      <c r="N32" s="277">
        <f>'631'!Q76</f>
        <v>0</v>
      </c>
      <c r="O32" s="278">
        <f t="shared" si="0"/>
        <v>2040000</v>
      </c>
      <c r="P32" s="280"/>
      <c r="Q32" s="281"/>
    </row>
    <row r="33" spans="1:17" s="279" customFormat="1">
      <c r="A33" s="229">
        <v>632</v>
      </c>
      <c r="B33" s="229" t="s">
        <v>588</v>
      </c>
      <c r="C33" s="277">
        <f>'632'!F76</f>
        <v>747000</v>
      </c>
      <c r="D33" s="277">
        <f>'632'!G76</f>
        <v>249000</v>
      </c>
      <c r="E33" s="277">
        <f>'632'!H76</f>
        <v>249000</v>
      </c>
      <c r="F33" s="277">
        <f>'632'!I76</f>
        <v>249000</v>
      </c>
      <c r="G33" s="277">
        <f>'632'!J76</f>
        <v>249000</v>
      </c>
      <c r="H33" s="277">
        <f>'632'!K76</f>
        <v>249000</v>
      </c>
      <c r="I33" s="277">
        <f>'632'!L76</f>
        <v>249000</v>
      </c>
      <c r="J33" s="277">
        <f>'632'!M76</f>
        <v>249000</v>
      </c>
      <c r="K33" s="277">
        <f>'632'!N76</f>
        <v>249000</v>
      </c>
      <c r="L33" s="277">
        <f>'632'!O76</f>
        <v>248000</v>
      </c>
      <c r="M33" s="277">
        <f>'632'!P76</f>
        <v>0</v>
      </c>
      <c r="N33" s="277">
        <f>'632'!Q76</f>
        <v>0</v>
      </c>
      <c r="O33" s="278">
        <f t="shared" si="0"/>
        <v>2987000</v>
      </c>
      <c r="P33" s="282"/>
      <c r="Q33" s="281"/>
    </row>
    <row r="34" spans="1:17" s="279" customFormat="1">
      <c r="A34" s="229">
        <v>633</v>
      </c>
      <c r="B34" s="229" t="s">
        <v>589</v>
      </c>
      <c r="C34" s="277">
        <f>'633'!F76</f>
        <v>2655000</v>
      </c>
      <c r="D34" s="277">
        <f>'633'!G76</f>
        <v>879000</v>
      </c>
      <c r="E34" s="277">
        <f>'633'!H76</f>
        <v>879000</v>
      </c>
      <c r="F34" s="277">
        <f>'633'!I76</f>
        <v>879000</v>
      </c>
      <c r="G34" s="277">
        <f>'633'!J76</f>
        <v>879000</v>
      </c>
      <c r="H34" s="277">
        <f>'633'!K76</f>
        <v>879000</v>
      </c>
      <c r="I34" s="277">
        <f>'633'!L76</f>
        <v>879000</v>
      </c>
      <c r="J34" s="277">
        <f>'633'!M76</f>
        <v>879000</v>
      </c>
      <c r="K34" s="277">
        <f>'633'!N76</f>
        <v>879000</v>
      </c>
      <c r="L34" s="277">
        <f>'633'!O76</f>
        <v>872000</v>
      </c>
      <c r="M34" s="277">
        <f>'633'!P76</f>
        <v>0</v>
      </c>
      <c r="N34" s="277">
        <f>'633'!Q76</f>
        <v>0</v>
      </c>
      <c r="O34" s="278">
        <f t="shared" si="0"/>
        <v>10559000</v>
      </c>
      <c r="P34" s="282"/>
      <c r="Q34" s="281"/>
    </row>
    <row r="35" spans="1:17" s="279" customFormat="1">
      <c r="A35" s="229">
        <v>634</v>
      </c>
      <c r="B35" s="229" t="s">
        <v>590</v>
      </c>
      <c r="C35" s="277">
        <f>'634'!F76</f>
        <v>1191000</v>
      </c>
      <c r="D35" s="277">
        <f>'634'!G76</f>
        <v>397000</v>
      </c>
      <c r="E35" s="277">
        <f>'634'!H76</f>
        <v>397000</v>
      </c>
      <c r="F35" s="277">
        <f>'634'!I76</f>
        <v>397000</v>
      </c>
      <c r="G35" s="277">
        <f>'634'!J76</f>
        <v>397000</v>
      </c>
      <c r="H35" s="277">
        <f>'634'!K76</f>
        <v>397000</v>
      </c>
      <c r="I35" s="277">
        <f>'634'!L76</f>
        <v>397000</v>
      </c>
      <c r="J35" s="277">
        <f>'634'!M76</f>
        <v>397000</v>
      </c>
      <c r="K35" s="277">
        <f>'634'!N76</f>
        <v>397000</v>
      </c>
      <c r="L35" s="277">
        <f>'634'!O76</f>
        <v>395000</v>
      </c>
      <c r="M35" s="277">
        <f>'634'!P76</f>
        <v>0</v>
      </c>
      <c r="N35" s="277">
        <f>'634'!Q76</f>
        <v>0</v>
      </c>
      <c r="O35" s="278">
        <f t="shared" si="0"/>
        <v>4762000</v>
      </c>
      <c r="P35" s="282"/>
      <c r="Q35" s="281"/>
    </row>
    <row r="36" spans="1:17" s="279" customFormat="1">
      <c r="A36" s="229">
        <v>635</v>
      </c>
      <c r="B36" s="229" t="s">
        <v>591</v>
      </c>
      <c r="C36" s="277">
        <f>'635'!F76</f>
        <v>609000</v>
      </c>
      <c r="D36" s="277">
        <f>'635'!G76</f>
        <v>203000</v>
      </c>
      <c r="E36" s="277">
        <f>'635'!H76</f>
        <v>203000</v>
      </c>
      <c r="F36" s="277">
        <f>'635'!I76</f>
        <v>203000</v>
      </c>
      <c r="G36" s="277">
        <f>'635'!J76</f>
        <v>203000</v>
      </c>
      <c r="H36" s="277">
        <f>'635'!K76</f>
        <v>203000</v>
      </c>
      <c r="I36" s="277">
        <f>'635'!L76</f>
        <v>203000</v>
      </c>
      <c r="J36" s="277">
        <f>'635'!M76</f>
        <v>203000</v>
      </c>
      <c r="K36" s="277">
        <f>'635'!N76</f>
        <v>203000</v>
      </c>
      <c r="L36" s="277">
        <f>'635'!O76</f>
        <v>204000</v>
      </c>
      <c r="M36" s="277">
        <f>'635'!P76</f>
        <v>0</v>
      </c>
      <c r="N36" s="277">
        <f>'635'!Q76</f>
        <v>0</v>
      </c>
      <c r="O36" s="278">
        <f t="shared" si="0"/>
        <v>2437000</v>
      </c>
      <c r="P36" s="280"/>
      <c r="Q36" s="281"/>
    </row>
    <row r="37" spans="1:17" s="279" customFormat="1">
      <c r="A37" s="229">
        <v>636</v>
      </c>
      <c r="B37" s="229" t="s">
        <v>592</v>
      </c>
      <c r="C37" s="277">
        <f>'636'!F76</f>
        <v>1040000</v>
      </c>
      <c r="D37" s="277">
        <f>'636'!G76</f>
        <v>346000</v>
      </c>
      <c r="E37" s="277">
        <f>'636'!H76</f>
        <v>346000</v>
      </c>
      <c r="F37" s="277">
        <f>'636'!I76</f>
        <v>346000</v>
      </c>
      <c r="G37" s="277">
        <f>'636'!J76</f>
        <v>346000</v>
      </c>
      <c r="H37" s="277">
        <f>'636'!K76</f>
        <v>346000</v>
      </c>
      <c r="I37" s="277">
        <f>'636'!L76</f>
        <v>346000</v>
      </c>
      <c r="J37" s="277">
        <f>'636'!M76</f>
        <v>346000</v>
      </c>
      <c r="K37" s="277">
        <f>'636'!N76</f>
        <v>346000</v>
      </c>
      <c r="L37" s="277">
        <f>'636'!O76</f>
        <v>353000</v>
      </c>
      <c r="M37" s="277">
        <f>'636'!P76</f>
        <v>0</v>
      </c>
      <c r="N37" s="277">
        <f>'636'!Q76</f>
        <v>0</v>
      </c>
      <c r="O37" s="278">
        <f t="shared" si="0"/>
        <v>4161000</v>
      </c>
      <c r="P37" s="280"/>
      <c r="Q37" s="281"/>
    </row>
    <row r="38" spans="1:17" s="279" customFormat="1">
      <c r="A38" s="229">
        <v>638</v>
      </c>
      <c r="B38" s="229" t="s">
        <v>593</v>
      </c>
      <c r="C38" s="277">
        <f>'638'!F76</f>
        <v>338000</v>
      </c>
      <c r="D38" s="277">
        <f>'638'!G76</f>
        <v>106000</v>
      </c>
      <c r="E38" s="277">
        <f>'638'!H76</f>
        <v>106000</v>
      </c>
      <c r="F38" s="277">
        <f>'638'!I76</f>
        <v>106000</v>
      </c>
      <c r="G38" s="277">
        <f>'638'!J76</f>
        <v>106000</v>
      </c>
      <c r="H38" s="277">
        <f>'638'!K76</f>
        <v>106000</v>
      </c>
      <c r="I38" s="277">
        <f>'638'!L76</f>
        <v>106000</v>
      </c>
      <c r="J38" s="277">
        <f>'638'!M76</f>
        <v>106000</v>
      </c>
      <c r="K38" s="277">
        <f>'638'!N76</f>
        <v>106000</v>
      </c>
      <c r="L38" s="277">
        <f>'638'!O76</f>
        <v>108000</v>
      </c>
      <c r="M38" s="277">
        <f>'638'!P76</f>
        <v>0</v>
      </c>
      <c r="N38" s="277">
        <f>'638'!Q76</f>
        <v>0</v>
      </c>
      <c r="O38" s="278">
        <f t="shared" si="0"/>
        <v>1294000</v>
      </c>
      <c r="P38" s="280"/>
      <c r="Q38" s="281"/>
    </row>
    <row r="39" spans="1:17" s="279" customFormat="1">
      <c r="A39" s="229">
        <v>639</v>
      </c>
      <c r="B39" s="229" t="s">
        <v>594</v>
      </c>
      <c r="C39" s="277">
        <f>'639'!F76</f>
        <v>1447000</v>
      </c>
      <c r="D39" s="277">
        <f>'639'!G76</f>
        <v>482000</v>
      </c>
      <c r="E39" s="277">
        <f>'639'!H76</f>
        <v>482000</v>
      </c>
      <c r="F39" s="277">
        <f>'639'!I76</f>
        <v>482000</v>
      </c>
      <c r="G39" s="277">
        <f>'639'!J76</f>
        <v>482000</v>
      </c>
      <c r="H39" s="277">
        <f>'639'!K76</f>
        <v>482000</v>
      </c>
      <c r="I39" s="277">
        <f>'639'!L76</f>
        <v>482000</v>
      </c>
      <c r="J39" s="277">
        <f>'639'!M76</f>
        <v>482000</v>
      </c>
      <c r="K39" s="277">
        <f>'639'!N76</f>
        <v>482000</v>
      </c>
      <c r="L39" s="277">
        <f>'639'!O76</f>
        <v>484000</v>
      </c>
      <c r="M39" s="277">
        <f>'639'!P76</f>
        <v>0</v>
      </c>
      <c r="N39" s="277">
        <f>'639'!Q76</f>
        <v>0</v>
      </c>
      <c r="O39" s="278">
        <f t="shared" si="0"/>
        <v>5787000</v>
      </c>
      <c r="P39" s="280"/>
      <c r="Q39" s="281"/>
    </row>
    <row r="40" spans="1:17" s="279" customFormat="1">
      <c r="A40" s="229">
        <v>641</v>
      </c>
      <c r="B40" s="229" t="s">
        <v>595</v>
      </c>
      <c r="C40" s="277">
        <f>'641'!F76</f>
        <v>1588000</v>
      </c>
      <c r="D40" s="277">
        <f>'641'!G76</f>
        <v>529000</v>
      </c>
      <c r="E40" s="277">
        <f>'641'!H76</f>
        <v>529000</v>
      </c>
      <c r="F40" s="277">
        <f>'641'!I76</f>
        <v>529000</v>
      </c>
      <c r="G40" s="277">
        <f>'641'!J76</f>
        <v>529000</v>
      </c>
      <c r="H40" s="277">
        <f>'641'!K76</f>
        <v>529000</v>
      </c>
      <c r="I40" s="277">
        <f>'641'!L76</f>
        <v>529000</v>
      </c>
      <c r="J40" s="277">
        <f>'641'!M76</f>
        <v>529000</v>
      </c>
      <c r="K40" s="277">
        <f>'641'!N76</f>
        <v>529000</v>
      </c>
      <c r="L40" s="277">
        <f>'641'!O76</f>
        <v>532000</v>
      </c>
      <c r="M40" s="277">
        <f>'641'!P76</f>
        <v>0</v>
      </c>
      <c r="N40" s="277">
        <f>'641'!Q76</f>
        <v>0</v>
      </c>
      <c r="O40" s="278">
        <f t="shared" si="0"/>
        <v>6352000</v>
      </c>
      <c r="P40" s="280"/>
      <c r="Q40" s="281"/>
    </row>
    <row r="41" spans="1:17" s="279" customFormat="1">
      <c r="A41" s="229">
        <v>642</v>
      </c>
      <c r="B41" s="229" t="s">
        <v>596</v>
      </c>
      <c r="C41" s="277">
        <f>'642'!F76</f>
        <v>1454000</v>
      </c>
      <c r="D41" s="277">
        <f>'642'!G76</f>
        <v>484000</v>
      </c>
      <c r="E41" s="277">
        <f>'642'!H76</f>
        <v>484000</v>
      </c>
      <c r="F41" s="277">
        <f>'642'!I76</f>
        <v>484000</v>
      </c>
      <c r="G41" s="277">
        <f>'642'!J76</f>
        <v>484000</v>
      </c>
      <c r="H41" s="277">
        <f>'642'!K76</f>
        <v>484000</v>
      </c>
      <c r="I41" s="277">
        <f>'642'!L76</f>
        <v>484000</v>
      </c>
      <c r="J41" s="277">
        <f>'642'!M76</f>
        <v>484000</v>
      </c>
      <c r="K41" s="277">
        <f>'642'!N76</f>
        <v>484000</v>
      </c>
      <c r="L41" s="277">
        <f>'642'!O76</f>
        <v>487000</v>
      </c>
      <c r="M41" s="277">
        <f>'642'!P76</f>
        <v>0</v>
      </c>
      <c r="N41" s="277">
        <f>'642'!Q78</f>
        <v>0</v>
      </c>
      <c r="O41" s="278">
        <f t="shared" si="0"/>
        <v>5813000</v>
      </c>
      <c r="P41" s="280"/>
      <c r="Q41" s="281"/>
    </row>
    <row r="42" spans="1:17" s="279" customFormat="1">
      <c r="A42" s="229">
        <v>645</v>
      </c>
      <c r="B42" s="229" t="s">
        <v>597</v>
      </c>
      <c r="C42" s="277">
        <f>'645'!F76</f>
        <v>1698000</v>
      </c>
      <c r="D42" s="277">
        <f>'645'!G76</f>
        <v>566000</v>
      </c>
      <c r="E42" s="277">
        <f>'645'!H76</f>
        <v>566000</v>
      </c>
      <c r="F42" s="277">
        <f>'645'!I76</f>
        <v>566000</v>
      </c>
      <c r="G42" s="277">
        <f>'645'!J76</f>
        <v>566000</v>
      </c>
      <c r="H42" s="277">
        <f>'645'!K76</f>
        <v>566000</v>
      </c>
      <c r="I42" s="277">
        <f>'645'!L76</f>
        <v>566000</v>
      </c>
      <c r="J42" s="277">
        <f>'645'!M76</f>
        <v>566000</v>
      </c>
      <c r="K42" s="277">
        <f>'645'!N76</f>
        <v>566000</v>
      </c>
      <c r="L42" s="277">
        <f>'645'!O76</f>
        <v>565000</v>
      </c>
      <c r="M42" s="277">
        <f>'645'!P76</f>
        <v>0</v>
      </c>
      <c r="N42" s="277">
        <f>'645'!Q76</f>
        <v>0</v>
      </c>
      <c r="O42" s="278">
        <f t="shared" si="0"/>
        <v>6791000</v>
      </c>
      <c r="P42" s="280"/>
      <c r="Q42" s="281"/>
    </row>
    <row r="43" spans="1:17" s="279" customFormat="1">
      <c r="A43" s="229">
        <v>647</v>
      </c>
      <c r="B43" s="229" t="s">
        <v>598</v>
      </c>
      <c r="C43" s="277">
        <f>'647'!F76</f>
        <v>1908000</v>
      </c>
      <c r="D43" s="277">
        <f>'647'!G76</f>
        <v>636000</v>
      </c>
      <c r="E43" s="277">
        <f>'647'!H76</f>
        <v>636000</v>
      </c>
      <c r="F43" s="277">
        <f>'647'!I76</f>
        <v>636000</v>
      </c>
      <c r="G43" s="277">
        <f>'647'!J76</f>
        <v>636000</v>
      </c>
      <c r="H43" s="277">
        <f>'647'!K76</f>
        <v>636000</v>
      </c>
      <c r="I43" s="277">
        <f>'647'!L76</f>
        <v>636000</v>
      </c>
      <c r="J43" s="277">
        <f>'647'!M76</f>
        <v>636000</v>
      </c>
      <c r="K43" s="277">
        <f>'647'!N76</f>
        <v>636000</v>
      </c>
      <c r="L43" s="277">
        <f>'647'!O76</f>
        <v>632000</v>
      </c>
      <c r="M43" s="277">
        <f>'647'!P76</f>
        <v>0</v>
      </c>
      <c r="N43" s="277">
        <f>'647'!Q76</f>
        <v>0</v>
      </c>
      <c r="O43" s="278">
        <f t="shared" si="0"/>
        <v>7628000</v>
      </c>
      <c r="P43" s="280"/>
      <c r="Q43" s="281"/>
    </row>
    <row r="44" spans="1:17" s="279" customFormat="1">
      <c r="A44" s="229">
        <v>648</v>
      </c>
      <c r="B44" s="229" t="s">
        <v>599</v>
      </c>
      <c r="C44" s="277">
        <f>'648'!F76</f>
        <v>726000</v>
      </c>
      <c r="D44" s="277">
        <f>'648'!G76</f>
        <v>242000</v>
      </c>
      <c r="E44" s="277">
        <f>'648'!H76</f>
        <v>242000</v>
      </c>
      <c r="F44" s="277">
        <f>'648'!I76</f>
        <v>242000</v>
      </c>
      <c r="G44" s="277">
        <f>'648'!J76</f>
        <v>242000</v>
      </c>
      <c r="H44" s="277">
        <f>'648'!K76</f>
        <v>242000</v>
      </c>
      <c r="I44" s="277">
        <f>'648'!L76</f>
        <v>242000</v>
      </c>
      <c r="J44" s="277">
        <f>'648'!M76</f>
        <v>242000</v>
      </c>
      <c r="K44" s="277">
        <f>'648'!N76</f>
        <v>242000</v>
      </c>
      <c r="L44" s="277">
        <f>'648'!O76</f>
        <v>241000</v>
      </c>
      <c r="M44" s="277">
        <f>'648'!P76</f>
        <v>0</v>
      </c>
      <c r="N44" s="277">
        <f>'648'!Q76</f>
        <v>0</v>
      </c>
      <c r="O44" s="278">
        <f t="shared" si="0"/>
        <v>2903000</v>
      </c>
      <c r="P44" s="280"/>
      <c r="Q44" s="281"/>
    </row>
    <row r="45" spans="1:17" s="279" customFormat="1">
      <c r="A45" s="229">
        <v>649</v>
      </c>
      <c r="B45" s="229" t="s">
        <v>600</v>
      </c>
      <c r="C45" s="277">
        <f>'649'!F76</f>
        <v>200000</v>
      </c>
      <c r="D45" s="277">
        <f>'649'!G76</f>
        <v>67000</v>
      </c>
      <c r="E45" s="277">
        <f>'649'!H76</f>
        <v>67000</v>
      </c>
      <c r="F45" s="277">
        <f>'649'!I76</f>
        <v>67000</v>
      </c>
      <c r="G45" s="277">
        <f>'649'!J76</f>
        <v>67000</v>
      </c>
      <c r="H45" s="277">
        <f>'649'!K76</f>
        <v>67000</v>
      </c>
      <c r="I45" s="277">
        <f>'649'!L76</f>
        <v>67000</v>
      </c>
      <c r="J45" s="277">
        <f>'649'!M76</f>
        <v>67000</v>
      </c>
      <c r="K45" s="277">
        <f>'649'!N76</f>
        <v>67000</v>
      </c>
      <c r="L45" s="277">
        <f>'649'!O76</f>
        <v>65000</v>
      </c>
      <c r="M45" s="277">
        <f>'649'!P76</f>
        <v>0</v>
      </c>
      <c r="N45" s="277">
        <f>'649'!Q76</f>
        <v>0</v>
      </c>
      <c r="O45" s="278">
        <f t="shared" si="0"/>
        <v>801000</v>
      </c>
      <c r="P45" s="280"/>
      <c r="Q45" s="281"/>
    </row>
    <row r="46" spans="1:17" s="279" customFormat="1">
      <c r="A46" s="229">
        <v>650</v>
      </c>
      <c r="B46" s="229" t="s">
        <v>601</v>
      </c>
      <c r="C46" s="277">
        <f>'650'!F76</f>
        <v>177000</v>
      </c>
      <c r="D46" s="277">
        <f>'650'!G76</f>
        <v>59000</v>
      </c>
      <c r="E46" s="277">
        <f>'650'!H76</f>
        <v>59000</v>
      </c>
      <c r="F46" s="277">
        <f>'650'!I76</f>
        <v>59000</v>
      </c>
      <c r="G46" s="277">
        <f>'650'!J76</f>
        <v>59000</v>
      </c>
      <c r="H46" s="277">
        <f>'650'!K76</f>
        <v>59000</v>
      </c>
      <c r="I46" s="277">
        <f>'650'!L76</f>
        <v>59000</v>
      </c>
      <c r="J46" s="277">
        <f>'650'!M76</f>
        <v>59000</v>
      </c>
      <c r="K46" s="277">
        <f>'650'!N76</f>
        <v>59000</v>
      </c>
      <c r="L46" s="277">
        <f>'650'!O76</f>
        <v>57000</v>
      </c>
      <c r="M46" s="277">
        <f>'650'!P76</f>
        <v>0</v>
      </c>
      <c r="N46" s="277">
        <f>'650'!Q76</f>
        <v>0</v>
      </c>
      <c r="O46" s="278">
        <f t="shared" si="0"/>
        <v>706000</v>
      </c>
      <c r="P46" s="280"/>
      <c r="Q46" s="281"/>
    </row>
    <row r="47" spans="1:17" s="279" customFormat="1">
      <c r="A47" s="229">
        <v>651</v>
      </c>
      <c r="B47" s="229" t="s">
        <v>602</v>
      </c>
      <c r="C47" s="277">
        <f>'651'!F76</f>
        <v>681000</v>
      </c>
      <c r="D47" s="277">
        <f>'651'!G76</f>
        <v>227000</v>
      </c>
      <c r="E47" s="277">
        <f>'651'!H76</f>
        <v>227000</v>
      </c>
      <c r="F47" s="277">
        <f>'651'!I76</f>
        <v>227000</v>
      </c>
      <c r="G47" s="277">
        <f>'651'!J76</f>
        <v>227000</v>
      </c>
      <c r="H47" s="277">
        <f>'651'!K76</f>
        <v>227000</v>
      </c>
      <c r="I47" s="277">
        <f>'651'!L76</f>
        <v>227000</v>
      </c>
      <c r="J47" s="277">
        <f>'651'!M76</f>
        <v>227000</v>
      </c>
      <c r="K47" s="277">
        <f>'651'!N76</f>
        <v>227000</v>
      </c>
      <c r="L47" s="277">
        <f>'651'!O76</f>
        <v>227000</v>
      </c>
      <c r="M47" s="277">
        <f>'651'!P76</f>
        <v>0</v>
      </c>
      <c r="N47" s="277">
        <f>'651'!Q76</f>
        <v>0</v>
      </c>
      <c r="O47" s="278">
        <f t="shared" si="0"/>
        <v>2724000</v>
      </c>
      <c r="P47" s="280"/>
      <c r="Q47" s="281"/>
    </row>
    <row r="48" spans="1:17" s="279" customFormat="1">
      <c r="A48" s="229">
        <v>652</v>
      </c>
      <c r="B48" s="229" t="s">
        <v>603</v>
      </c>
      <c r="C48" s="277">
        <f>'652'!F76</f>
        <v>665000</v>
      </c>
      <c r="D48" s="277">
        <f>'652'!G76</f>
        <v>221000</v>
      </c>
      <c r="E48" s="277">
        <f>'652'!H76</f>
        <v>221000</v>
      </c>
      <c r="F48" s="277">
        <f>'652'!I76</f>
        <v>221000</v>
      </c>
      <c r="G48" s="277">
        <f>'652'!J76</f>
        <v>221000</v>
      </c>
      <c r="H48" s="277">
        <f>'652'!K76</f>
        <v>221000</v>
      </c>
      <c r="I48" s="277">
        <f>'652'!L76</f>
        <v>221000</v>
      </c>
      <c r="J48" s="277">
        <f>'652'!M76</f>
        <v>221000</v>
      </c>
      <c r="K48" s="277">
        <f>'652'!N76</f>
        <v>221000</v>
      </c>
      <c r="L48" s="277">
        <f>'652'!O76</f>
        <v>226000</v>
      </c>
      <c r="M48" s="277">
        <f>'652'!P76</f>
        <v>0</v>
      </c>
      <c r="N48" s="277">
        <f>'652'!Q76</f>
        <v>0</v>
      </c>
      <c r="O48" s="278">
        <f t="shared" si="0"/>
        <v>2659000</v>
      </c>
      <c r="P48" s="280"/>
      <c r="Q48" s="281"/>
    </row>
    <row r="49" spans="1:17" s="279" customFormat="1">
      <c r="A49" s="229">
        <v>653</v>
      </c>
      <c r="B49" s="229" t="s">
        <v>604</v>
      </c>
      <c r="C49" s="277">
        <f>'653'!F76</f>
        <v>200000</v>
      </c>
      <c r="D49" s="277">
        <f>'653'!G76</f>
        <v>60000</v>
      </c>
      <c r="E49" s="277">
        <f>'653'!H76</f>
        <v>60000</v>
      </c>
      <c r="F49" s="277">
        <f>'653'!I76</f>
        <v>60000</v>
      </c>
      <c r="G49" s="277">
        <f>'653'!J76</f>
        <v>60000</v>
      </c>
      <c r="H49" s="277">
        <f>'653'!K76</f>
        <v>60000</v>
      </c>
      <c r="I49" s="277">
        <f>'653'!L76</f>
        <v>60000</v>
      </c>
      <c r="J49" s="277">
        <f>'653'!M76</f>
        <v>60000</v>
      </c>
      <c r="K49" s="277">
        <f>'653'!N76</f>
        <v>60000</v>
      </c>
      <c r="L49" s="277">
        <f>'653'!O76</f>
        <v>60000</v>
      </c>
      <c r="M49" s="277">
        <f>'653'!P76</f>
        <v>0</v>
      </c>
      <c r="N49" s="277">
        <f>'653'!Q76</f>
        <v>0</v>
      </c>
      <c r="O49" s="278">
        <f t="shared" si="0"/>
        <v>740000</v>
      </c>
      <c r="P49" s="280"/>
      <c r="Q49" s="281"/>
    </row>
    <row r="50" spans="1:17" s="279" customFormat="1">
      <c r="A50" s="229">
        <v>654</v>
      </c>
      <c r="B50" s="229" t="s">
        <v>605</v>
      </c>
      <c r="C50" s="277">
        <f>'654'!F76</f>
        <v>367000</v>
      </c>
      <c r="D50" s="277">
        <f>'654'!G76</f>
        <v>122000</v>
      </c>
      <c r="E50" s="277">
        <f>'654'!H76</f>
        <v>122000</v>
      </c>
      <c r="F50" s="277">
        <f>'654'!I76</f>
        <v>122000</v>
      </c>
      <c r="G50" s="277">
        <f>'654'!J76</f>
        <v>122000</v>
      </c>
      <c r="H50" s="277">
        <f>'654'!K76</f>
        <v>122000</v>
      </c>
      <c r="I50" s="277">
        <f>'654'!L76</f>
        <v>122000</v>
      </c>
      <c r="J50" s="277">
        <f>'654'!M76</f>
        <v>122000</v>
      </c>
      <c r="K50" s="277">
        <f>'654'!N76</f>
        <v>122000</v>
      </c>
      <c r="L50" s="277">
        <f>'654'!O76</f>
        <v>123000</v>
      </c>
      <c r="M50" s="277">
        <f>'654'!P76</f>
        <v>0</v>
      </c>
      <c r="N50" s="277">
        <f>'654'!Q76</f>
        <v>0</v>
      </c>
      <c r="O50" s="278">
        <f t="shared" si="0"/>
        <v>1466000</v>
      </c>
      <c r="P50" s="280"/>
      <c r="Q50" s="281"/>
    </row>
    <row r="51" spans="1:17" s="279" customFormat="1">
      <c r="A51" s="229">
        <v>655</v>
      </c>
      <c r="B51" s="229" t="s">
        <v>606</v>
      </c>
      <c r="C51" s="277">
        <f>'655'!F76</f>
        <v>185000</v>
      </c>
      <c r="D51" s="277">
        <f>'655'!G76</f>
        <v>62000</v>
      </c>
      <c r="E51" s="277">
        <f>'655'!H76</f>
        <v>62000</v>
      </c>
      <c r="F51" s="277">
        <f>'655'!I76</f>
        <v>62000</v>
      </c>
      <c r="G51" s="277">
        <f>'655'!J76</f>
        <v>62000</v>
      </c>
      <c r="H51" s="277">
        <f>'655'!K76</f>
        <v>62000</v>
      </c>
      <c r="I51" s="277">
        <f>'655'!L76</f>
        <v>62000</v>
      </c>
      <c r="J51" s="277">
        <f>'655'!M76</f>
        <v>62000</v>
      </c>
      <c r="K51" s="277">
        <f>'655'!N76</f>
        <v>62000</v>
      </c>
      <c r="L51" s="277">
        <f>'655'!O76</f>
        <v>60000</v>
      </c>
      <c r="M51" s="277">
        <f>'655'!P76</f>
        <v>0</v>
      </c>
      <c r="N51" s="277">
        <f>'655'!Q76</f>
        <v>0</v>
      </c>
      <c r="O51" s="278">
        <f t="shared" si="0"/>
        <v>741000</v>
      </c>
      <c r="P51" s="280"/>
      <c r="Q51" s="281"/>
    </row>
    <row r="52" spans="1:17" s="279" customFormat="1">
      <c r="A52" s="229">
        <v>656</v>
      </c>
      <c r="B52" s="229" t="s">
        <v>607</v>
      </c>
      <c r="C52" s="277">
        <f>'656'!F76</f>
        <v>129000</v>
      </c>
      <c r="D52" s="277">
        <f>'656'!G76</f>
        <v>43000</v>
      </c>
      <c r="E52" s="277">
        <f>'656'!H76</f>
        <v>43000</v>
      </c>
      <c r="F52" s="277">
        <f>'656'!I76</f>
        <v>43000</v>
      </c>
      <c r="G52" s="277">
        <f>'656'!J76</f>
        <v>43000</v>
      </c>
      <c r="H52" s="277">
        <f>'656'!K76</f>
        <v>43000</v>
      </c>
      <c r="I52" s="277">
        <f>'656'!L76</f>
        <v>43000</v>
      </c>
      <c r="J52" s="277">
        <f>'656'!M76</f>
        <v>43000</v>
      </c>
      <c r="K52" s="277">
        <f>'656'!N76</f>
        <v>43000</v>
      </c>
      <c r="L52" s="277">
        <f>'656'!O76</f>
        <v>43000</v>
      </c>
      <c r="M52" s="277">
        <f>'656'!P76</f>
        <v>0</v>
      </c>
      <c r="N52" s="277">
        <f>'656'!Q76</f>
        <v>0</v>
      </c>
      <c r="O52" s="278">
        <f t="shared" si="0"/>
        <v>516000</v>
      </c>
      <c r="P52" s="280"/>
      <c r="Q52" s="281"/>
    </row>
    <row r="53" spans="1:17" s="279" customFormat="1">
      <c r="A53" s="229">
        <v>657</v>
      </c>
      <c r="B53" s="229" t="s">
        <v>608</v>
      </c>
      <c r="C53" s="277">
        <f>'657'!F76</f>
        <v>638000</v>
      </c>
      <c r="D53" s="277">
        <f>'657'!G76</f>
        <v>213000</v>
      </c>
      <c r="E53" s="277">
        <f>'657'!H76</f>
        <v>213000</v>
      </c>
      <c r="F53" s="277">
        <f>'657'!I76</f>
        <v>213000</v>
      </c>
      <c r="G53" s="277">
        <f>'657'!J76</f>
        <v>213000</v>
      </c>
      <c r="H53" s="277">
        <f>'657'!K76</f>
        <v>213000</v>
      </c>
      <c r="I53" s="277">
        <f>'657'!L76</f>
        <v>213000</v>
      </c>
      <c r="J53" s="277">
        <f>'657'!M76</f>
        <v>213000</v>
      </c>
      <c r="K53" s="277">
        <f>'657'!N76</f>
        <v>213000</v>
      </c>
      <c r="L53" s="277">
        <f>'657'!O76</f>
        <v>211000</v>
      </c>
      <c r="M53" s="277">
        <f>'657'!P76</f>
        <v>0</v>
      </c>
      <c r="N53" s="277">
        <f>'657'!Q78</f>
        <v>0</v>
      </c>
      <c r="O53" s="278">
        <f t="shared" si="0"/>
        <v>2553000</v>
      </c>
      <c r="P53" s="280"/>
      <c r="Q53" s="281"/>
    </row>
    <row r="54" spans="1:17" s="279" customFormat="1">
      <c r="A54" s="229">
        <v>658</v>
      </c>
      <c r="B54" s="229" t="s">
        <v>609</v>
      </c>
      <c r="C54" s="277">
        <f>'658'!F76</f>
        <v>2437000</v>
      </c>
      <c r="D54" s="277">
        <f>'658'!G76</f>
        <v>812000</v>
      </c>
      <c r="E54" s="277">
        <f>'658'!H76</f>
        <v>812000</v>
      </c>
      <c r="F54" s="277">
        <f>'658'!I76</f>
        <v>812000</v>
      </c>
      <c r="G54" s="277">
        <f>'658'!J76</f>
        <v>812000</v>
      </c>
      <c r="H54" s="277">
        <f>'658'!K76</f>
        <v>812000</v>
      </c>
      <c r="I54" s="277">
        <f>'658'!L76</f>
        <v>812000</v>
      </c>
      <c r="J54" s="277">
        <f>'658'!M76</f>
        <v>812000</v>
      </c>
      <c r="K54" s="277">
        <f>'658'!N76</f>
        <v>812000</v>
      </c>
      <c r="L54" s="277">
        <f>'658'!O76</f>
        <v>816000</v>
      </c>
      <c r="M54" s="277">
        <f>'658'!P76</f>
        <v>0</v>
      </c>
      <c r="N54" s="277">
        <f>'658'!Q76</f>
        <v>0</v>
      </c>
      <c r="O54" s="278">
        <f t="shared" si="0"/>
        <v>9749000</v>
      </c>
      <c r="P54" s="280"/>
      <c r="Q54" s="281"/>
    </row>
    <row r="55" spans="1:17" s="279" customFormat="1">
      <c r="A55" s="229">
        <v>659</v>
      </c>
      <c r="B55" s="229" t="s">
        <v>610</v>
      </c>
      <c r="C55" s="277">
        <f>'659'!F76</f>
        <v>1369000</v>
      </c>
      <c r="D55" s="277">
        <f>'659'!G76</f>
        <v>456000</v>
      </c>
      <c r="E55" s="277">
        <f>'659'!H76</f>
        <v>456000</v>
      </c>
      <c r="F55" s="277">
        <f>'659'!I76</f>
        <v>456000</v>
      </c>
      <c r="G55" s="277">
        <f>'659'!J76</f>
        <v>456000</v>
      </c>
      <c r="H55" s="277">
        <f>'659'!K76</f>
        <v>456000</v>
      </c>
      <c r="I55" s="277">
        <f>'659'!L76</f>
        <v>456000</v>
      </c>
      <c r="J55" s="277">
        <f>'659'!M76</f>
        <v>456000</v>
      </c>
      <c r="K55" s="277">
        <f>'659'!N76</f>
        <v>456000</v>
      </c>
      <c r="L55" s="277">
        <f>'659'!O76</f>
        <v>458000</v>
      </c>
      <c r="M55" s="277">
        <f>'659'!P76</f>
        <v>0</v>
      </c>
      <c r="N55" s="277">
        <f>'659'!Q76</f>
        <v>0</v>
      </c>
      <c r="O55" s="278">
        <f t="shared" si="0"/>
        <v>5475000</v>
      </c>
      <c r="P55" s="280"/>
      <c r="Q55" s="281"/>
    </row>
    <row r="56" spans="1:17" s="279" customFormat="1">
      <c r="A56" s="229">
        <v>660</v>
      </c>
      <c r="B56" s="229" t="s">
        <v>611</v>
      </c>
      <c r="C56" s="277">
        <f>'660'!F76</f>
        <v>874000</v>
      </c>
      <c r="D56" s="277">
        <f>'660'!G76</f>
        <v>292000</v>
      </c>
      <c r="E56" s="277">
        <f>'660'!H76</f>
        <v>292000</v>
      </c>
      <c r="F56" s="277">
        <f>'660'!I76</f>
        <v>292000</v>
      </c>
      <c r="G56" s="277">
        <f>'660'!J76</f>
        <v>292000</v>
      </c>
      <c r="H56" s="277">
        <f>'660'!K76</f>
        <v>292000</v>
      </c>
      <c r="I56" s="277">
        <f>'660'!L76</f>
        <v>292000</v>
      </c>
      <c r="J56" s="277">
        <f>'660'!M76</f>
        <v>292000</v>
      </c>
      <c r="K56" s="277">
        <f>'660'!N76</f>
        <v>292000</v>
      </c>
      <c r="L56" s="277">
        <f>'660'!O76</f>
        <v>287000</v>
      </c>
      <c r="M56" s="277">
        <f>'660'!P76</f>
        <v>0</v>
      </c>
      <c r="N56" s="277">
        <f>'660'!Q76</f>
        <v>0</v>
      </c>
      <c r="O56" s="278">
        <f t="shared" si="0"/>
        <v>3497000</v>
      </c>
      <c r="P56" s="280"/>
      <c r="Q56" s="281"/>
    </row>
    <row r="57" spans="1:17" s="279" customFormat="1">
      <c r="A57" s="229">
        <v>661</v>
      </c>
      <c r="B57" s="229" t="s">
        <v>612</v>
      </c>
      <c r="C57" s="277">
        <f>'661'!F76</f>
        <v>318000</v>
      </c>
      <c r="D57" s="277">
        <f>'661'!G76</f>
        <v>106000</v>
      </c>
      <c r="E57" s="277">
        <f>'661'!H76</f>
        <v>106000</v>
      </c>
      <c r="F57" s="277">
        <f>'661'!I76</f>
        <v>106000</v>
      </c>
      <c r="G57" s="277">
        <f>'661'!J76</f>
        <v>106000</v>
      </c>
      <c r="H57" s="277">
        <f>'661'!K76</f>
        <v>106000</v>
      </c>
      <c r="I57" s="277">
        <f>'661'!L76</f>
        <v>106000</v>
      </c>
      <c r="J57" s="277">
        <f>'661'!M76</f>
        <v>106000</v>
      </c>
      <c r="K57" s="277">
        <f>'661'!N76</f>
        <v>106000</v>
      </c>
      <c r="L57" s="277">
        <f>'661'!O76</f>
        <v>104000</v>
      </c>
      <c r="M57" s="277">
        <f>'661'!P76</f>
        <v>0</v>
      </c>
      <c r="N57" s="277">
        <f>'661'!Q76</f>
        <v>0</v>
      </c>
      <c r="O57" s="278">
        <f t="shared" si="0"/>
        <v>1270000</v>
      </c>
      <c r="P57" s="280"/>
      <c r="Q57" s="281"/>
    </row>
    <row r="58" spans="1:17" s="279" customFormat="1">
      <c r="A58" s="229">
        <v>662</v>
      </c>
      <c r="B58" s="229" t="s">
        <v>613</v>
      </c>
      <c r="C58" s="277">
        <f>'662'!F76</f>
        <v>474000</v>
      </c>
      <c r="D58" s="277">
        <f>'662'!G76</f>
        <v>158000</v>
      </c>
      <c r="E58" s="277">
        <f>'662'!H76</f>
        <v>158000</v>
      </c>
      <c r="F58" s="277">
        <f>'662'!I76</f>
        <v>158000</v>
      </c>
      <c r="G58" s="277">
        <f>'662'!J76</f>
        <v>158000</v>
      </c>
      <c r="H58" s="277">
        <f>'662'!K76</f>
        <v>158000</v>
      </c>
      <c r="I58" s="277">
        <f>'662'!L76</f>
        <v>158000</v>
      </c>
      <c r="J58" s="277">
        <f>'662'!M76</f>
        <v>158000</v>
      </c>
      <c r="K58" s="277">
        <f>'662'!N76</f>
        <v>158000</v>
      </c>
      <c r="L58" s="277">
        <f>'662'!O76</f>
        <v>159000</v>
      </c>
      <c r="M58" s="277">
        <f>'662'!P76</f>
        <v>0</v>
      </c>
      <c r="N58" s="277">
        <f>'662'!Q76</f>
        <v>0</v>
      </c>
      <c r="O58" s="278">
        <f t="shared" si="0"/>
        <v>1897000</v>
      </c>
      <c r="P58" s="280"/>
      <c r="Q58" s="281"/>
    </row>
    <row r="59" spans="1:17" s="279" customFormat="1">
      <c r="A59" s="229">
        <v>663</v>
      </c>
      <c r="B59" s="229" t="s">
        <v>614</v>
      </c>
      <c r="C59" s="277">
        <f>'663'!F76</f>
        <v>302000</v>
      </c>
      <c r="D59" s="277">
        <f>'663'!G76</f>
        <v>101000</v>
      </c>
      <c r="E59" s="277">
        <f>'663'!H76</f>
        <v>101000</v>
      </c>
      <c r="F59" s="277">
        <f>'663'!I76</f>
        <v>101000</v>
      </c>
      <c r="G59" s="277">
        <f>'663'!J76</f>
        <v>101000</v>
      </c>
      <c r="H59" s="277">
        <f>'663'!K76</f>
        <v>101000</v>
      </c>
      <c r="I59" s="277">
        <f>'663'!L76</f>
        <v>101000</v>
      </c>
      <c r="J59" s="277">
        <f>'663'!M76</f>
        <v>101000</v>
      </c>
      <c r="K59" s="277">
        <f>'663'!N76</f>
        <v>101000</v>
      </c>
      <c r="L59" s="277">
        <f>'663'!O76</f>
        <v>100000</v>
      </c>
      <c r="M59" s="277">
        <f>'663'!P76</f>
        <v>0</v>
      </c>
      <c r="N59" s="277">
        <f>'663'!Q76</f>
        <v>0</v>
      </c>
      <c r="O59" s="278">
        <f t="shared" si="0"/>
        <v>1210000</v>
      </c>
      <c r="P59" s="280"/>
      <c r="Q59" s="281"/>
    </row>
    <row r="60" spans="1:17" s="279" customFormat="1">
      <c r="A60" s="229">
        <v>664</v>
      </c>
      <c r="B60" s="229" t="s">
        <v>615</v>
      </c>
      <c r="C60" s="277">
        <f>'664'!F76</f>
        <v>194000</v>
      </c>
      <c r="D60" s="277">
        <f>'664'!G76</f>
        <v>64000</v>
      </c>
      <c r="E60" s="277">
        <f>'664'!H76</f>
        <v>64000</v>
      </c>
      <c r="F60" s="277">
        <f>'664'!I76</f>
        <v>64000</v>
      </c>
      <c r="G60" s="277">
        <f>'664'!J76</f>
        <v>64000</v>
      </c>
      <c r="H60" s="277">
        <f>'664'!K76</f>
        <v>64000</v>
      </c>
      <c r="I60" s="277">
        <f>'664'!L76</f>
        <v>64000</v>
      </c>
      <c r="J60" s="277">
        <f>'664'!M76</f>
        <v>64000</v>
      </c>
      <c r="K60" s="277">
        <f>'664'!N76</f>
        <v>64000</v>
      </c>
      <c r="L60" s="277">
        <f>'664'!O76</f>
        <v>69000</v>
      </c>
      <c r="M60" s="277">
        <f>'664'!P76</f>
        <v>0</v>
      </c>
      <c r="N60" s="277">
        <f>'664'!Q76</f>
        <v>0</v>
      </c>
      <c r="O60" s="278">
        <f t="shared" si="0"/>
        <v>775000</v>
      </c>
      <c r="P60" s="280"/>
      <c r="Q60" s="281"/>
    </row>
    <row r="61" spans="1:17" s="279" customFormat="1">
      <c r="A61" s="229">
        <v>665</v>
      </c>
      <c r="B61" s="229" t="s">
        <v>616</v>
      </c>
      <c r="C61" s="277">
        <f>'665'!F76</f>
        <v>1289000</v>
      </c>
      <c r="D61" s="277">
        <f>'665'!G76</f>
        <v>429000</v>
      </c>
      <c r="E61" s="277">
        <f>'665'!H76</f>
        <v>429000</v>
      </c>
      <c r="F61" s="277">
        <f>'665'!I76</f>
        <v>429000</v>
      </c>
      <c r="G61" s="277">
        <f>'665'!J76</f>
        <v>429000</v>
      </c>
      <c r="H61" s="277">
        <f>'665'!K76</f>
        <v>429000</v>
      </c>
      <c r="I61" s="277">
        <f>'665'!L76</f>
        <v>429000</v>
      </c>
      <c r="J61" s="277">
        <f>'665'!M76</f>
        <v>429000</v>
      </c>
      <c r="K61" s="277">
        <f>'665'!N76</f>
        <v>429000</v>
      </c>
      <c r="L61" s="277">
        <f>'665'!O76</f>
        <v>433000</v>
      </c>
      <c r="M61" s="277">
        <f>'665'!P76</f>
        <v>0</v>
      </c>
      <c r="N61" s="277">
        <f>'665'!Q76</f>
        <v>0</v>
      </c>
      <c r="O61" s="278">
        <f t="shared" si="0"/>
        <v>5154000</v>
      </c>
      <c r="P61" s="280"/>
      <c r="Q61" s="281"/>
    </row>
    <row r="62" spans="1:17" s="279" customFormat="1">
      <c r="A62" s="229">
        <v>666</v>
      </c>
      <c r="B62" s="229" t="s">
        <v>617</v>
      </c>
      <c r="C62" s="277">
        <f>'666'!F76</f>
        <v>251000</v>
      </c>
      <c r="D62" s="277">
        <f>'666'!G76</f>
        <v>84000</v>
      </c>
      <c r="E62" s="277">
        <f>'666'!H76</f>
        <v>84000</v>
      </c>
      <c r="F62" s="277">
        <f>'666'!I76</f>
        <v>84000</v>
      </c>
      <c r="G62" s="277">
        <f>'666'!J76</f>
        <v>84000</v>
      </c>
      <c r="H62" s="277">
        <f>'666'!K76</f>
        <v>84000</v>
      </c>
      <c r="I62" s="277">
        <f>'666'!L76</f>
        <v>84000</v>
      </c>
      <c r="J62" s="277">
        <f>'666'!M76</f>
        <v>84000</v>
      </c>
      <c r="K62" s="277">
        <f>'666'!N76</f>
        <v>84000</v>
      </c>
      <c r="L62" s="277">
        <f>'666'!O76</f>
        <v>82000</v>
      </c>
      <c r="M62" s="277">
        <f>'666'!P76</f>
        <v>0</v>
      </c>
      <c r="N62" s="277">
        <f>'666'!Q76</f>
        <v>0</v>
      </c>
      <c r="O62" s="278">
        <f t="shared" si="0"/>
        <v>1005000</v>
      </c>
      <c r="P62" s="280"/>
      <c r="Q62" s="281"/>
    </row>
    <row r="63" spans="1:17" s="279" customFormat="1">
      <c r="A63" s="229">
        <v>667</v>
      </c>
      <c r="B63" s="229" t="s">
        <v>618</v>
      </c>
      <c r="C63" s="277">
        <f>'667'!F76</f>
        <v>1280000</v>
      </c>
      <c r="D63" s="277">
        <f>'667'!G76</f>
        <v>427000</v>
      </c>
      <c r="E63" s="277">
        <f>'667'!H76</f>
        <v>427000</v>
      </c>
      <c r="F63" s="277">
        <f>'667'!I76</f>
        <v>427000</v>
      </c>
      <c r="G63" s="277">
        <f>'667'!J76</f>
        <v>427000</v>
      </c>
      <c r="H63" s="277">
        <f>'667'!K76</f>
        <v>427000</v>
      </c>
      <c r="I63" s="277">
        <f>'667'!L76</f>
        <v>427000</v>
      </c>
      <c r="J63" s="277">
        <f>'667'!M76</f>
        <v>427000</v>
      </c>
      <c r="K63" s="277">
        <f>'667'!N76</f>
        <v>427000</v>
      </c>
      <c r="L63" s="277">
        <f>'667'!O76</f>
        <v>421000</v>
      </c>
      <c r="M63" s="277">
        <f>'667'!P76</f>
        <v>0</v>
      </c>
      <c r="N63" s="277">
        <f>'667'!Q76</f>
        <v>0</v>
      </c>
      <c r="O63" s="278">
        <f t="shared" si="0"/>
        <v>5117000</v>
      </c>
      <c r="P63" s="280"/>
      <c r="Q63" s="281"/>
    </row>
    <row r="64" spans="1:17" s="279" customFormat="1">
      <c r="A64" s="229">
        <v>668</v>
      </c>
      <c r="B64" s="229" t="s">
        <v>619</v>
      </c>
      <c r="C64" s="277">
        <f>'668'!F76</f>
        <v>121000</v>
      </c>
      <c r="D64" s="277">
        <f>'668'!G76</f>
        <v>40000</v>
      </c>
      <c r="E64" s="277">
        <f>'668'!H76</f>
        <v>40000</v>
      </c>
      <c r="F64" s="277">
        <f>'668'!I76</f>
        <v>40000</v>
      </c>
      <c r="G64" s="277">
        <f>'668'!J76</f>
        <v>40000</v>
      </c>
      <c r="H64" s="277">
        <f>'668'!K76</f>
        <v>40000</v>
      </c>
      <c r="I64" s="277">
        <f>'668'!L76</f>
        <v>40000</v>
      </c>
      <c r="J64" s="277">
        <f>'668'!M76</f>
        <v>40000</v>
      </c>
      <c r="K64" s="277">
        <f>'668'!N76</f>
        <v>40000</v>
      </c>
      <c r="L64" s="277">
        <f>'668'!O76</f>
        <v>41000</v>
      </c>
      <c r="M64" s="277">
        <f>'668'!P76</f>
        <v>0</v>
      </c>
      <c r="N64" s="277">
        <f>'668'!Q76</f>
        <v>0</v>
      </c>
      <c r="O64" s="278">
        <f t="shared" si="0"/>
        <v>482000</v>
      </c>
      <c r="P64" s="280"/>
      <c r="Q64" s="281"/>
    </row>
    <row r="65" spans="1:17" s="279" customFormat="1">
      <c r="A65" s="229">
        <v>669</v>
      </c>
      <c r="B65" s="229" t="s">
        <v>620</v>
      </c>
      <c r="C65" s="277">
        <f>'669'!F76</f>
        <v>278000</v>
      </c>
      <c r="D65" s="277">
        <f>'669'!G76</f>
        <v>93000</v>
      </c>
      <c r="E65" s="277">
        <f>'669'!H76</f>
        <v>93000</v>
      </c>
      <c r="F65" s="277">
        <f>'669'!I76</f>
        <v>93000</v>
      </c>
      <c r="G65" s="277">
        <f>'669'!J76</f>
        <v>93000</v>
      </c>
      <c r="H65" s="277">
        <f>'669'!K76</f>
        <v>93000</v>
      </c>
      <c r="I65" s="277">
        <f>'669'!L76</f>
        <v>93000</v>
      </c>
      <c r="J65" s="277">
        <f>'669'!M76</f>
        <v>93000</v>
      </c>
      <c r="K65" s="277">
        <f>'669'!N76</f>
        <v>93000</v>
      </c>
      <c r="L65" s="277">
        <f>'669'!O76</f>
        <v>88000</v>
      </c>
      <c r="M65" s="277">
        <f>'669'!P76</f>
        <v>0</v>
      </c>
      <c r="N65" s="277">
        <f>'669'!Q76</f>
        <v>0</v>
      </c>
      <c r="O65" s="278">
        <f t="shared" si="0"/>
        <v>1110000</v>
      </c>
      <c r="P65" s="280"/>
      <c r="Q65" s="281"/>
    </row>
    <row r="66" spans="1:17" s="279" customFormat="1">
      <c r="A66" s="229">
        <v>670</v>
      </c>
      <c r="B66" s="229" t="s">
        <v>621</v>
      </c>
      <c r="C66" s="277">
        <f>'670'!F76</f>
        <v>476000</v>
      </c>
      <c r="D66" s="277">
        <f>'670'!G76</f>
        <v>158000</v>
      </c>
      <c r="E66" s="277">
        <f>'670'!H76</f>
        <v>158000</v>
      </c>
      <c r="F66" s="277">
        <f>'670'!I76</f>
        <v>158000</v>
      </c>
      <c r="G66" s="277">
        <f>'670'!J76</f>
        <v>158000</v>
      </c>
      <c r="H66" s="277">
        <f>'670'!K76</f>
        <v>158000</v>
      </c>
      <c r="I66" s="277">
        <f>'670'!L76</f>
        <v>158000</v>
      </c>
      <c r="J66" s="277">
        <f>'670'!M76</f>
        <v>158000</v>
      </c>
      <c r="K66" s="277">
        <f>'670'!N76</f>
        <v>158000</v>
      </c>
      <c r="L66" s="277">
        <f>'670'!O76</f>
        <v>163000</v>
      </c>
      <c r="M66" s="277">
        <f>'670'!P76</f>
        <v>0</v>
      </c>
      <c r="N66" s="277">
        <f>'670'!Q76</f>
        <v>0</v>
      </c>
      <c r="O66" s="278">
        <f t="shared" si="0"/>
        <v>1903000</v>
      </c>
      <c r="P66" s="280"/>
      <c r="Q66" s="281"/>
    </row>
    <row r="67" spans="1:17" s="279" customFormat="1">
      <c r="A67" s="229">
        <v>671</v>
      </c>
      <c r="B67" s="229" t="s">
        <v>622</v>
      </c>
      <c r="C67" s="277">
        <f>'671'!F76</f>
        <v>216000</v>
      </c>
      <c r="D67" s="277">
        <f>'671'!G76</f>
        <v>72000</v>
      </c>
      <c r="E67" s="277">
        <f>'671'!H76</f>
        <v>72000</v>
      </c>
      <c r="F67" s="277">
        <f>'671'!I76</f>
        <v>72000</v>
      </c>
      <c r="G67" s="277">
        <f>'671'!J76</f>
        <v>72000</v>
      </c>
      <c r="H67" s="277">
        <f>'671'!K76</f>
        <v>72000</v>
      </c>
      <c r="I67" s="277">
        <f>'671'!L76</f>
        <v>72000</v>
      </c>
      <c r="J67" s="277">
        <f>'671'!M76</f>
        <v>72000</v>
      </c>
      <c r="K67" s="277">
        <f>'671'!N76</f>
        <v>72000</v>
      </c>
      <c r="L67" s="277">
        <f>'671'!O76</f>
        <v>70000</v>
      </c>
      <c r="M67" s="277">
        <f>'671'!P76</f>
        <v>0</v>
      </c>
      <c r="N67" s="277">
        <f>'671'!Q76</f>
        <v>0</v>
      </c>
      <c r="O67" s="278">
        <f t="shared" ref="O67:O102" si="1">SUM(C67:N67)</f>
        <v>862000</v>
      </c>
      <c r="P67" s="280"/>
      <c r="Q67" s="281"/>
    </row>
    <row r="68" spans="1:17" s="279" customFormat="1">
      <c r="A68" s="229">
        <v>672</v>
      </c>
      <c r="B68" s="229" t="s">
        <v>623</v>
      </c>
      <c r="C68" s="277">
        <f>'672'!F76</f>
        <v>203000</v>
      </c>
      <c r="D68" s="277">
        <f>'672'!G76</f>
        <v>67000</v>
      </c>
      <c r="E68" s="277">
        <f>'672'!H76</f>
        <v>67000</v>
      </c>
      <c r="F68" s="277">
        <f>'672'!I76</f>
        <v>67000</v>
      </c>
      <c r="G68" s="277">
        <f>'672'!J76</f>
        <v>67000</v>
      </c>
      <c r="H68" s="277">
        <f>'672'!K76</f>
        <v>67000</v>
      </c>
      <c r="I68" s="277">
        <f>'672'!L76</f>
        <v>67000</v>
      </c>
      <c r="J68" s="277">
        <f>'672'!M76</f>
        <v>67000</v>
      </c>
      <c r="K68" s="277">
        <f>'672'!N76</f>
        <v>67000</v>
      </c>
      <c r="L68" s="277">
        <f>'672'!O76</f>
        <v>73000</v>
      </c>
      <c r="M68" s="277">
        <f>'672'!P76</f>
        <v>0</v>
      </c>
      <c r="N68" s="277">
        <f>'672'!Q78</f>
        <v>0</v>
      </c>
      <c r="O68" s="278">
        <f t="shared" si="1"/>
        <v>812000</v>
      </c>
      <c r="P68" s="280"/>
      <c r="Q68" s="281"/>
    </row>
    <row r="69" spans="1:17" s="279" customFormat="1">
      <c r="A69" s="229">
        <v>673</v>
      </c>
      <c r="B69" s="229" t="s">
        <v>624</v>
      </c>
      <c r="C69" s="277">
        <f>'673'!F76</f>
        <v>426000</v>
      </c>
      <c r="D69" s="277">
        <f>'673'!G76</f>
        <v>142000</v>
      </c>
      <c r="E69" s="277">
        <f>'673'!H76</f>
        <v>142000</v>
      </c>
      <c r="F69" s="277">
        <f>'673'!I76</f>
        <v>142000</v>
      </c>
      <c r="G69" s="277">
        <f>'673'!J76</f>
        <v>142000</v>
      </c>
      <c r="H69" s="277">
        <f>'673'!K76</f>
        <v>142000</v>
      </c>
      <c r="I69" s="277">
        <f>'673'!L76</f>
        <v>142000</v>
      </c>
      <c r="J69" s="277">
        <f>'673'!M76</f>
        <v>142000</v>
      </c>
      <c r="K69" s="277">
        <f>'673'!N76</f>
        <v>142000</v>
      </c>
      <c r="L69" s="277">
        <f>'673'!O76</f>
        <v>142000</v>
      </c>
      <c r="M69" s="277">
        <f>'673'!P76</f>
        <v>0</v>
      </c>
      <c r="N69" s="277">
        <f>'673'!Q76</f>
        <v>0</v>
      </c>
      <c r="O69" s="278">
        <f t="shared" si="1"/>
        <v>1704000</v>
      </c>
      <c r="P69" s="280"/>
      <c r="Q69" s="281"/>
    </row>
    <row r="70" spans="1:17" s="279" customFormat="1">
      <c r="A70" s="229">
        <v>674</v>
      </c>
      <c r="B70" s="229" t="s">
        <v>625</v>
      </c>
      <c r="C70" s="277">
        <f>'674'!F76</f>
        <v>138000</v>
      </c>
      <c r="D70" s="277">
        <f>'674'!G76</f>
        <v>46000</v>
      </c>
      <c r="E70" s="277">
        <f>'674'!H76</f>
        <v>46000</v>
      </c>
      <c r="F70" s="277">
        <f>'674'!I76</f>
        <v>46000</v>
      </c>
      <c r="G70" s="277">
        <f>'674'!J76</f>
        <v>46000</v>
      </c>
      <c r="H70" s="277">
        <f>'674'!K76</f>
        <v>46000</v>
      </c>
      <c r="I70" s="277">
        <f>'674'!L76</f>
        <v>46000</v>
      </c>
      <c r="J70" s="277">
        <f>'674'!M76</f>
        <v>46000</v>
      </c>
      <c r="K70" s="277">
        <f>'674'!N76</f>
        <v>46000</v>
      </c>
      <c r="L70" s="277">
        <f>'674'!O76</f>
        <v>44000</v>
      </c>
      <c r="M70" s="277">
        <f>'674'!P76</f>
        <v>0</v>
      </c>
      <c r="N70" s="277">
        <f>'674'!Q76</f>
        <v>0</v>
      </c>
      <c r="O70" s="278">
        <f t="shared" si="1"/>
        <v>550000</v>
      </c>
      <c r="P70" s="280"/>
      <c r="Q70" s="281"/>
    </row>
    <row r="71" spans="1:17" s="279" customFormat="1">
      <c r="A71" s="229">
        <v>675</v>
      </c>
      <c r="B71" s="229" t="s">
        <v>626</v>
      </c>
      <c r="C71" s="277">
        <f>'675'!F76</f>
        <v>322000</v>
      </c>
      <c r="D71" s="277">
        <f>'675'!G76</f>
        <v>107000</v>
      </c>
      <c r="E71" s="277">
        <f>'675'!H76</f>
        <v>107000</v>
      </c>
      <c r="F71" s="277">
        <f>'675'!I76</f>
        <v>107000</v>
      </c>
      <c r="G71" s="277">
        <f>'675'!J76</f>
        <v>107000</v>
      </c>
      <c r="H71" s="277">
        <f>'675'!K76</f>
        <v>107000</v>
      </c>
      <c r="I71" s="277">
        <f>'675'!L76</f>
        <v>107000</v>
      </c>
      <c r="J71" s="277">
        <f>'675'!M76</f>
        <v>107000</v>
      </c>
      <c r="K71" s="277">
        <f>'675'!N76</f>
        <v>107000</v>
      </c>
      <c r="L71" s="277">
        <f>'675'!O76</f>
        <v>108000</v>
      </c>
      <c r="M71" s="277">
        <f>'675'!P76</f>
        <v>0</v>
      </c>
      <c r="N71" s="277">
        <f>'675'!Q76</f>
        <v>0</v>
      </c>
      <c r="O71" s="278">
        <f t="shared" si="1"/>
        <v>1286000</v>
      </c>
      <c r="P71" s="280"/>
      <c r="Q71" s="281"/>
    </row>
    <row r="72" spans="1:17" s="279" customFormat="1">
      <c r="A72" s="229">
        <v>676</v>
      </c>
      <c r="B72" s="229" t="s">
        <v>627</v>
      </c>
      <c r="C72" s="277">
        <f>'676'!F76</f>
        <v>1476000</v>
      </c>
      <c r="D72" s="277">
        <f>'676'!G76</f>
        <v>492000</v>
      </c>
      <c r="E72" s="277">
        <f>'676'!H76</f>
        <v>492000</v>
      </c>
      <c r="F72" s="277">
        <f>'676'!I76</f>
        <v>492000</v>
      </c>
      <c r="G72" s="277">
        <f>'676'!J76</f>
        <v>492000</v>
      </c>
      <c r="H72" s="277">
        <f>'676'!K76</f>
        <v>492000</v>
      </c>
      <c r="I72" s="277">
        <f>'676'!L76</f>
        <v>492000</v>
      </c>
      <c r="J72" s="277">
        <f>'676'!M76</f>
        <v>492000</v>
      </c>
      <c r="K72" s="277">
        <f>'676'!N76</f>
        <v>492000</v>
      </c>
      <c r="L72" s="277">
        <f>'676'!O76</f>
        <v>489000</v>
      </c>
      <c r="M72" s="277">
        <f>'676'!P76</f>
        <v>0</v>
      </c>
      <c r="N72" s="277">
        <f>'676'!Q76</f>
        <v>0</v>
      </c>
      <c r="O72" s="278">
        <f t="shared" si="1"/>
        <v>5901000</v>
      </c>
      <c r="P72" s="280"/>
      <c r="Q72" s="281"/>
    </row>
    <row r="73" spans="1:17" s="279" customFormat="1">
      <c r="A73" s="229">
        <v>678</v>
      </c>
      <c r="B73" s="229" t="s">
        <v>628</v>
      </c>
      <c r="C73" s="277">
        <f>'678'!F76</f>
        <v>331000</v>
      </c>
      <c r="D73" s="277">
        <f>'678'!G76</f>
        <v>110000</v>
      </c>
      <c r="E73" s="277">
        <f>'678'!H76</f>
        <v>110000</v>
      </c>
      <c r="F73" s="277">
        <f>'678'!I76</f>
        <v>110000</v>
      </c>
      <c r="G73" s="277">
        <f>'678'!J76</f>
        <v>110000</v>
      </c>
      <c r="H73" s="277">
        <f>'678'!K76</f>
        <v>110000</v>
      </c>
      <c r="I73" s="277">
        <f>'678'!L76</f>
        <v>110000</v>
      </c>
      <c r="J73" s="277">
        <f>'678'!M76</f>
        <v>110000</v>
      </c>
      <c r="K73" s="277">
        <f>'678'!N76</f>
        <v>110000</v>
      </c>
      <c r="L73" s="277">
        <f>'678'!O76</f>
        <v>112000</v>
      </c>
      <c r="M73" s="277">
        <f>'678'!P76</f>
        <v>0</v>
      </c>
      <c r="N73" s="277">
        <f>'678'!Q76</f>
        <v>0</v>
      </c>
      <c r="O73" s="278">
        <f t="shared" si="1"/>
        <v>1323000</v>
      </c>
      <c r="P73" s="280"/>
      <c r="Q73" s="281"/>
    </row>
    <row r="74" spans="1:17" s="279" customFormat="1">
      <c r="A74" s="229">
        <v>679</v>
      </c>
      <c r="B74" s="229" t="s">
        <v>629</v>
      </c>
      <c r="C74" s="277">
        <f>'679'!F76</f>
        <v>1141000</v>
      </c>
      <c r="D74" s="277">
        <f>'679'!G76</f>
        <v>380000</v>
      </c>
      <c r="E74" s="277">
        <f>'679'!H76</f>
        <v>380000</v>
      </c>
      <c r="F74" s="277">
        <f>'679'!I76</f>
        <v>380000</v>
      </c>
      <c r="G74" s="277">
        <f>'679'!J76</f>
        <v>380000</v>
      </c>
      <c r="H74" s="277">
        <f>'679'!K76</f>
        <v>380000</v>
      </c>
      <c r="I74" s="277">
        <f>'679'!L76</f>
        <v>380000</v>
      </c>
      <c r="J74" s="277">
        <f>'679'!M76</f>
        <v>380000</v>
      </c>
      <c r="K74" s="277">
        <f>'679'!N76</f>
        <v>380000</v>
      </c>
      <c r="L74" s="277">
        <f>'679'!O76</f>
        <v>379000</v>
      </c>
      <c r="M74" s="277">
        <f>'679'!P76</f>
        <v>0</v>
      </c>
      <c r="N74" s="277">
        <f>'679'!Q76</f>
        <v>0</v>
      </c>
      <c r="O74" s="278">
        <f t="shared" si="1"/>
        <v>4560000</v>
      </c>
      <c r="P74" s="280"/>
      <c r="Q74" s="281"/>
    </row>
    <row r="75" spans="1:17" s="279" customFormat="1">
      <c r="A75" s="229">
        <v>680</v>
      </c>
      <c r="B75" s="229" t="s">
        <v>630</v>
      </c>
      <c r="C75" s="277">
        <f>'680'!F76</f>
        <v>1012000</v>
      </c>
      <c r="D75" s="277">
        <f>'680'!G76</f>
        <v>337000</v>
      </c>
      <c r="E75" s="277">
        <f>'680'!H76</f>
        <v>337000</v>
      </c>
      <c r="F75" s="277">
        <f>'680'!I76</f>
        <v>337000</v>
      </c>
      <c r="G75" s="277">
        <f>'680'!J76</f>
        <v>337000</v>
      </c>
      <c r="H75" s="277">
        <f>'680'!K76</f>
        <v>337000</v>
      </c>
      <c r="I75" s="277">
        <f>'680'!L76</f>
        <v>337000</v>
      </c>
      <c r="J75" s="277">
        <f>'680'!M76</f>
        <v>337000</v>
      </c>
      <c r="K75" s="277">
        <f>'680'!N76</f>
        <v>337000</v>
      </c>
      <c r="L75" s="277">
        <f>'680'!O76</f>
        <v>337000</v>
      </c>
      <c r="M75" s="277">
        <f>'680'!P76</f>
        <v>0</v>
      </c>
      <c r="N75" s="277">
        <f>'680'!Q76</f>
        <v>0</v>
      </c>
      <c r="O75" s="278">
        <f t="shared" si="1"/>
        <v>4045000</v>
      </c>
      <c r="P75" s="280"/>
      <c r="Q75" s="281"/>
    </row>
    <row r="76" spans="1:17" s="279" customFormat="1">
      <c r="A76" s="229">
        <v>681</v>
      </c>
      <c r="B76" s="229" t="s">
        <v>631</v>
      </c>
      <c r="C76" s="277">
        <f>'681'!F76</f>
        <v>547000</v>
      </c>
      <c r="D76" s="277">
        <f>'681'!G76</f>
        <v>182000</v>
      </c>
      <c r="E76" s="277">
        <f>'681'!H76</f>
        <v>182000</v>
      </c>
      <c r="F76" s="277">
        <f>'681'!I76</f>
        <v>182000</v>
      </c>
      <c r="G76" s="277">
        <f>'681'!J76</f>
        <v>182000</v>
      </c>
      <c r="H76" s="277">
        <f>'681'!K76</f>
        <v>182000</v>
      </c>
      <c r="I76" s="277">
        <f>'681'!L76</f>
        <v>182000</v>
      </c>
      <c r="J76" s="277">
        <f>'681'!M76</f>
        <v>182000</v>
      </c>
      <c r="K76" s="277">
        <f>'681'!N76</f>
        <v>182000</v>
      </c>
      <c r="L76" s="277">
        <f>'681'!O76</f>
        <v>182000</v>
      </c>
      <c r="M76" s="277">
        <f>'681'!P76</f>
        <v>0</v>
      </c>
      <c r="N76" s="277">
        <f>'681'!Q76</f>
        <v>0</v>
      </c>
      <c r="O76" s="278">
        <f t="shared" si="1"/>
        <v>2185000</v>
      </c>
      <c r="P76" s="280"/>
      <c r="Q76" s="281"/>
    </row>
    <row r="77" spans="1:17" s="279" customFormat="1">
      <c r="A77" s="229">
        <v>682</v>
      </c>
      <c r="B77" s="229" t="s">
        <v>632</v>
      </c>
      <c r="C77" s="277">
        <f>'682'!F76</f>
        <v>795000</v>
      </c>
      <c r="D77" s="277">
        <f>'682'!G76</f>
        <v>265000</v>
      </c>
      <c r="E77" s="277">
        <f>'682'!H76</f>
        <v>265000</v>
      </c>
      <c r="F77" s="277">
        <f>'682'!I76</f>
        <v>265000</v>
      </c>
      <c r="G77" s="277">
        <f>'682'!J76</f>
        <v>265000</v>
      </c>
      <c r="H77" s="277">
        <f>'682'!K76</f>
        <v>265000</v>
      </c>
      <c r="I77" s="277">
        <f>'682'!L76</f>
        <v>265000</v>
      </c>
      <c r="J77" s="277">
        <f>'682'!M76</f>
        <v>265000</v>
      </c>
      <c r="K77" s="277">
        <f>'682'!N76</f>
        <v>265000</v>
      </c>
      <c r="L77" s="277">
        <f>'682'!O76</f>
        <v>264000</v>
      </c>
      <c r="M77" s="277">
        <f>'682'!P76</f>
        <v>0</v>
      </c>
      <c r="N77" s="277">
        <f>'682'!Q76</f>
        <v>0</v>
      </c>
      <c r="O77" s="278">
        <f t="shared" si="1"/>
        <v>3179000</v>
      </c>
      <c r="P77" s="280"/>
      <c r="Q77" s="281"/>
    </row>
    <row r="78" spans="1:17" s="279" customFormat="1">
      <c r="A78" s="229">
        <v>683</v>
      </c>
      <c r="B78" s="229" t="s">
        <v>633</v>
      </c>
      <c r="C78" s="277">
        <f>'683'!F76</f>
        <v>874000</v>
      </c>
      <c r="D78" s="277">
        <f>'683'!G76</f>
        <v>291000</v>
      </c>
      <c r="E78" s="277">
        <f>'683'!H76</f>
        <v>291000</v>
      </c>
      <c r="F78" s="277">
        <f>'683'!I76</f>
        <v>291000</v>
      </c>
      <c r="G78" s="277">
        <f>'683'!J76</f>
        <v>291000</v>
      </c>
      <c r="H78" s="277">
        <f>'683'!K76</f>
        <v>291000</v>
      </c>
      <c r="I78" s="277">
        <f>'683'!L76</f>
        <v>291000</v>
      </c>
      <c r="J78" s="277">
        <f>'683'!M76</f>
        <v>291000</v>
      </c>
      <c r="K78" s="277">
        <f>'683'!N76</f>
        <v>291000</v>
      </c>
      <c r="L78" s="277">
        <f>'683'!O76</f>
        <v>293000</v>
      </c>
      <c r="M78" s="277">
        <f>'683'!P76</f>
        <v>0</v>
      </c>
      <c r="N78" s="277">
        <f>'683'!Q76</f>
        <v>0</v>
      </c>
      <c r="O78" s="278">
        <f t="shared" si="1"/>
        <v>3495000</v>
      </c>
      <c r="P78" s="280"/>
      <c r="Q78" s="281"/>
    </row>
    <row r="79" spans="1:17" s="279" customFormat="1">
      <c r="A79" s="229">
        <v>684</v>
      </c>
      <c r="B79" s="229" t="s">
        <v>634</v>
      </c>
      <c r="C79" s="277">
        <f>'684'!F76</f>
        <v>1742000</v>
      </c>
      <c r="D79" s="277">
        <f>'684'!G76</f>
        <v>581000</v>
      </c>
      <c r="E79" s="277">
        <f>'684'!H76</f>
        <v>581000</v>
      </c>
      <c r="F79" s="277">
        <f>'684'!I76</f>
        <v>581000</v>
      </c>
      <c r="G79" s="277">
        <f>'684'!J76</f>
        <v>581000</v>
      </c>
      <c r="H79" s="277">
        <f>'684'!K76</f>
        <v>581000</v>
      </c>
      <c r="I79" s="277">
        <f>'684'!L76</f>
        <v>581000</v>
      </c>
      <c r="J79" s="277">
        <f>'684'!M76</f>
        <v>581000</v>
      </c>
      <c r="K79" s="277">
        <f>'684'!N76</f>
        <v>581000</v>
      </c>
      <c r="L79" s="277">
        <f>'684'!O76</f>
        <v>575000</v>
      </c>
      <c r="M79" s="277">
        <f>'684'!P76</f>
        <v>0</v>
      </c>
      <c r="N79" s="277">
        <f>'684'!Q76</f>
        <v>0</v>
      </c>
      <c r="O79" s="278">
        <f t="shared" si="1"/>
        <v>6965000</v>
      </c>
      <c r="P79" s="280"/>
      <c r="Q79" s="281"/>
    </row>
    <row r="80" spans="1:17" s="279" customFormat="1">
      <c r="A80" s="229">
        <v>685</v>
      </c>
      <c r="B80" s="229" t="s">
        <v>635</v>
      </c>
      <c r="C80" s="277">
        <f>'685'!F76</f>
        <v>232000</v>
      </c>
      <c r="D80" s="277">
        <f>'685'!G76</f>
        <v>77000</v>
      </c>
      <c r="E80" s="277">
        <f>'685'!H76</f>
        <v>77000</v>
      </c>
      <c r="F80" s="277">
        <f>'685'!I76</f>
        <v>77000</v>
      </c>
      <c r="G80" s="277">
        <f>'685'!J76</f>
        <v>77000</v>
      </c>
      <c r="H80" s="277">
        <f>'685'!K76</f>
        <v>77000</v>
      </c>
      <c r="I80" s="277">
        <f>'685'!L76</f>
        <v>77000</v>
      </c>
      <c r="J80" s="277">
        <f>'685'!M76</f>
        <v>77000</v>
      </c>
      <c r="K80" s="277">
        <f>'685'!N76</f>
        <v>77000</v>
      </c>
      <c r="L80" s="277">
        <f>'685'!O76</f>
        <v>76000</v>
      </c>
      <c r="M80" s="277">
        <f>'685'!P76</f>
        <v>0</v>
      </c>
      <c r="N80" s="277">
        <f>'685'!Q76</f>
        <v>0</v>
      </c>
      <c r="O80" s="278">
        <f t="shared" si="1"/>
        <v>924000</v>
      </c>
      <c r="P80" s="280"/>
      <c r="Q80" s="281"/>
    </row>
    <row r="81" spans="1:17" s="279" customFormat="1">
      <c r="A81" s="229">
        <v>686</v>
      </c>
      <c r="B81" s="229" t="s">
        <v>636</v>
      </c>
      <c r="C81" s="277">
        <f>'686'!F76</f>
        <v>1066000</v>
      </c>
      <c r="D81" s="277">
        <f>'686'!G76</f>
        <v>356000</v>
      </c>
      <c r="E81" s="277">
        <f>'686'!H76</f>
        <v>356000</v>
      </c>
      <c r="F81" s="277">
        <f>'686'!I76</f>
        <v>356000</v>
      </c>
      <c r="G81" s="277">
        <f>'686'!J76</f>
        <v>356000</v>
      </c>
      <c r="H81" s="277">
        <f>'686'!K76</f>
        <v>356000</v>
      </c>
      <c r="I81" s="277">
        <f>'686'!L76</f>
        <v>356000</v>
      </c>
      <c r="J81" s="277">
        <f>'686'!M76</f>
        <v>356000</v>
      </c>
      <c r="K81" s="277">
        <f>'686'!N76</f>
        <v>356000</v>
      </c>
      <c r="L81" s="277">
        <f>'686'!O76</f>
        <v>348000</v>
      </c>
      <c r="M81" s="277">
        <f>'686'!P76</f>
        <v>0</v>
      </c>
      <c r="N81" s="277">
        <f>'686'!Q76</f>
        <v>0</v>
      </c>
      <c r="O81" s="278">
        <f t="shared" si="1"/>
        <v>4262000</v>
      </c>
      <c r="P81" s="280"/>
      <c r="Q81" s="281"/>
    </row>
    <row r="82" spans="1:17" s="279" customFormat="1">
      <c r="A82" s="229">
        <v>687</v>
      </c>
      <c r="B82" s="229" t="s">
        <v>637</v>
      </c>
      <c r="C82" s="277">
        <f>'687'!F76</f>
        <v>1250000</v>
      </c>
      <c r="D82" s="277">
        <f>'687'!G76</f>
        <v>417000</v>
      </c>
      <c r="E82" s="277">
        <f>'687'!H76</f>
        <v>417000</v>
      </c>
      <c r="F82" s="277">
        <f>'687'!I76</f>
        <v>417000</v>
      </c>
      <c r="G82" s="277">
        <f>'687'!J76</f>
        <v>417000</v>
      </c>
      <c r="H82" s="277">
        <f>'687'!K76</f>
        <v>417000</v>
      </c>
      <c r="I82" s="277">
        <f>'687'!L76</f>
        <v>417000</v>
      </c>
      <c r="J82" s="277">
        <f>'687'!M76</f>
        <v>417000</v>
      </c>
      <c r="K82" s="277">
        <f>'687'!N76</f>
        <v>417000</v>
      </c>
      <c r="L82" s="277">
        <f>'687'!O76</f>
        <v>415000</v>
      </c>
      <c r="M82" s="277">
        <f>'687'!P76</f>
        <v>0</v>
      </c>
      <c r="N82" s="277">
        <f>'687'!Q76</f>
        <v>0</v>
      </c>
      <c r="O82" s="278">
        <f t="shared" si="1"/>
        <v>5001000</v>
      </c>
      <c r="P82" s="280"/>
      <c r="Q82" s="281"/>
    </row>
    <row r="83" spans="1:17" s="279" customFormat="1">
      <c r="A83" s="229">
        <v>688</v>
      </c>
      <c r="B83" s="229" t="s">
        <v>638</v>
      </c>
      <c r="C83" s="277">
        <f>'688'!F76</f>
        <v>636000</v>
      </c>
      <c r="D83" s="277">
        <f>'688'!G76</f>
        <v>212000</v>
      </c>
      <c r="E83" s="277">
        <f>'688'!H76</f>
        <v>212000</v>
      </c>
      <c r="F83" s="277">
        <f>'688'!I76</f>
        <v>212000</v>
      </c>
      <c r="G83" s="277">
        <f>'688'!J76</f>
        <v>212000</v>
      </c>
      <c r="H83" s="277">
        <f>'688'!K76</f>
        <v>212000</v>
      </c>
      <c r="I83" s="277">
        <f>'688'!L76</f>
        <v>212000</v>
      </c>
      <c r="J83" s="277">
        <f>'688'!M76</f>
        <v>212000</v>
      </c>
      <c r="K83" s="277">
        <f>'688'!N76</f>
        <v>212000</v>
      </c>
      <c r="L83" s="277">
        <f>'688'!O76</f>
        <v>212000</v>
      </c>
      <c r="M83" s="277">
        <f>'688'!P76</f>
        <v>0</v>
      </c>
      <c r="N83" s="277">
        <f>'688'!Q76</f>
        <v>0</v>
      </c>
      <c r="O83" s="278">
        <f t="shared" si="1"/>
        <v>2544000</v>
      </c>
      <c r="P83" s="280"/>
      <c r="Q83" s="281"/>
    </row>
    <row r="84" spans="1:17" s="279" customFormat="1">
      <c r="A84" s="229">
        <v>689</v>
      </c>
      <c r="B84" s="229" t="s">
        <v>639</v>
      </c>
      <c r="C84" s="277">
        <f>'689'!F76</f>
        <v>1111000</v>
      </c>
      <c r="D84" s="277">
        <f>'689'!G76</f>
        <v>371000</v>
      </c>
      <c r="E84" s="277">
        <f>'689'!H76</f>
        <v>371000</v>
      </c>
      <c r="F84" s="277">
        <f>'689'!I76</f>
        <v>371000</v>
      </c>
      <c r="G84" s="277">
        <f>'689'!J76</f>
        <v>371000</v>
      </c>
      <c r="H84" s="277">
        <f>'689'!K76</f>
        <v>371000</v>
      </c>
      <c r="I84" s="277">
        <f>'689'!L76</f>
        <v>371000</v>
      </c>
      <c r="J84" s="277">
        <f>'689'!M76</f>
        <v>371000</v>
      </c>
      <c r="K84" s="277">
        <f>'689'!N76</f>
        <v>371000</v>
      </c>
      <c r="L84" s="277">
        <f>'689'!O76</f>
        <v>366000</v>
      </c>
      <c r="M84" s="277">
        <f>'689'!P76</f>
        <v>0</v>
      </c>
      <c r="N84" s="277">
        <f>'689'!Q76</f>
        <v>0</v>
      </c>
      <c r="O84" s="278">
        <f t="shared" si="1"/>
        <v>4445000</v>
      </c>
      <c r="P84" s="280"/>
      <c r="Q84" s="281"/>
    </row>
    <row r="85" spans="1:17" s="279" customFormat="1">
      <c r="A85" s="229">
        <v>690</v>
      </c>
      <c r="B85" s="229" t="s">
        <v>640</v>
      </c>
      <c r="C85" s="277">
        <f>'690'!F76</f>
        <v>571000</v>
      </c>
      <c r="D85" s="277">
        <f>'690'!G76</f>
        <v>190000</v>
      </c>
      <c r="E85" s="277">
        <f>'690'!H76</f>
        <v>190000</v>
      </c>
      <c r="F85" s="277">
        <f>'690'!I76</f>
        <v>190000</v>
      </c>
      <c r="G85" s="277">
        <f>'690'!J76</f>
        <v>190000</v>
      </c>
      <c r="H85" s="277">
        <f>'690'!K76</f>
        <v>190000</v>
      </c>
      <c r="I85" s="277">
        <f>'690'!L76</f>
        <v>190000</v>
      </c>
      <c r="J85" s="277">
        <f>'690'!M76</f>
        <v>190000</v>
      </c>
      <c r="K85" s="277">
        <f>'690'!N76</f>
        <v>190000</v>
      </c>
      <c r="L85" s="277">
        <f>'690'!O76</f>
        <v>192000</v>
      </c>
      <c r="M85" s="277">
        <f>'690'!P76</f>
        <v>0</v>
      </c>
      <c r="N85" s="277">
        <f>'690'!Q76</f>
        <v>0</v>
      </c>
      <c r="O85" s="278">
        <f t="shared" si="1"/>
        <v>2283000</v>
      </c>
      <c r="P85" s="280"/>
      <c r="Q85" s="281"/>
    </row>
    <row r="86" spans="1:17" s="279" customFormat="1">
      <c r="A86" s="229">
        <v>691</v>
      </c>
      <c r="B86" s="229" t="s">
        <v>641</v>
      </c>
      <c r="C86" s="277">
        <f>'691'!F76</f>
        <v>1186000</v>
      </c>
      <c r="D86" s="277">
        <f>'691'!G76</f>
        <v>395000</v>
      </c>
      <c r="E86" s="277">
        <f>'691'!H76</f>
        <v>395000</v>
      </c>
      <c r="F86" s="277">
        <f>'691'!I76</f>
        <v>395000</v>
      </c>
      <c r="G86" s="277">
        <f>'691'!J76</f>
        <v>395000</v>
      </c>
      <c r="H86" s="277">
        <f>'691'!K76</f>
        <v>395000</v>
      </c>
      <c r="I86" s="277">
        <f>'691'!L76</f>
        <v>395000</v>
      </c>
      <c r="J86" s="277">
        <f>'691'!M76</f>
        <v>395000</v>
      </c>
      <c r="K86" s="277">
        <f>'691'!N76</f>
        <v>395000</v>
      </c>
      <c r="L86" s="277">
        <f>'691'!O76</f>
        <v>398000</v>
      </c>
      <c r="M86" s="277">
        <f>'691'!P76</f>
        <v>0</v>
      </c>
      <c r="N86" s="277">
        <f>'691'!Q76</f>
        <v>0</v>
      </c>
      <c r="O86" s="278">
        <f t="shared" si="1"/>
        <v>4744000</v>
      </c>
      <c r="P86" s="280"/>
      <c r="Q86" s="281"/>
    </row>
    <row r="87" spans="1:17" s="279" customFormat="1">
      <c r="A87" s="229">
        <v>692</v>
      </c>
      <c r="B87" s="229" t="s">
        <v>642</v>
      </c>
      <c r="C87" s="277">
        <f>'692'!F76</f>
        <v>614000</v>
      </c>
      <c r="D87" s="277">
        <f>'692'!G76</f>
        <v>204000</v>
      </c>
      <c r="E87" s="277">
        <f>'692'!H76</f>
        <v>204000</v>
      </c>
      <c r="F87" s="277">
        <f>'692'!I76</f>
        <v>204000</v>
      </c>
      <c r="G87" s="277">
        <f>'692'!J76</f>
        <v>204000</v>
      </c>
      <c r="H87" s="277">
        <f>'692'!K76</f>
        <v>204000</v>
      </c>
      <c r="I87" s="277">
        <f>'692'!L76</f>
        <v>204000</v>
      </c>
      <c r="J87" s="277">
        <f>'692'!M76</f>
        <v>204000</v>
      </c>
      <c r="K87" s="277">
        <f>'692'!N76</f>
        <v>204000</v>
      </c>
      <c r="L87" s="277">
        <f>'692'!O76</f>
        <v>206000</v>
      </c>
      <c r="M87" s="277">
        <f>'692'!P76</f>
        <v>0</v>
      </c>
      <c r="N87" s="277">
        <f>'692'!Q76</f>
        <v>0</v>
      </c>
      <c r="O87" s="278">
        <f t="shared" si="1"/>
        <v>2452000</v>
      </c>
      <c r="P87" s="280"/>
      <c r="Q87" s="281"/>
    </row>
    <row r="88" spans="1:17" s="279" customFormat="1">
      <c r="A88" s="229">
        <v>693</v>
      </c>
      <c r="B88" s="229" t="s">
        <v>643</v>
      </c>
      <c r="C88" s="277">
        <f>'693'!F76</f>
        <v>2117000</v>
      </c>
      <c r="D88" s="277">
        <f>'693'!G76</f>
        <v>706000</v>
      </c>
      <c r="E88" s="277">
        <f>'693'!H76</f>
        <v>706000</v>
      </c>
      <c r="F88" s="277">
        <f>'693'!I76</f>
        <v>706000</v>
      </c>
      <c r="G88" s="277">
        <f>'693'!J76</f>
        <v>706000</v>
      </c>
      <c r="H88" s="277">
        <f>'693'!K76</f>
        <v>706000</v>
      </c>
      <c r="I88" s="277">
        <f>'693'!L76</f>
        <v>706000</v>
      </c>
      <c r="J88" s="277">
        <f>'693'!M76</f>
        <v>706000</v>
      </c>
      <c r="K88" s="277">
        <f>'693'!N76</f>
        <v>706000</v>
      </c>
      <c r="L88" s="277">
        <f>'693'!O76</f>
        <v>703000</v>
      </c>
      <c r="M88" s="277">
        <f>'693'!P76</f>
        <v>0</v>
      </c>
      <c r="N88" s="277">
        <f>'693'!Q76</f>
        <v>0</v>
      </c>
      <c r="O88" s="278">
        <f t="shared" si="1"/>
        <v>8468000</v>
      </c>
      <c r="P88" s="280"/>
      <c r="Q88" s="281"/>
    </row>
    <row r="89" spans="1:17" s="279" customFormat="1">
      <c r="A89" s="229">
        <v>694</v>
      </c>
      <c r="B89" s="229" t="s">
        <v>644</v>
      </c>
      <c r="C89" s="277">
        <f>'694'!F76</f>
        <v>1033000</v>
      </c>
      <c r="D89" s="277">
        <f>'694'!G76</f>
        <v>344000</v>
      </c>
      <c r="E89" s="277">
        <f>'694'!H76</f>
        <v>344000</v>
      </c>
      <c r="F89" s="277">
        <f>'694'!I76</f>
        <v>344000</v>
      </c>
      <c r="G89" s="277">
        <f>'694'!J76</f>
        <v>344000</v>
      </c>
      <c r="H89" s="277">
        <f>'694'!K76</f>
        <v>344000</v>
      </c>
      <c r="I89" s="277">
        <f>'694'!L76</f>
        <v>344000</v>
      </c>
      <c r="J89" s="277">
        <f>'694'!M76</f>
        <v>344000</v>
      </c>
      <c r="K89" s="277">
        <f>'694'!N76</f>
        <v>344000</v>
      </c>
      <c r="L89" s="277">
        <f>'694'!O76</f>
        <v>347000</v>
      </c>
      <c r="M89" s="277">
        <f>'694'!P76</f>
        <v>0</v>
      </c>
      <c r="N89" s="277">
        <f>'694'!Q76</f>
        <v>0</v>
      </c>
      <c r="O89" s="278">
        <f t="shared" si="1"/>
        <v>4132000</v>
      </c>
      <c r="P89" s="280"/>
      <c r="Q89" s="281"/>
    </row>
    <row r="90" spans="1:17" s="279" customFormat="1">
      <c r="A90" s="229">
        <v>695</v>
      </c>
      <c r="B90" s="229" t="s">
        <v>645</v>
      </c>
      <c r="C90" s="277">
        <f>'695'!F76</f>
        <v>803000</v>
      </c>
      <c r="D90" s="277">
        <f>'695'!G76</f>
        <v>268000</v>
      </c>
      <c r="E90" s="277">
        <f>'695'!H76</f>
        <v>268000</v>
      </c>
      <c r="F90" s="277">
        <f>'695'!I76</f>
        <v>268000</v>
      </c>
      <c r="G90" s="277">
        <f>'695'!J76</f>
        <v>268000</v>
      </c>
      <c r="H90" s="277">
        <f>'695'!K76</f>
        <v>268000</v>
      </c>
      <c r="I90" s="277">
        <f>'695'!L76</f>
        <v>268000</v>
      </c>
      <c r="J90" s="277">
        <f>'695'!M76</f>
        <v>268000</v>
      </c>
      <c r="K90" s="277">
        <f>'695'!N76</f>
        <v>268000</v>
      </c>
      <c r="L90" s="277">
        <f>'695'!O76</f>
        <v>262000</v>
      </c>
      <c r="M90" s="277">
        <f>'695'!P76</f>
        <v>0</v>
      </c>
      <c r="N90" s="277">
        <f>'695'!Q76</f>
        <v>0</v>
      </c>
      <c r="O90" s="278">
        <f t="shared" si="1"/>
        <v>3209000</v>
      </c>
      <c r="P90" s="280"/>
      <c r="Q90" s="281"/>
    </row>
    <row r="91" spans="1:17" s="279" customFormat="1">
      <c r="A91" s="229">
        <v>696</v>
      </c>
      <c r="B91" s="229" t="s">
        <v>646</v>
      </c>
      <c r="C91" s="277">
        <f>'696'!F76</f>
        <v>831000</v>
      </c>
      <c r="D91" s="277">
        <f>'696'!G76</f>
        <v>277000</v>
      </c>
      <c r="E91" s="277">
        <f>'696'!H76</f>
        <v>277000</v>
      </c>
      <c r="F91" s="277">
        <f>'696'!I76</f>
        <v>277000</v>
      </c>
      <c r="G91" s="277">
        <f>'696'!J76</f>
        <v>277000</v>
      </c>
      <c r="H91" s="277">
        <f>'696'!K76</f>
        <v>277000</v>
      </c>
      <c r="I91" s="277">
        <f>'696'!L76</f>
        <v>277000</v>
      </c>
      <c r="J91" s="277">
        <f>'696'!M76</f>
        <v>277000</v>
      </c>
      <c r="K91" s="277">
        <f>'696'!N76</f>
        <v>277000</v>
      </c>
      <c r="L91" s="277">
        <f>'696'!O76</f>
        <v>275000</v>
      </c>
      <c r="M91" s="277">
        <f>'696'!P76</f>
        <v>0</v>
      </c>
      <c r="N91" s="277">
        <f>'696'!Q76</f>
        <v>0</v>
      </c>
      <c r="O91" s="278">
        <f t="shared" si="1"/>
        <v>3322000</v>
      </c>
      <c r="P91" s="280"/>
      <c r="Q91" s="281"/>
    </row>
    <row r="92" spans="1:17" s="279" customFormat="1">
      <c r="A92" s="229">
        <v>697</v>
      </c>
      <c r="B92" s="229" t="s">
        <v>647</v>
      </c>
      <c r="C92" s="277">
        <f>'697'!F76</f>
        <v>191000</v>
      </c>
      <c r="D92" s="277">
        <f>'697'!G76</f>
        <v>64000</v>
      </c>
      <c r="E92" s="277">
        <f>'697'!H76</f>
        <v>64000</v>
      </c>
      <c r="F92" s="277">
        <f>'697'!I76</f>
        <v>64000</v>
      </c>
      <c r="G92" s="277">
        <f>'697'!J76</f>
        <v>64000</v>
      </c>
      <c r="H92" s="277">
        <f>'697'!K76</f>
        <v>64000</v>
      </c>
      <c r="I92" s="277">
        <f>'697'!L76</f>
        <v>64000</v>
      </c>
      <c r="J92" s="277">
        <f>'697'!M76</f>
        <v>64000</v>
      </c>
      <c r="K92" s="277">
        <f>'697'!N76</f>
        <v>64000</v>
      </c>
      <c r="L92" s="277">
        <f>'697'!O76</f>
        <v>60000</v>
      </c>
      <c r="M92" s="277">
        <f>'697'!P76</f>
        <v>0</v>
      </c>
      <c r="N92" s="277">
        <f>'697'!Q76</f>
        <v>0</v>
      </c>
      <c r="O92" s="278">
        <f t="shared" si="1"/>
        <v>763000</v>
      </c>
      <c r="P92" s="280"/>
      <c r="Q92" s="281"/>
    </row>
    <row r="93" spans="1:17" s="279" customFormat="1">
      <c r="A93" s="229">
        <v>698</v>
      </c>
      <c r="B93" s="229" t="s">
        <v>648</v>
      </c>
      <c r="C93" s="277">
        <f>'698'!F76</f>
        <v>1014000</v>
      </c>
      <c r="D93" s="277">
        <f>'698'!G76</f>
        <v>338000</v>
      </c>
      <c r="E93" s="277">
        <f>'698'!H76</f>
        <v>338000</v>
      </c>
      <c r="F93" s="277">
        <f>'698'!I76</f>
        <v>338000</v>
      </c>
      <c r="G93" s="277">
        <f>'698'!J76</f>
        <v>338000</v>
      </c>
      <c r="H93" s="277">
        <f>'698'!K76</f>
        <v>338000</v>
      </c>
      <c r="I93" s="277">
        <f>'698'!L76</f>
        <v>338000</v>
      </c>
      <c r="J93" s="277">
        <f>'698'!M76</f>
        <v>338000</v>
      </c>
      <c r="K93" s="277">
        <f>'698'!N76</f>
        <v>338000</v>
      </c>
      <c r="L93" s="277">
        <f>'698'!O76</f>
        <v>340000</v>
      </c>
      <c r="M93" s="277">
        <f>'698'!P76</f>
        <v>0</v>
      </c>
      <c r="N93" s="277">
        <f>'698'!Q76</f>
        <v>0</v>
      </c>
      <c r="O93" s="278">
        <f t="shared" si="1"/>
        <v>4058000</v>
      </c>
      <c r="P93" s="280"/>
      <c r="Q93" s="281"/>
    </row>
    <row r="94" spans="1:17" s="279" customFormat="1">
      <c r="A94" s="229">
        <v>699</v>
      </c>
      <c r="B94" s="229" t="s">
        <v>649</v>
      </c>
      <c r="C94" s="277">
        <f>'699'!F76</f>
        <v>829000</v>
      </c>
      <c r="D94" s="277">
        <f>'699'!G76</f>
        <v>276000</v>
      </c>
      <c r="E94" s="277">
        <f>'699'!H76</f>
        <v>276000</v>
      </c>
      <c r="F94" s="277">
        <f>'699'!I76</f>
        <v>276000</v>
      </c>
      <c r="G94" s="277">
        <f>'699'!J76</f>
        <v>276000</v>
      </c>
      <c r="H94" s="277">
        <f>'699'!K76</f>
        <v>276000</v>
      </c>
      <c r="I94" s="277">
        <f>'699'!L76</f>
        <v>276000</v>
      </c>
      <c r="J94" s="277">
        <f>'699'!M76</f>
        <v>276000</v>
      </c>
      <c r="K94" s="277">
        <f>'699'!N76</f>
        <v>276000</v>
      </c>
      <c r="L94" s="277">
        <f>'699'!O76</f>
        <v>278000</v>
      </c>
      <c r="M94" s="277">
        <f>'699'!P76</f>
        <v>0</v>
      </c>
      <c r="N94" s="277">
        <f>'699'!Q76</f>
        <v>0</v>
      </c>
      <c r="O94" s="278">
        <f t="shared" si="1"/>
        <v>3315000</v>
      </c>
      <c r="P94" s="280"/>
      <c r="Q94" s="281"/>
    </row>
    <row r="95" spans="1:17" s="279" customFormat="1">
      <c r="A95" s="229">
        <v>700</v>
      </c>
      <c r="B95" s="229" t="s">
        <v>650</v>
      </c>
      <c r="C95" s="277">
        <f>'700'!F76</f>
        <v>809000</v>
      </c>
      <c r="D95" s="277">
        <f>'700'!G76</f>
        <v>263000</v>
      </c>
      <c r="E95" s="277">
        <f>'700'!H76</f>
        <v>263000</v>
      </c>
      <c r="F95" s="277">
        <f>'700'!I76</f>
        <v>263000</v>
      </c>
      <c r="G95" s="277">
        <f>'700'!J76</f>
        <v>263000</v>
      </c>
      <c r="H95" s="277">
        <f>'700'!K76</f>
        <v>263000</v>
      </c>
      <c r="I95" s="277">
        <f>'700'!L76</f>
        <v>263000</v>
      </c>
      <c r="J95" s="277">
        <f>'700'!M76</f>
        <v>263000</v>
      </c>
      <c r="K95" s="277">
        <f>'700'!N76</f>
        <v>263000</v>
      </c>
      <c r="L95" s="277">
        <f>'700'!O76</f>
        <v>265000</v>
      </c>
      <c r="M95" s="277">
        <f>'700'!P76</f>
        <v>0</v>
      </c>
      <c r="N95" s="277">
        <f>'700'!Q76</f>
        <v>0</v>
      </c>
      <c r="O95" s="278">
        <f t="shared" si="1"/>
        <v>3178000</v>
      </c>
      <c r="P95" s="280"/>
      <c r="Q95" s="281"/>
    </row>
    <row r="96" spans="1:17" s="279" customFormat="1">
      <c r="A96" s="229">
        <v>701</v>
      </c>
      <c r="B96" s="229" t="s">
        <v>651</v>
      </c>
      <c r="C96" s="277">
        <f>'701'!F76</f>
        <v>707000</v>
      </c>
      <c r="D96" s="277">
        <f>'701'!G76</f>
        <v>236000</v>
      </c>
      <c r="E96" s="277">
        <f>'701'!H76</f>
        <v>236000</v>
      </c>
      <c r="F96" s="277">
        <f>'701'!I76</f>
        <v>236000</v>
      </c>
      <c r="G96" s="277">
        <f>'701'!J76</f>
        <v>236000</v>
      </c>
      <c r="H96" s="277">
        <f>'701'!K76</f>
        <v>236000</v>
      </c>
      <c r="I96" s="277">
        <f>'701'!L76</f>
        <v>236000</v>
      </c>
      <c r="J96" s="277">
        <f>'701'!M76</f>
        <v>236000</v>
      </c>
      <c r="K96" s="277">
        <f>'701'!N76</f>
        <v>236000</v>
      </c>
      <c r="L96" s="277">
        <f>'701'!O76</f>
        <v>230000</v>
      </c>
      <c r="M96" s="277">
        <f>'701'!P76</f>
        <v>0</v>
      </c>
      <c r="N96" s="277">
        <f>'701'!Q76</f>
        <v>0</v>
      </c>
      <c r="O96" s="278">
        <f t="shared" si="1"/>
        <v>2825000</v>
      </c>
      <c r="P96" s="280"/>
      <c r="Q96" s="281"/>
    </row>
    <row r="97" spans="1:17" s="279" customFormat="1">
      <c r="A97" s="229">
        <v>702</v>
      </c>
      <c r="B97" s="229" t="s">
        <v>652</v>
      </c>
      <c r="C97" s="277">
        <f>'702'!F76</f>
        <v>363000</v>
      </c>
      <c r="D97" s="277">
        <f>'702'!G76</f>
        <v>121000</v>
      </c>
      <c r="E97" s="277">
        <f>'702'!H76</f>
        <v>121000</v>
      </c>
      <c r="F97" s="277">
        <f>'702'!I76</f>
        <v>121000</v>
      </c>
      <c r="G97" s="277">
        <f>'702'!J76</f>
        <v>121000</v>
      </c>
      <c r="H97" s="277">
        <f>'702'!K76</f>
        <v>121000</v>
      </c>
      <c r="I97" s="277">
        <f>'702'!L76</f>
        <v>121000</v>
      </c>
      <c r="J97" s="277">
        <f>'702'!M76</f>
        <v>121000</v>
      </c>
      <c r="K97" s="277">
        <f>'702'!N76</f>
        <v>121000</v>
      </c>
      <c r="L97" s="277">
        <f>'702'!O76</f>
        <v>121000</v>
      </c>
      <c r="M97" s="277">
        <f>'702'!P76</f>
        <v>0</v>
      </c>
      <c r="N97" s="277">
        <f>'702'!Q76</f>
        <v>0</v>
      </c>
      <c r="O97" s="278">
        <f t="shared" si="1"/>
        <v>1452000</v>
      </c>
      <c r="P97" s="280"/>
      <c r="Q97" s="281"/>
    </row>
    <row r="98" spans="1:17" s="279" customFormat="1">
      <c r="A98" s="229">
        <v>703</v>
      </c>
      <c r="B98" s="229" t="s">
        <v>653</v>
      </c>
      <c r="C98" s="277">
        <f>'703'!F76</f>
        <v>236000</v>
      </c>
      <c r="D98" s="277">
        <f>'703'!G76</f>
        <v>79000</v>
      </c>
      <c r="E98" s="277">
        <f>'703'!H76</f>
        <v>79000</v>
      </c>
      <c r="F98" s="277">
        <f>'703'!I76</f>
        <v>79000</v>
      </c>
      <c r="G98" s="277">
        <f>'703'!J76</f>
        <v>79000</v>
      </c>
      <c r="H98" s="277">
        <f>'703'!K76</f>
        <v>79000</v>
      </c>
      <c r="I98" s="277">
        <f>'703'!L76</f>
        <v>79000</v>
      </c>
      <c r="J98" s="277">
        <f>'703'!M76</f>
        <v>79000</v>
      </c>
      <c r="K98" s="277">
        <f>'703'!N76</f>
        <v>79000</v>
      </c>
      <c r="L98" s="277">
        <f>'703'!O76</f>
        <v>74000</v>
      </c>
      <c r="M98" s="277">
        <f>'703'!P76</f>
        <v>0</v>
      </c>
      <c r="N98" s="277">
        <f>'703'!Q76</f>
        <v>0</v>
      </c>
      <c r="O98" s="278">
        <f t="shared" si="1"/>
        <v>942000</v>
      </c>
      <c r="P98" s="280"/>
      <c r="Q98" s="281"/>
    </row>
    <row r="99" spans="1:17" s="279" customFormat="1">
      <c r="A99" s="229">
        <v>705</v>
      </c>
      <c r="B99" s="229" t="s">
        <v>654</v>
      </c>
      <c r="C99" s="277">
        <f>'705'!F76</f>
        <v>537000</v>
      </c>
      <c r="D99" s="277">
        <f>'705'!G76</f>
        <v>158000</v>
      </c>
      <c r="E99" s="277">
        <f>'705'!H76</f>
        <v>158000</v>
      </c>
      <c r="F99" s="277">
        <f>'705'!I76</f>
        <v>158000</v>
      </c>
      <c r="G99" s="277">
        <f>'705'!J76</f>
        <v>158000</v>
      </c>
      <c r="H99" s="277">
        <f>'705'!K76</f>
        <v>158000</v>
      </c>
      <c r="I99" s="277">
        <f>'705'!L76</f>
        <v>158000</v>
      </c>
      <c r="J99" s="277">
        <f>'705'!M76</f>
        <v>158000</v>
      </c>
      <c r="K99" s="277">
        <f>'705'!N76</f>
        <v>158000</v>
      </c>
      <c r="L99" s="277">
        <f>'705'!O76</f>
        <v>155000</v>
      </c>
      <c r="M99" s="277">
        <f>'705'!P76</f>
        <v>0</v>
      </c>
      <c r="N99" s="277">
        <f>'705'!Q76</f>
        <v>0</v>
      </c>
      <c r="O99" s="278">
        <f t="shared" si="1"/>
        <v>1956000</v>
      </c>
      <c r="P99" s="280"/>
      <c r="Q99" s="281"/>
    </row>
    <row r="100" spans="1:17" s="279" customFormat="1">
      <c r="A100" s="229">
        <v>706</v>
      </c>
      <c r="B100" s="229" t="s">
        <v>655</v>
      </c>
      <c r="C100" s="277">
        <f>'706'!F76</f>
        <v>227000</v>
      </c>
      <c r="D100" s="277">
        <f>'706'!G76</f>
        <v>76000</v>
      </c>
      <c r="E100" s="277">
        <f>'706'!H76</f>
        <v>76000</v>
      </c>
      <c r="F100" s="277">
        <f>'706'!I76</f>
        <v>76000</v>
      </c>
      <c r="G100" s="277">
        <f>'706'!J76</f>
        <v>76000</v>
      </c>
      <c r="H100" s="277">
        <f>'706'!K76</f>
        <v>76000</v>
      </c>
      <c r="I100" s="277">
        <f>'706'!L76</f>
        <v>76000</v>
      </c>
      <c r="J100" s="277">
        <f>'706'!M76</f>
        <v>76000</v>
      </c>
      <c r="K100" s="277">
        <f>'706'!N76</f>
        <v>76000</v>
      </c>
      <c r="L100" s="277">
        <f>'706'!O76</f>
        <v>74000</v>
      </c>
      <c r="M100" s="277">
        <f>'706'!P76</f>
        <v>0</v>
      </c>
      <c r="N100" s="277">
        <f>'706'!Q76</f>
        <v>0</v>
      </c>
      <c r="O100" s="278">
        <f t="shared" si="1"/>
        <v>909000</v>
      </c>
      <c r="P100" s="280"/>
      <c r="Q100" s="281"/>
    </row>
    <row r="101" spans="1:17" s="279" customFormat="1">
      <c r="A101" s="229">
        <v>707</v>
      </c>
      <c r="B101" s="229" t="s">
        <v>656</v>
      </c>
      <c r="C101" s="277">
        <f>'707'!F76</f>
        <v>1096000</v>
      </c>
      <c r="D101" s="277">
        <f>'707'!G76</f>
        <v>365000</v>
      </c>
      <c r="E101" s="277">
        <f>'707'!H76</f>
        <v>365000</v>
      </c>
      <c r="F101" s="277">
        <f>'707'!I76</f>
        <v>365000</v>
      </c>
      <c r="G101" s="277">
        <f>'707'!J76</f>
        <v>365000</v>
      </c>
      <c r="H101" s="277">
        <f>'707'!K76</f>
        <v>365000</v>
      </c>
      <c r="I101" s="277">
        <f>'707'!L76</f>
        <v>365000</v>
      </c>
      <c r="J101" s="277">
        <f>'707'!M76</f>
        <v>365000</v>
      </c>
      <c r="K101" s="277">
        <f>'707'!N76</f>
        <v>365000</v>
      </c>
      <c r="L101" s="277">
        <f>'707'!O76</f>
        <v>369000</v>
      </c>
      <c r="M101" s="277">
        <f>'707'!P76</f>
        <v>0</v>
      </c>
      <c r="N101" s="277">
        <f>'707'!Q76</f>
        <v>0</v>
      </c>
      <c r="O101" s="278">
        <f t="shared" si="1"/>
        <v>4385000</v>
      </c>
      <c r="P101" s="280"/>
      <c r="Q101" s="281"/>
    </row>
    <row r="102" spans="1:17" s="279" customFormat="1">
      <c r="A102" s="229">
        <v>708</v>
      </c>
      <c r="B102" s="229" t="s">
        <v>657</v>
      </c>
      <c r="C102" s="277">
        <f>'708'!F76</f>
        <v>495000</v>
      </c>
      <c r="D102" s="277">
        <f>'708'!G76</f>
        <v>165000</v>
      </c>
      <c r="E102" s="277">
        <f>'708'!H76</f>
        <v>165000</v>
      </c>
      <c r="F102" s="277">
        <f>'708'!I76</f>
        <v>165000</v>
      </c>
      <c r="G102" s="277">
        <f>'708'!J76</f>
        <v>165000</v>
      </c>
      <c r="H102" s="277">
        <f>'708'!K76</f>
        <v>165000</v>
      </c>
      <c r="I102" s="277">
        <f>'708'!L76</f>
        <v>165000</v>
      </c>
      <c r="J102" s="277">
        <f>'708'!M76</f>
        <v>165000</v>
      </c>
      <c r="K102" s="277">
        <f>'708'!N76</f>
        <v>165000</v>
      </c>
      <c r="L102" s="277">
        <f>'708'!O76</f>
        <v>165000</v>
      </c>
      <c r="M102" s="277">
        <f>'708'!P76</f>
        <v>0</v>
      </c>
      <c r="N102" s="277">
        <f>'708'!Q76</f>
        <v>0</v>
      </c>
      <c r="O102" s="278">
        <f t="shared" si="1"/>
        <v>1980000</v>
      </c>
      <c r="P102" s="280"/>
      <c r="Q102" s="281"/>
    </row>
    <row r="103" spans="1:17" customFormat="1">
      <c r="A103" s="275" t="s">
        <v>220</v>
      </c>
      <c r="B103" s="275"/>
      <c r="C103" s="181">
        <f>SUM(C2:C102)</f>
        <v>139701000</v>
      </c>
      <c r="D103" s="181">
        <f t="shared" ref="D103:O103" si="2">SUM(D2:D102)</f>
        <v>46373000</v>
      </c>
      <c r="E103" s="181">
        <f t="shared" si="2"/>
        <v>46373000</v>
      </c>
      <c r="F103" s="181">
        <f t="shared" si="2"/>
        <v>46373000</v>
      </c>
      <c r="G103" s="181">
        <f t="shared" si="2"/>
        <v>46373000</v>
      </c>
      <c r="H103" s="181">
        <f t="shared" si="2"/>
        <v>46373000</v>
      </c>
      <c r="I103" s="181">
        <f t="shared" si="2"/>
        <v>46373000</v>
      </c>
      <c r="J103" s="181">
        <f t="shared" si="2"/>
        <v>46373000</v>
      </c>
      <c r="K103" s="181">
        <f t="shared" si="2"/>
        <v>46373000</v>
      </c>
      <c r="L103" s="181">
        <f t="shared" si="2"/>
        <v>46324000</v>
      </c>
      <c r="M103" s="181">
        <f t="shared" si="2"/>
        <v>0</v>
      </c>
      <c r="N103" s="181">
        <f t="shared" si="2"/>
        <v>0</v>
      </c>
      <c r="O103" s="181">
        <f t="shared" si="2"/>
        <v>557009000</v>
      </c>
      <c r="P103" s="180"/>
      <c r="Q103" s="188"/>
    </row>
    <row r="104" spans="1:17" customFormat="1">
      <c r="A104" s="182"/>
      <c r="B104" s="182"/>
      <c r="C104" s="177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83"/>
      <c r="P104" s="180"/>
      <c r="Q104" s="188"/>
    </row>
  </sheetData>
  <mergeCells count="1">
    <mergeCell ref="A103:B103"/>
  </mergeCells>
  <phoneticPr fontId="3" type="noConversion"/>
  <printOptions horizontalCentered="1"/>
  <pageMargins left="0.51181102362204722" right="0.51181102362204722" top="0.74803149606299213" bottom="0.74803149606299213" header="0.31496062992125984" footer="0.31496062992125984"/>
  <pageSetup paperSize="8" scale="77" fitToHeight="5" orientation="landscape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696</v>
      </c>
      <c r="D1" s="28" t="str">
        <f>VLOOKUP(C1,[1]學校編號!A:B,2,FALSE)</f>
        <v>696卓溪國小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27904000</v>
      </c>
      <c r="E2" s="37"/>
      <c r="F2" s="37">
        <f>F48+F70+F76+F77+F83</f>
        <v>7917000</v>
      </c>
      <c r="G2" s="37">
        <f t="shared" ref="G2:Q2" si="0">G48+G70+G76+G77+G83</f>
        <v>1992000</v>
      </c>
      <c r="H2" s="37">
        <f t="shared" si="0"/>
        <v>2009000</v>
      </c>
      <c r="I2" s="37">
        <f t="shared" si="0"/>
        <v>2367000</v>
      </c>
      <c r="J2" s="37">
        <f t="shared" si="0"/>
        <v>1992000</v>
      </c>
      <c r="K2" s="37">
        <f t="shared" si="0"/>
        <v>1994000</v>
      </c>
      <c r="L2" s="37">
        <f t="shared" si="0"/>
        <v>2015000</v>
      </c>
      <c r="M2" s="37">
        <f t="shared" si="0"/>
        <v>1992000</v>
      </c>
      <c r="N2" s="37">
        <f t="shared" si="0"/>
        <v>3499000</v>
      </c>
      <c r="O2" s="37">
        <f t="shared" si="0"/>
        <v>1989000</v>
      </c>
      <c r="P2" s="37">
        <f t="shared" si="0"/>
        <v>76000</v>
      </c>
      <c r="Q2" s="37">
        <f t="shared" si="0"/>
        <v>62000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30000</v>
      </c>
      <c r="E8" s="37" t="s">
        <v>525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3000</v>
      </c>
      <c r="E9" s="37" t="s">
        <v>525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0</v>
      </c>
      <c r="E13" s="37" t="s">
        <v>525</v>
      </c>
      <c r="F13" s="37">
        <f>ROUND($D13/12,0)</f>
        <v>0</v>
      </c>
      <c r="G13" s="37">
        <f t="shared" si="1"/>
        <v>0</v>
      </c>
      <c r="H13" s="37">
        <f t="shared" si="1"/>
        <v>0</v>
      </c>
      <c r="I13" s="37">
        <f t="shared" si="1"/>
        <v>0</v>
      </c>
      <c r="J13" s="37">
        <f t="shared" si="1"/>
        <v>0</v>
      </c>
      <c r="K13" s="37">
        <f t="shared" si="1"/>
        <v>0</v>
      </c>
      <c r="L13" s="37">
        <f t="shared" si="1"/>
        <v>0</v>
      </c>
      <c r="M13" s="37">
        <f t="shared" si="1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>D13-SUM(F13:P13)</f>
        <v>0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32000</v>
      </c>
      <c r="E15" s="37" t="s">
        <v>193</v>
      </c>
      <c r="F15" s="37">
        <f>ROUND($D15/2,-3)</f>
        <v>16000</v>
      </c>
      <c r="G15" s="37"/>
      <c r="H15" s="37"/>
      <c r="I15" s="37"/>
      <c r="J15" s="37"/>
      <c r="K15" s="37"/>
      <c r="L15" s="37">
        <f>D15-F15</f>
        <v>16000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164000</v>
      </c>
      <c r="E16" s="37" t="s">
        <v>525</v>
      </c>
      <c r="F16" s="37">
        <f>ROUND($D16/12,0)</f>
        <v>13667</v>
      </c>
      <c r="G16" s="37">
        <f t="shared" si="1"/>
        <v>13667</v>
      </c>
      <c r="H16" s="37">
        <f t="shared" si="1"/>
        <v>13667</v>
      </c>
      <c r="I16" s="37">
        <f t="shared" si="1"/>
        <v>13667</v>
      </c>
      <c r="J16" s="37">
        <f t="shared" si="1"/>
        <v>13667</v>
      </c>
      <c r="K16" s="37">
        <f t="shared" si="1"/>
        <v>13667</v>
      </c>
      <c r="L16" s="37">
        <f t="shared" si="1"/>
        <v>13667</v>
      </c>
      <c r="M16" s="37">
        <f t="shared" si="1"/>
        <v>13667</v>
      </c>
      <c r="N16" s="37">
        <f t="shared" si="1"/>
        <v>13667</v>
      </c>
      <c r="O16" s="37">
        <f t="shared" si="1"/>
        <v>13667</v>
      </c>
      <c r="P16" s="37">
        <f t="shared" si="1"/>
        <v>13667</v>
      </c>
      <c r="Q16" s="37">
        <f>D16-SUM(F16:P16)</f>
        <v>13663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15000</v>
      </c>
      <c r="E24" s="37" t="s">
        <v>193</v>
      </c>
      <c r="F24" s="37">
        <f>ROUND($D24/2,-3)</f>
        <v>8000</v>
      </c>
      <c r="G24" s="37"/>
      <c r="H24" s="37"/>
      <c r="I24" s="37"/>
      <c r="J24" s="37"/>
      <c r="K24" s="37"/>
      <c r="L24" s="37">
        <f>D24-F24</f>
        <v>7000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606000</v>
      </c>
      <c r="E25" s="108"/>
      <c r="F25" s="108">
        <f>ROUND(SUM(F3:F24),-3)</f>
        <v>71000</v>
      </c>
      <c r="G25" s="108">
        <f t="shared" ref="G25:P25" si="5">ROUND(SUM(G3:G24),-3)</f>
        <v>47000</v>
      </c>
      <c r="H25" s="108">
        <f t="shared" si="5"/>
        <v>47000</v>
      </c>
      <c r="I25" s="108">
        <f t="shared" si="5"/>
        <v>47000</v>
      </c>
      <c r="J25" s="108">
        <f t="shared" si="5"/>
        <v>47000</v>
      </c>
      <c r="K25" s="108">
        <f t="shared" si="5"/>
        <v>47000</v>
      </c>
      <c r="L25" s="108">
        <f t="shared" si="5"/>
        <v>70000</v>
      </c>
      <c r="M25" s="108">
        <f t="shared" si="5"/>
        <v>47000</v>
      </c>
      <c r="N25" s="108">
        <f t="shared" si="5"/>
        <v>47000</v>
      </c>
      <c r="O25" s="108">
        <f t="shared" si="5"/>
        <v>47000</v>
      </c>
      <c r="P25" s="108">
        <f t="shared" si="5"/>
        <v>47000</v>
      </c>
      <c r="Q25" s="108">
        <f t="shared" ref="Q25:Q33" si="6">D25-SUM(F25:P25)</f>
        <v>42000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12000</v>
      </c>
      <c r="E30" s="37" t="s">
        <v>525</v>
      </c>
      <c r="F30" s="37">
        <f t="shared" si="8"/>
        <v>1000</v>
      </c>
      <c r="G30" s="37">
        <f t="shared" si="8"/>
        <v>1000</v>
      </c>
      <c r="H30" s="37">
        <f t="shared" si="8"/>
        <v>1000</v>
      </c>
      <c r="I30" s="37">
        <f t="shared" si="8"/>
        <v>1000</v>
      </c>
      <c r="J30" s="37">
        <f t="shared" si="8"/>
        <v>1000</v>
      </c>
      <c r="K30" s="37">
        <f t="shared" si="8"/>
        <v>1000</v>
      </c>
      <c r="L30" s="37">
        <f t="shared" si="8"/>
        <v>1000</v>
      </c>
      <c r="M30" s="37">
        <f t="shared" si="8"/>
        <v>1000</v>
      </c>
      <c r="N30" s="37">
        <f t="shared" si="8"/>
        <v>1000</v>
      </c>
      <c r="O30" s="37">
        <f t="shared" si="8"/>
        <v>1000</v>
      </c>
      <c r="P30" s="37">
        <f t="shared" si="8"/>
        <v>1000</v>
      </c>
      <c r="Q30" s="37">
        <f t="shared" si="6"/>
        <v>1000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6000</v>
      </c>
      <c r="E31" s="37" t="s">
        <v>525</v>
      </c>
      <c r="F31" s="37">
        <f t="shared" si="8"/>
        <v>500</v>
      </c>
      <c r="G31" s="37">
        <f t="shared" si="8"/>
        <v>500</v>
      </c>
      <c r="H31" s="37">
        <f t="shared" si="8"/>
        <v>500</v>
      </c>
      <c r="I31" s="37">
        <f t="shared" si="8"/>
        <v>500</v>
      </c>
      <c r="J31" s="37">
        <f t="shared" si="8"/>
        <v>500</v>
      </c>
      <c r="K31" s="37">
        <f t="shared" si="8"/>
        <v>500</v>
      </c>
      <c r="L31" s="37">
        <f t="shared" si="8"/>
        <v>500</v>
      </c>
      <c r="M31" s="37">
        <f t="shared" si="8"/>
        <v>500</v>
      </c>
      <c r="N31" s="37">
        <f t="shared" si="8"/>
        <v>500</v>
      </c>
      <c r="O31" s="37">
        <f t="shared" si="8"/>
        <v>500</v>
      </c>
      <c r="P31" s="37">
        <f t="shared" si="8"/>
        <v>500</v>
      </c>
      <c r="Q31" s="37">
        <f t="shared" si="6"/>
        <v>500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284000</v>
      </c>
      <c r="E37" s="108"/>
      <c r="F37" s="108">
        <f t="shared" ref="F37:P37" si="9">ROUND(SUM(F26:F36),-3)</f>
        <v>24000</v>
      </c>
      <c r="G37" s="108">
        <f t="shared" si="9"/>
        <v>24000</v>
      </c>
      <c r="H37" s="108">
        <f t="shared" si="9"/>
        <v>24000</v>
      </c>
      <c r="I37" s="108">
        <f t="shared" si="9"/>
        <v>24000</v>
      </c>
      <c r="J37" s="108">
        <f t="shared" si="9"/>
        <v>24000</v>
      </c>
      <c r="K37" s="108">
        <f t="shared" si="9"/>
        <v>24000</v>
      </c>
      <c r="L37" s="108">
        <f t="shared" si="9"/>
        <v>24000</v>
      </c>
      <c r="M37" s="108">
        <f t="shared" si="9"/>
        <v>24000</v>
      </c>
      <c r="N37" s="108">
        <f t="shared" si="9"/>
        <v>24000</v>
      </c>
      <c r="O37" s="108">
        <f t="shared" si="9"/>
        <v>24000</v>
      </c>
      <c r="P37" s="108">
        <f t="shared" si="9"/>
        <v>24000</v>
      </c>
      <c r="Q37" s="108">
        <f>D37-SUM(F37:P37)</f>
        <v>20000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896000</v>
      </c>
      <c r="E48" s="37"/>
      <c r="F48" s="115">
        <f>F25+F37+F45+F47</f>
        <v>97000</v>
      </c>
      <c r="G48" s="115">
        <f t="shared" ref="G48:R48" si="14">G25+G37+G45+G47</f>
        <v>71000</v>
      </c>
      <c r="H48" s="115">
        <f t="shared" si="14"/>
        <v>71000</v>
      </c>
      <c r="I48" s="115">
        <f t="shared" si="14"/>
        <v>71000</v>
      </c>
      <c r="J48" s="115">
        <f t="shared" si="14"/>
        <v>71000</v>
      </c>
      <c r="K48" s="115">
        <f t="shared" si="14"/>
        <v>73000</v>
      </c>
      <c r="L48" s="115">
        <f t="shared" si="14"/>
        <v>94000</v>
      </c>
      <c r="M48" s="115">
        <f t="shared" si="14"/>
        <v>71000</v>
      </c>
      <c r="N48" s="115">
        <f t="shared" si="14"/>
        <v>73000</v>
      </c>
      <c r="O48" s="115">
        <f t="shared" si="14"/>
        <v>71000</v>
      </c>
      <c r="P48" s="115">
        <f t="shared" si="14"/>
        <v>71000</v>
      </c>
      <c r="Q48" s="115">
        <f t="shared" si="14"/>
        <v>62000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15124000</v>
      </c>
      <c r="E49" s="114" t="s">
        <v>202</v>
      </c>
      <c r="F49" s="37">
        <f>ROUND($D49/12*3,-3)</f>
        <v>3781000</v>
      </c>
      <c r="G49" s="37">
        <f>ROUND($D49/12,-3)</f>
        <v>1260000</v>
      </c>
      <c r="H49" s="37">
        <f t="shared" ref="H49:N53" si="15">ROUND($D49/12,-3)</f>
        <v>1260000</v>
      </c>
      <c r="I49" s="37">
        <f t="shared" si="15"/>
        <v>1260000</v>
      </c>
      <c r="J49" s="37">
        <f t="shared" si="15"/>
        <v>1260000</v>
      </c>
      <c r="K49" s="37">
        <f t="shared" si="15"/>
        <v>1260000</v>
      </c>
      <c r="L49" s="37">
        <f t="shared" si="15"/>
        <v>1260000</v>
      </c>
      <c r="M49" s="37">
        <f t="shared" si="15"/>
        <v>1260000</v>
      </c>
      <c r="N49" s="37">
        <f t="shared" si="15"/>
        <v>1260000</v>
      </c>
      <c r="O49" s="37">
        <f>D49-SUM(F49:N49)</f>
        <v>1263000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1412000</v>
      </c>
      <c r="E51" s="114" t="s">
        <v>202</v>
      </c>
      <c r="F51" s="37">
        <f t="shared" si="16"/>
        <v>353000</v>
      </c>
      <c r="G51" s="37">
        <f t="shared" si="17"/>
        <v>118000</v>
      </c>
      <c r="H51" s="37">
        <f t="shared" si="15"/>
        <v>118000</v>
      </c>
      <c r="I51" s="37">
        <f t="shared" si="15"/>
        <v>118000</v>
      </c>
      <c r="J51" s="37">
        <f t="shared" si="15"/>
        <v>118000</v>
      </c>
      <c r="K51" s="37">
        <f t="shared" si="15"/>
        <v>118000</v>
      </c>
      <c r="L51" s="37">
        <f t="shared" si="15"/>
        <v>118000</v>
      </c>
      <c r="M51" s="37">
        <f t="shared" si="15"/>
        <v>118000</v>
      </c>
      <c r="N51" s="37">
        <f t="shared" si="15"/>
        <v>118000</v>
      </c>
      <c r="O51" s="37">
        <f t="shared" si="18"/>
        <v>115000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308000</v>
      </c>
      <c r="E60" s="37" t="s">
        <v>195</v>
      </c>
      <c r="F60" s="37">
        <f>D60</f>
        <v>308000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1877000</v>
      </c>
      <c r="E62" s="37" t="s">
        <v>197</v>
      </c>
      <c r="F62" s="37"/>
      <c r="G62" s="37"/>
      <c r="H62" s="37"/>
      <c r="I62" s="37">
        <f>ROUND($D62/5,-3)</f>
        <v>375000</v>
      </c>
      <c r="J62" s="37"/>
      <c r="K62" s="37"/>
      <c r="L62" s="37"/>
      <c r="M62" s="37"/>
      <c r="N62" s="37">
        <f>D62-I62</f>
        <v>1502000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1656000</v>
      </c>
      <c r="E63" s="37" t="s">
        <v>195</v>
      </c>
      <c r="F63" s="37">
        <f>D63</f>
        <v>1656000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1495000</v>
      </c>
      <c r="E64" s="114" t="s">
        <v>202</v>
      </c>
      <c r="F64" s="37">
        <f>ROUND($D64/12*3,-3)</f>
        <v>374000</v>
      </c>
      <c r="G64" s="37">
        <f>ROUND($D64/12,-3)</f>
        <v>125000</v>
      </c>
      <c r="H64" s="37">
        <f t="shared" ref="H64:N66" si="21">ROUND($D64/12,-3)</f>
        <v>125000</v>
      </c>
      <c r="I64" s="37">
        <f t="shared" si="21"/>
        <v>125000</v>
      </c>
      <c r="J64" s="37">
        <f t="shared" si="21"/>
        <v>125000</v>
      </c>
      <c r="K64" s="37">
        <f t="shared" si="21"/>
        <v>125000</v>
      </c>
      <c r="L64" s="37">
        <f t="shared" si="21"/>
        <v>125000</v>
      </c>
      <c r="M64" s="37">
        <f t="shared" si="21"/>
        <v>125000</v>
      </c>
      <c r="N64" s="37">
        <f t="shared" si="21"/>
        <v>125000</v>
      </c>
      <c r="O64" s="37">
        <f>D64-SUM(F64:N64)</f>
        <v>121000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362000</v>
      </c>
      <c r="E65" s="114" t="s">
        <v>202</v>
      </c>
      <c r="F65" s="37">
        <f t="shared" ref="F65:F66" si="22">ROUND($D65/12*3,-3)</f>
        <v>91000</v>
      </c>
      <c r="G65" s="37">
        <f t="shared" ref="G65:G66" si="23">ROUND($D65/12,-3)</f>
        <v>30000</v>
      </c>
      <c r="H65" s="37">
        <f t="shared" si="21"/>
        <v>30000</v>
      </c>
      <c r="I65" s="37">
        <f t="shared" si="21"/>
        <v>30000</v>
      </c>
      <c r="J65" s="37">
        <f t="shared" si="21"/>
        <v>30000</v>
      </c>
      <c r="K65" s="37">
        <f t="shared" si="21"/>
        <v>30000</v>
      </c>
      <c r="L65" s="37">
        <f t="shared" si="21"/>
        <v>30000</v>
      </c>
      <c r="M65" s="37">
        <f t="shared" si="21"/>
        <v>30000</v>
      </c>
      <c r="N65" s="37">
        <f t="shared" si="21"/>
        <v>30000</v>
      </c>
      <c r="O65" s="37">
        <f t="shared" ref="O65:O66" si="24">D65-SUM(F65:N65)</f>
        <v>31000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1010000</v>
      </c>
      <c r="E66" s="114" t="s">
        <v>202</v>
      </c>
      <c r="F66" s="37">
        <f t="shared" si="22"/>
        <v>253000</v>
      </c>
      <c r="G66" s="37">
        <f t="shared" si="23"/>
        <v>84000</v>
      </c>
      <c r="H66" s="37">
        <f t="shared" si="21"/>
        <v>84000</v>
      </c>
      <c r="I66" s="37">
        <f t="shared" si="21"/>
        <v>84000</v>
      </c>
      <c r="J66" s="37">
        <f t="shared" si="21"/>
        <v>84000</v>
      </c>
      <c r="K66" s="37">
        <f t="shared" si="21"/>
        <v>84000</v>
      </c>
      <c r="L66" s="37">
        <f t="shared" si="21"/>
        <v>84000</v>
      </c>
      <c r="M66" s="37">
        <f t="shared" si="21"/>
        <v>84000</v>
      </c>
      <c r="N66" s="37">
        <f t="shared" si="21"/>
        <v>84000</v>
      </c>
      <c r="O66" s="37">
        <f t="shared" si="24"/>
        <v>85000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13000</v>
      </c>
      <c r="E67" s="37" t="s">
        <v>196</v>
      </c>
      <c r="F67" s="37"/>
      <c r="G67" s="37"/>
      <c r="H67" s="37">
        <f>D67</f>
        <v>13000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102000</v>
      </c>
      <c r="E68" s="37" t="s">
        <v>195</v>
      </c>
      <c r="F68" s="37">
        <f>D68</f>
        <v>102000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23679000</v>
      </c>
      <c r="E70" s="108"/>
      <c r="F70" s="108">
        <f t="shared" ref="F70:P70" si="25">ROUND(SUM(F49:F69),-3)</f>
        <v>6989000</v>
      </c>
      <c r="G70" s="108">
        <f t="shared" si="25"/>
        <v>1644000</v>
      </c>
      <c r="H70" s="108">
        <f t="shared" si="25"/>
        <v>1657000</v>
      </c>
      <c r="I70" s="108">
        <f t="shared" si="25"/>
        <v>2019000</v>
      </c>
      <c r="J70" s="108">
        <f t="shared" si="25"/>
        <v>1644000</v>
      </c>
      <c r="K70" s="108">
        <f t="shared" si="25"/>
        <v>1644000</v>
      </c>
      <c r="L70" s="108">
        <f t="shared" si="25"/>
        <v>1644000</v>
      </c>
      <c r="M70" s="108">
        <f t="shared" si="25"/>
        <v>1644000</v>
      </c>
      <c r="N70" s="108">
        <f t="shared" si="25"/>
        <v>3146000</v>
      </c>
      <c r="O70" s="108">
        <f t="shared" si="25"/>
        <v>1643000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1819000</v>
      </c>
      <c r="E72" s="114" t="s">
        <v>202</v>
      </c>
      <c r="F72" s="37">
        <f>ROUND($D72/12*3,-3)</f>
        <v>455000</v>
      </c>
      <c r="G72" s="37">
        <f>ROUND($D72/12,-3)</f>
        <v>152000</v>
      </c>
      <c r="H72" s="37">
        <f t="shared" ref="H72:N75" si="26">ROUND($D72/12,-3)</f>
        <v>152000</v>
      </c>
      <c r="I72" s="37">
        <f t="shared" si="26"/>
        <v>152000</v>
      </c>
      <c r="J72" s="37">
        <f t="shared" si="26"/>
        <v>152000</v>
      </c>
      <c r="K72" s="37">
        <f t="shared" si="26"/>
        <v>152000</v>
      </c>
      <c r="L72" s="37">
        <f t="shared" si="26"/>
        <v>152000</v>
      </c>
      <c r="M72" s="37">
        <f t="shared" si="26"/>
        <v>152000</v>
      </c>
      <c r="N72" s="37">
        <f t="shared" si="26"/>
        <v>152000</v>
      </c>
      <c r="O72" s="37">
        <f>D72-SUM(F72:N72)</f>
        <v>148000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1503000</v>
      </c>
      <c r="E75" s="114" t="s">
        <v>202</v>
      </c>
      <c r="F75" s="37">
        <f>ROUND($D75/12*3,-3)</f>
        <v>376000</v>
      </c>
      <c r="G75" s="37">
        <f>ROUND($D75/12,-3)</f>
        <v>125000</v>
      </c>
      <c r="H75" s="37">
        <f t="shared" si="26"/>
        <v>125000</v>
      </c>
      <c r="I75" s="37">
        <f t="shared" si="26"/>
        <v>125000</v>
      </c>
      <c r="J75" s="37">
        <f t="shared" si="26"/>
        <v>125000</v>
      </c>
      <c r="K75" s="37">
        <f t="shared" si="26"/>
        <v>125000</v>
      </c>
      <c r="L75" s="37">
        <f t="shared" si="26"/>
        <v>125000</v>
      </c>
      <c r="M75" s="37">
        <f t="shared" si="26"/>
        <v>125000</v>
      </c>
      <c r="N75" s="37">
        <f t="shared" si="26"/>
        <v>125000</v>
      </c>
      <c r="O75" s="37">
        <f>D75-SUM(F75:N75)</f>
        <v>127000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3322000</v>
      </c>
      <c r="E76" s="108"/>
      <c r="F76" s="108">
        <f>ROUND(SUM(F71:F75),-3)</f>
        <v>831000</v>
      </c>
      <c r="G76" s="108">
        <f t="shared" ref="G76:N76" si="27">ROUND(SUM(G71:G75),-3)</f>
        <v>277000</v>
      </c>
      <c r="H76" s="108">
        <f t="shared" si="27"/>
        <v>277000</v>
      </c>
      <c r="I76" s="108">
        <f t="shared" si="27"/>
        <v>277000</v>
      </c>
      <c r="J76" s="108">
        <f t="shared" si="27"/>
        <v>277000</v>
      </c>
      <c r="K76" s="108">
        <f t="shared" si="27"/>
        <v>277000</v>
      </c>
      <c r="L76" s="108">
        <f t="shared" si="27"/>
        <v>277000</v>
      </c>
      <c r="M76" s="108">
        <f t="shared" si="27"/>
        <v>277000</v>
      </c>
      <c r="N76" s="108">
        <f t="shared" si="27"/>
        <v>277000</v>
      </c>
      <c r="O76" s="108">
        <f>D76-SUM(F76:N76)</f>
        <v>275000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7000</v>
      </c>
      <c r="E77" s="37" t="s">
        <v>681</v>
      </c>
      <c r="F77" s="224"/>
      <c r="G77" s="224"/>
      <c r="H77" s="224">
        <f>ROUND($D77/2,-3)</f>
        <v>4000</v>
      </c>
      <c r="I77" s="224"/>
      <c r="J77" s="224"/>
      <c r="K77" s="224"/>
      <c r="L77" s="224"/>
      <c r="M77" s="224"/>
      <c r="N77" s="224">
        <f>D77-H77</f>
        <v>3000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27008000</v>
      </c>
      <c r="E78" s="227"/>
      <c r="F78" s="227">
        <f>F76+F70+F77</f>
        <v>7820000</v>
      </c>
      <c r="G78" s="227">
        <f t="shared" ref="G78:Q78" si="29">G76+G70+G77</f>
        <v>1921000</v>
      </c>
      <c r="H78" s="227">
        <f t="shared" si="29"/>
        <v>1938000</v>
      </c>
      <c r="I78" s="227">
        <f t="shared" si="29"/>
        <v>2296000</v>
      </c>
      <c r="J78" s="227">
        <f t="shared" si="29"/>
        <v>1921000</v>
      </c>
      <c r="K78" s="227">
        <f t="shared" si="29"/>
        <v>1921000</v>
      </c>
      <c r="L78" s="227">
        <f t="shared" si="29"/>
        <v>1921000</v>
      </c>
      <c r="M78" s="227">
        <f t="shared" si="29"/>
        <v>1921000</v>
      </c>
      <c r="N78" s="227">
        <f t="shared" si="29"/>
        <v>3426000</v>
      </c>
      <c r="O78" s="227">
        <f t="shared" si="29"/>
        <v>1918000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27904000</v>
      </c>
      <c r="E87" s="37"/>
      <c r="F87" s="37">
        <f>F88+F89+F90+F91</f>
        <v>7917000</v>
      </c>
      <c r="G87" s="37">
        <f t="shared" ref="G87:Q87" si="32">G88+G89+G90+G91</f>
        <v>1992000</v>
      </c>
      <c r="H87" s="37">
        <f t="shared" si="32"/>
        <v>2009000</v>
      </c>
      <c r="I87" s="37">
        <f t="shared" si="32"/>
        <v>2367000</v>
      </c>
      <c r="J87" s="37">
        <f t="shared" si="32"/>
        <v>1992000</v>
      </c>
      <c r="K87" s="37">
        <f t="shared" si="32"/>
        <v>1994000</v>
      </c>
      <c r="L87" s="37">
        <f t="shared" si="32"/>
        <v>2015000</v>
      </c>
      <c r="M87" s="37">
        <f t="shared" si="32"/>
        <v>1992000</v>
      </c>
      <c r="N87" s="37">
        <f t="shared" si="32"/>
        <v>3499000</v>
      </c>
      <c r="O87" s="37">
        <f t="shared" si="32"/>
        <v>1989000</v>
      </c>
      <c r="P87" s="37">
        <f t="shared" si="32"/>
        <v>76000</v>
      </c>
      <c r="Q87" s="37">
        <f t="shared" si="32"/>
        <v>62000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15000</v>
      </c>
      <c r="E88" s="108" t="s">
        <v>193</v>
      </c>
      <c r="F88" s="108">
        <f>ROUND($D88/2,-3)</f>
        <v>8000</v>
      </c>
      <c r="G88" s="108"/>
      <c r="H88" s="108"/>
      <c r="I88" s="108"/>
      <c r="J88" s="108"/>
      <c r="K88" s="108"/>
      <c r="L88" s="108">
        <f>D88-F88</f>
        <v>7000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27888000</v>
      </c>
      <c r="E91" s="108"/>
      <c r="F91" s="108">
        <f>F92+F93+F94+F95</f>
        <v>7909000</v>
      </c>
      <c r="G91" s="108">
        <f t="shared" ref="G91:Q91" si="34">G92+G93+G94+G95</f>
        <v>1992000</v>
      </c>
      <c r="H91" s="108">
        <f t="shared" si="34"/>
        <v>2009000</v>
      </c>
      <c r="I91" s="108">
        <f t="shared" si="34"/>
        <v>2367000</v>
      </c>
      <c r="J91" s="108">
        <f t="shared" si="34"/>
        <v>1992000</v>
      </c>
      <c r="K91" s="108">
        <f t="shared" si="34"/>
        <v>1994000</v>
      </c>
      <c r="L91" s="108">
        <f t="shared" si="34"/>
        <v>2008000</v>
      </c>
      <c r="M91" s="108">
        <f t="shared" si="34"/>
        <v>1992000</v>
      </c>
      <c r="N91" s="108">
        <f t="shared" si="34"/>
        <v>3499000</v>
      </c>
      <c r="O91" s="108">
        <f t="shared" si="34"/>
        <v>1989000</v>
      </c>
      <c r="P91" s="108">
        <f t="shared" si="34"/>
        <v>76000</v>
      </c>
      <c r="Q91" s="108">
        <f t="shared" si="34"/>
        <v>61000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2315000</v>
      </c>
      <c r="E92" s="114" t="s">
        <v>537</v>
      </c>
      <c r="F92" s="37">
        <f>ROUND($D92/12*5,-3)</f>
        <v>965000</v>
      </c>
      <c r="G92" s="37">
        <f>ROUND($D92/12,-3)</f>
        <v>193000</v>
      </c>
      <c r="H92" s="37">
        <f t="shared" ref="H92:L92" si="35">ROUND($D92/12,-3)</f>
        <v>193000</v>
      </c>
      <c r="I92" s="37">
        <f t="shared" si="35"/>
        <v>193000</v>
      </c>
      <c r="J92" s="37">
        <f t="shared" si="35"/>
        <v>193000</v>
      </c>
      <c r="K92" s="37">
        <f t="shared" si="35"/>
        <v>193000</v>
      </c>
      <c r="L92" s="37">
        <f t="shared" si="35"/>
        <v>193000</v>
      </c>
      <c r="M92" s="37">
        <f>D92-SUM(F92:L92)</f>
        <v>192000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420000</v>
      </c>
      <c r="E94" s="190" t="s">
        <v>229</v>
      </c>
      <c r="F94" s="37"/>
      <c r="G94" s="37"/>
      <c r="H94" s="37">
        <f>ROUND($D94/2,-3)</f>
        <v>210000</v>
      </c>
      <c r="I94" s="37"/>
      <c r="J94" s="37"/>
      <c r="K94" s="37"/>
      <c r="L94" s="37"/>
      <c r="M94" s="37"/>
      <c r="N94" s="37"/>
      <c r="O94" s="37">
        <f>D94-H94</f>
        <v>210000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25063000</v>
      </c>
      <c r="E95" s="37"/>
      <c r="F95" s="37">
        <f>F2+F86-F88-F89-F90-F92-F93-F94</f>
        <v>6936000</v>
      </c>
      <c r="G95" s="37">
        <f t="shared" ref="G95:Q95" si="37">G2-G88-G89-G90-G92-G93-G94</f>
        <v>1791000</v>
      </c>
      <c r="H95" s="37">
        <f t="shared" si="37"/>
        <v>1598000</v>
      </c>
      <c r="I95" s="37">
        <f t="shared" si="37"/>
        <v>2166000</v>
      </c>
      <c r="J95" s="37">
        <f t="shared" si="37"/>
        <v>1791000</v>
      </c>
      <c r="K95" s="37">
        <f t="shared" si="37"/>
        <v>1793000</v>
      </c>
      <c r="L95" s="37">
        <f t="shared" si="37"/>
        <v>1807000</v>
      </c>
      <c r="M95" s="37">
        <f t="shared" si="37"/>
        <v>1792000</v>
      </c>
      <c r="N95" s="37">
        <f t="shared" si="37"/>
        <v>3491000</v>
      </c>
      <c r="O95" s="37">
        <f t="shared" si="37"/>
        <v>1771000</v>
      </c>
      <c r="P95" s="37">
        <f t="shared" si="37"/>
        <v>68000</v>
      </c>
      <c r="Q95" s="37">
        <f t="shared" si="37"/>
        <v>59000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420000</v>
      </c>
    </row>
    <row r="105" spans="2:17" ht="32.4">
      <c r="B105" s="72" t="s">
        <v>380</v>
      </c>
      <c r="D105" s="30">
        <f>HLOOKUP(D1,[1]縣庫撥款收入明細表!H:DD,19,FALSE)</f>
        <v>650000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25063000</v>
      </c>
    </row>
    <row r="108" spans="2:17" ht="16.5" customHeight="1"/>
    <row r="109" spans="2:17" ht="16.5" customHeight="1">
      <c r="B109" s="4" t="s">
        <v>682</v>
      </c>
      <c r="D109" s="30">
        <f>D91-D76</f>
        <v>24566000</v>
      </c>
      <c r="F109" s="30">
        <f>F91-F76</f>
        <v>7078000</v>
      </c>
      <c r="G109" s="30">
        <f t="shared" ref="G109:Q109" si="38">G91-G76</f>
        <v>1715000</v>
      </c>
      <c r="H109" s="30">
        <f t="shared" si="38"/>
        <v>1732000</v>
      </c>
      <c r="I109" s="30">
        <f t="shared" si="38"/>
        <v>2090000</v>
      </c>
      <c r="J109" s="30">
        <f t="shared" si="38"/>
        <v>1715000</v>
      </c>
      <c r="K109" s="30">
        <f t="shared" si="38"/>
        <v>1717000</v>
      </c>
      <c r="L109" s="30">
        <f t="shared" si="38"/>
        <v>1731000</v>
      </c>
      <c r="M109" s="30">
        <f t="shared" si="38"/>
        <v>1715000</v>
      </c>
      <c r="N109" s="30">
        <f t="shared" si="38"/>
        <v>3222000</v>
      </c>
      <c r="O109" s="30">
        <f t="shared" si="38"/>
        <v>1714000</v>
      </c>
      <c r="P109" s="30">
        <f t="shared" si="38"/>
        <v>76000</v>
      </c>
      <c r="Q109" s="30">
        <f t="shared" si="38"/>
        <v>61000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22" priority="1" operator="lessThan">
      <formula>0</formula>
    </cfRule>
  </conditionalFormatting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697</v>
      </c>
      <c r="D1" s="28" t="str">
        <f>VLOOKUP(C1,[1]學校編號!A:B,2,FALSE)</f>
        <v>697崙山國小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24380000</v>
      </c>
      <c r="E2" s="37"/>
      <c r="F2" s="37">
        <f>F48+F70+F76+F77+F83</f>
        <v>7165000</v>
      </c>
      <c r="G2" s="37">
        <f t="shared" ref="G2:Q2" si="0">G48+G70+G76+G77+G83</f>
        <v>1707000</v>
      </c>
      <c r="H2" s="37">
        <f t="shared" si="0"/>
        <v>1791000</v>
      </c>
      <c r="I2" s="37">
        <f t="shared" si="0"/>
        <v>2020000</v>
      </c>
      <c r="J2" s="37">
        <f t="shared" si="0"/>
        <v>1707000</v>
      </c>
      <c r="K2" s="37">
        <f t="shared" si="0"/>
        <v>1707000</v>
      </c>
      <c r="L2" s="37">
        <f t="shared" si="0"/>
        <v>1724000</v>
      </c>
      <c r="M2" s="37">
        <f t="shared" si="0"/>
        <v>1707000</v>
      </c>
      <c r="N2" s="37">
        <f t="shared" si="0"/>
        <v>3015000</v>
      </c>
      <c r="O2" s="37">
        <f t="shared" si="0"/>
        <v>1705000</v>
      </c>
      <c r="P2" s="37">
        <f t="shared" si="0"/>
        <v>67000</v>
      </c>
      <c r="Q2" s="37">
        <f t="shared" si="0"/>
        <v>65000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34000</v>
      </c>
      <c r="E15" s="37" t="s">
        <v>193</v>
      </c>
      <c r="F15" s="37">
        <f>ROUND($D15/2,-3)</f>
        <v>17000</v>
      </c>
      <c r="G15" s="37"/>
      <c r="H15" s="37"/>
      <c r="I15" s="37"/>
      <c r="J15" s="37"/>
      <c r="K15" s="37"/>
      <c r="L15" s="37">
        <f>D15-F15</f>
        <v>17000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500000</v>
      </c>
      <c r="E25" s="108"/>
      <c r="F25" s="108">
        <f>ROUND(SUM(F3:F24),-3)</f>
        <v>56000</v>
      </c>
      <c r="G25" s="108">
        <f t="shared" ref="G25:P25" si="5">ROUND(SUM(G3:G24),-3)</f>
        <v>39000</v>
      </c>
      <c r="H25" s="108">
        <f t="shared" si="5"/>
        <v>39000</v>
      </c>
      <c r="I25" s="108">
        <f t="shared" si="5"/>
        <v>39000</v>
      </c>
      <c r="J25" s="108">
        <f t="shared" si="5"/>
        <v>39000</v>
      </c>
      <c r="K25" s="108">
        <f t="shared" si="5"/>
        <v>39000</v>
      </c>
      <c r="L25" s="108">
        <f t="shared" si="5"/>
        <v>56000</v>
      </c>
      <c r="M25" s="108">
        <f t="shared" si="5"/>
        <v>39000</v>
      </c>
      <c r="N25" s="108">
        <f t="shared" si="5"/>
        <v>39000</v>
      </c>
      <c r="O25" s="108">
        <f t="shared" si="5"/>
        <v>39000</v>
      </c>
      <c r="P25" s="108">
        <f t="shared" si="5"/>
        <v>39000</v>
      </c>
      <c r="Q25" s="108">
        <f t="shared" ref="Q25:Q33" si="6">D25-SUM(F25:P25)</f>
        <v>37000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10000</v>
      </c>
      <c r="E30" s="37" t="s">
        <v>525</v>
      </c>
      <c r="F30" s="37">
        <f t="shared" si="8"/>
        <v>833</v>
      </c>
      <c r="G30" s="37">
        <f t="shared" si="8"/>
        <v>833</v>
      </c>
      <c r="H30" s="37">
        <f t="shared" si="8"/>
        <v>833</v>
      </c>
      <c r="I30" s="37">
        <f t="shared" si="8"/>
        <v>833</v>
      </c>
      <c r="J30" s="37">
        <f t="shared" si="8"/>
        <v>833</v>
      </c>
      <c r="K30" s="37">
        <f t="shared" si="8"/>
        <v>833</v>
      </c>
      <c r="L30" s="37">
        <f t="shared" si="8"/>
        <v>833</v>
      </c>
      <c r="M30" s="37">
        <f t="shared" si="8"/>
        <v>833</v>
      </c>
      <c r="N30" s="37">
        <f t="shared" si="8"/>
        <v>833</v>
      </c>
      <c r="O30" s="37">
        <f t="shared" si="8"/>
        <v>833</v>
      </c>
      <c r="P30" s="37">
        <f t="shared" si="8"/>
        <v>833</v>
      </c>
      <c r="Q30" s="37">
        <f t="shared" si="6"/>
        <v>837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5000</v>
      </c>
      <c r="E31" s="37" t="s">
        <v>525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281000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28000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781000</v>
      </c>
      <c r="E48" s="37"/>
      <c r="F48" s="115">
        <f>F25+F37+F45+F47</f>
        <v>79000</v>
      </c>
      <c r="G48" s="115">
        <f t="shared" ref="G48:R48" si="14">G25+G37+G45+G47</f>
        <v>62000</v>
      </c>
      <c r="H48" s="115">
        <f t="shared" si="14"/>
        <v>62000</v>
      </c>
      <c r="I48" s="115">
        <f t="shared" si="14"/>
        <v>62000</v>
      </c>
      <c r="J48" s="115">
        <f t="shared" si="14"/>
        <v>62000</v>
      </c>
      <c r="K48" s="115">
        <f t="shared" si="14"/>
        <v>62000</v>
      </c>
      <c r="L48" s="115">
        <f t="shared" si="14"/>
        <v>79000</v>
      </c>
      <c r="M48" s="115">
        <f t="shared" si="14"/>
        <v>62000</v>
      </c>
      <c r="N48" s="115">
        <f t="shared" si="14"/>
        <v>62000</v>
      </c>
      <c r="O48" s="115">
        <f t="shared" si="14"/>
        <v>62000</v>
      </c>
      <c r="P48" s="115">
        <f t="shared" si="14"/>
        <v>62000</v>
      </c>
      <c r="Q48" s="115">
        <f t="shared" si="14"/>
        <v>65000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14054000</v>
      </c>
      <c r="E49" s="114" t="s">
        <v>202</v>
      </c>
      <c r="F49" s="37">
        <f>ROUND($D49/12*3,-3)</f>
        <v>3514000</v>
      </c>
      <c r="G49" s="37">
        <f>ROUND($D49/12,-3)</f>
        <v>1171000</v>
      </c>
      <c r="H49" s="37">
        <f t="shared" ref="H49:N53" si="15">ROUND($D49/12,-3)</f>
        <v>1171000</v>
      </c>
      <c r="I49" s="37">
        <f t="shared" si="15"/>
        <v>1171000</v>
      </c>
      <c r="J49" s="37">
        <f t="shared" si="15"/>
        <v>1171000</v>
      </c>
      <c r="K49" s="37">
        <f t="shared" si="15"/>
        <v>1171000</v>
      </c>
      <c r="L49" s="37">
        <f t="shared" si="15"/>
        <v>1171000</v>
      </c>
      <c r="M49" s="37">
        <f t="shared" si="15"/>
        <v>1171000</v>
      </c>
      <c r="N49" s="37">
        <f t="shared" si="15"/>
        <v>1171000</v>
      </c>
      <c r="O49" s="37">
        <f>D49-SUM(F49:N49)</f>
        <v>1172000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456000</v>
      </c>
      <c r="E50" s="114" t="s">
        <v>202</v>
      </c>
      <c r="F50" s="37">
        <f t="shared" ref="F50:F53" si="16">ROUND($D50/12*3,-3)</f>
        <v>114000</v>
      </c>
      <c r="G50" s="37">
        <f t="shared" ref="G50:G53" si="17">ROUND($D50/12,-3)</f>
        <v>38000</v>
      </c>
      <c r="H50" s="37">
        <f t="shared" si="15"/>
        <v>38000</v>
      </c>
      <c r="I50" s="37">
        <f t="shared" si="15"/>
        <v>38000</v>
      </c>
      <c r="J50" s="37">
        <f t="shared" si="15"/>
        <v>38000</v>
      </c>
      <c r="K50" s="37">
        <f t="shared" si="15"/>
        <v>38000</v>
      </c>
      <c r="L50" s="37">
        <f t="shared" si="15"/>
        <v>38000</v>
      </c>
      <c r="M50" s="37">
        <f t="shared" si="15"/>
        <v>38000</v>
      </c>
      <c r="N50" s="37">
        <f t="shared" si="15"/>
        <v>38000</v>
      </c>
      <c r="O50" s="37">
        <f t="shared" ref="O50:O53" si="18">D50-SUM(F50:N50)</f>
        <v>38000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1349000</v>
      </c>
      <c r="E51" s="114" t="s">
        <v>202</v>
      </c>
      <c r="F51" s="37">
        <f t="shared" si="16"/>
        <v>337000</v>
      </c>
      <c r="G51" s="37">
        <f t="shared" si="17"/>
        <v>112000</v>
      </c>
      <c r="H51" s="37">
        <f t="shared" si="15"/>
        <v>112000</v>
      </c>
      <c r="I51" s="37">
        <f t="shared" si="15"/>
        <v>112000</v>
      </c>
      <c r="J51" s="37">
        <f t="shared" si="15"/>
        <v>112000</v>
      </c>
      <c r="K51" s="37">
        <f t="shared" si="15"/>
        <v>112000</v>
      </c>
      <c r="L51" s="37">
        <f t="shared" si="15"/>
        <v>112000</v>
      </c>
      <c r="M51" s="37">
        <f t="shared" si="15"/>
        <v>112000</v>
      </c>
      <c r="N51" s="37">
        <f t="shared" si="15"/>
        <v>112000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383000</v>
      </c>
      <c r="E60" s="37" t="s">
        <v>195</v>
      </c>
      <c r="F60" s="37">
        <f>D60</f>
        <v>383000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1565000</v>
      </c>
      <c r="E62" s="37" t="s">
        <v>197</v>
      </c>
      <c r="F62" s="37"/>
      <c r="G62" s="37"/>
      <c r="H62" s="37"/>
      <c r="I62" s="37">
        <f>ROUND($D62/5,-3)</f>
        <v>313000</v>
      </c>
      <c r="J62" s="37"/>
      <c r="K62" s="37"/>
      <c r="L62" s="37"/>
      <c r="M62" s="37"/>
      <c r="N62" s="37">
        <f>D62-I62</f>
        <v>1252000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1647000</v>
      </c>
      <c r="E63" s="37" t="s">
        <v>195</v>
      </c>
      <c r="F63" s="37">
        <f>D63</f>
        <v>1647000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1375000</v>
      </c>
      <c r="E64" s="114" t="s">
        <v>202</v>
      </c>
      <c r="F64" s="37">
        <f>ROUND($D64/12*3,-3)</f>
        <v>344000</v>
      </c>
      <c r="G64" s="37">
        <f>ROUND($D64/12,-3)</f>
        <v>115000</v>
      </c>
      <c r="H64" s="37">
        <f t="shared" ref="H64:N66" si="21">ROUND($D64/12,-3)</f>
        <v>115000</v>
      </c>
      <c r="I64" s="37">
        <f t="shared" si="21"/>
        <v>115000</v>
      </c>
      <c r="J64" s="37">
        <f t="shared" si="21"/>
        <v>115000</v>
      </c>
      <c r="K64" s="37">
        <f t="shared" si="21"/>
        <v>115000</v>
      </c>
      <c r="L64" s="37">
        <f t="shared" si="21"/>
        <v>115000</v>
      </c>
      <c r="M64" s="37">
        <f t="shared" si="21"/>
        <v>115000</v>
      </c>
      <c r="N64" s="37">
        <f t="shared" si="21"/>
        <v>115000</v>
      </c>
      <c r="O64" s="37">
        <f>D64-SUM(F64:N64)</f>
        <v>111000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309000</v>
      </c>
      <c r="E65" s="114" t="s">
        <v>202</v>
      </c>
      <c r="F65" s="37">
        <f t="shared" ref="F65:F66" si="22">ROUND($D65/12*3,-3)</f>
        <v>77000</v>
      </c>
      <c r="G65" s="37">
        <f t="shared" ref="G65:G66" si="23">ROUND($D65/12,-3)</f>
        <v>26000</v>
      </c>
      <c r="H65" s="37">
        <f t="shared" si="21"/>
        <v>26000</v>
      </c>
      <c r="I65" s="37">
        <f t="shared" si="21"/>
        <v>26000</v>
      </c>
      <c r="J65" s="37">
        <f t="shared" si="21"/>
        <v>26000</v>
      </c>
      <c r="K65" s="37">
        <f t="shared" si="21"/>
        <v>26000</v>
      </c>
      <c r="L65" s="37">
        <f t="shared" si="21"/>
        <v>26000</v>
      </c>
      <c r="M65" s="37">
        <f t="shared" si="21"/>
        <v>26000</v>
      </c>
      <c r="N65" s="37">
        <f t="shared" si="21"/>
        <v>26000</v>
      </c>
      <c r="O65" s="37">
        <f t="shared" ref="O65:O66" si="24">D65-SUM(F65:N65)</f>
        <v>24000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1107000</v>
      </c>
      <c r="E66" s="114" t="s">
        <v>202</v>
      </c>
      <c r="F66" s="37">
        <f t="shared" si="22"/>
        <v>277000</v>
      </c>
      <c r="G66" s="37">
        <f t="shared" si="23"/>
        <v>92000</v>
      </c>
      <c r="H66" s="37">
        <f t="shared" si="21"/>
        <v>92000</v>
      </c>
      <c r="I66" s="37">
        <f t="shared" si="21"/>
        <v>92000</v>
      </c>
      <c r="J66" s="37">
        <f t="shared" si="21"/>
        <v>92000</v>
      </c>
      <c r="K66" s="37">
        <f t="shared" si="21"/>
        <v>92000</v>
      </c>
      <c r="L66" s="37">
        <f t="shared" si="21"/>
        <v>92000</v>
      </c>
      <c r="M66" s="37">
        <f t="shared" si="21"/>
        <v>92000</v>
      </c>
      <c r="N66" s="37">
        <f t="shared" si="21"/>
        <v>92000</v>
      </c>
      <c r="O66" s="37">
        <f t="shared" si="24"/>
        <v>94000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27000</v>
      </c>
      <c r="E67" s="37" t="s">
        <v>196</v>
      </c>
      <c r="F67" s="37"/>
      <c r="G67" s="37"/>
      <c r="H67" s="37">
        <f>D67</f>
        <v>27000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131000</v>
      </c>
      <c r="E68" s="37" t="s">
        <v>195</v>
      </c>
      <c r="F68" s="37">
        <f>D68</f>
        <v>131000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22723000</v>
      </c>
      <c r="E70" s="108"/>
      <c r="F70" s="108">
        <f t="shared" ref="F70:P70" si="25">ROUND(SUM(F49:F69),-3)</f>
        <v>6895000</v>
      </c>
      <c r="G70" s="108">
        <f t="shared" si="25"/>
        <v>1581000</v>
      </c>
      <c r="H70" s="108">
        <f t="shared" si="25"/>
        <v>1608000</v>
      </c>
      <c r="I70" s="108">
        <f t="shared" si="25"/>
        <v>1894000</v>
      </c>
      <c r="J70" s="108">
        <f t="shared" si="25"/>
        <v>1581000</v>
      </c>
      <c r="K70" s="108">
        <f t="shared" si="25"/>
        <v>1581000</v>
      </c>
      <c r="L70" s="108">
        <f t="shared" si="25"/>
        <v>1581000</v>
      </c>
      <c r="M70" s="108">
        <f t="shared" si="25"/>
        <v>1581000</v>
      </c>
      <c r="N70" s="108">
        <f t="shared" si="25"/>
        <v>2833000</v>
      </c>
      <c r="O70" s="108">
        <f t="shared" si="25"/>
        <v>1583000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763000</v>
      </c>
      <c r="E72" s="114" t="s">
        <v>202</v>
      </c>
      <c r="F72" s="37">
        <f>ROUND($D72/12*3,-3)</f>
        <v>191000</v>
      </c>
      <c r="G72" s="37">
        <f>ROUND($D72/12,-3)</f>
        <v>64000</v>
      </c>
      <c r="H72" s="37">
        <f t="shared" ref="H72:N75" si="26">ROUND($D72/12,-3)</f>
        <v>64000</v>
      </c>
      <c r="I72" s="37">
        <f t="shared" si="26"/>
        <v>64000</v>
      </c>
      <c r="J72" s="37">
        <f t="shared" si="26"/>
        <v>64000</v>
      </c>
      <c r="K72" s="37">
        <f t="shared" si="26"/>
        <v>64000</v>
      </c>
      <c r="L72" s="37">
        <f t="shared" si="26"/>
        <v>64000</v>
      </c>
      <c r="M72" s="37">
        <f t="shared" si="26"/>
        <v>64000</v>
      </c>
      <c r="N72" s="37">
        <f t="shared" si="26"/>
        <v>64000</v>
      </c>
      <c r="O72" s="37">
        <f>D72-SUM(F72:N72)</f>
        <v>60000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763000</v>
      </c>
      <c r="E76" s="108"/>
      <c r="F76" s="108">
        <f>ROUND(SUM(F71:F75),-3)</f>
        <v>191000</v>
      </c>
      <c r="G76" s="108">
        <f t="shared" ref="G76:N76" si="27">ROUND(SUM(G71:G75),-3)</f>
        <v>64000</v>
      </c>
      <c r="H76" s="108">
        <f t="shared" si="27"/>
        <v>64000</v>
      </c>
      <c r="I76" s="108">
        <f t="shared" si="27"/>
        <v>64000</v>
      </c>
      <c r="J76" s="108">
        <f t="shared" si="27"/>
        <v>64000</v>
      </c>
      <c r="K76" s="108">
        <f t="shared" si="27"/>
        <v>64000</v>
      </c>
      <c r="L76" s="108">
        <f t="shared" si="27"/>
        <v>64000</v>
      </c>
      <c r="M76" s="108">
        <f t="shared" si="27"/>
        <v>64000</v>
      </c>
      <c r="N76" s="108">
        <f t="shared" si="27"/>
        <v>64000</v>
      </c>
      <c r="O76" s="108">
        <f>D76-SUM(F76:N76)</f>
        <v>60000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113000</v>
      </c>
      <c r="E77" s="37" t="s">
        <v>681</v>
      </c>
      <c r="F77" s="224"/>
      <c r="G77" s="224"/>
      <c r="H77" s="224">
        <f>ROUND($D77/2,-3)</f>
        <v>57000</v>
      </c>
      <c r="I77" s="224"/>
      <c r="J77" s="224"/>
      <c r="K77" s="224"/>
      <c r="L77" s="224"/>
      <c r="M77" s="224"/>
      <c r="N77" s="224">
        <f>D77-H77</f>
        <v>56000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23599000</v>
      </c>
      <c r="E78" s="227"/>
      <c r="F78" s="227">
        <f>F76+F70+F77</f>
        <v>7086000</v>
      </c>
      <c r="G78" s="227">
        <f t="shared" ref="G78:Q78" si="29">G76+G70+G77</f>
        <v>1645000</v>
      </c>
      <c r="H78" s="227">
        <f t="shared" si="29"/>
        <v>1729000</v>
      </c>
      <c r="I78" s="227">
        <f t="shared" si="29"/>
        <v>1958000</v>
      </c>
      <c r="J78" s="227">
        <f t="shared" si="29"/>
        <v>1645000</v>
      </c>
      <c r="K78" s="227">
        <f t="shared" si="29"/>
        <v>1645000</v>
      </c>
      <c r="L78" s="227">
        <f t="shared" si="29"/>
        <v>1645000</v>
      </c>
      <c r="M78" s="227">
        <f t="shared" si="29"/>
        <v>1645000</v>
      </c>
      <c r="N78" s="227">
        <f t="shared" si="29"/>
        <v>2953000</v>
      </c>
      <c r="O78" s="227">
        <f t="shared" si="29"/>
        <v>1643000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24380000</v>
      </c>
      <c r="E87" s="37"/>
      <c r="F87" s="37">
        <f>F88+F89+F90+F91</f>
        <v>7165000</v>
      </c>
      <c r="G87" s="37">
        <f t="shared" ref="G87:Q87" si="32">G88+G89+G90+G91</f>
        <v>1707000</v>
      </c>
      <c r="H87" s="37">
        <f t="shared" si="32"/>
        <v>1791000</v>
      </c>
      <c r="I87" s="37">
        <f t="shared" si="32"/>
        <v>2020000</v>
      </c>
      <c r="J87" s="37">
        <f t="shared" si="32"/>
        <v>1707000</v>
      </c>
      <c r="K87" s="37">
        <f t="shared" si="32"/>
        <v>1707000</v>
      </c>
      <c r="L87" s="37">
        <f t="shared" si="32"/>
        <v>1724000</v>
      </c>
      <c r="M87" s="37">
        <f t="shared" si="32"/>
        <v>1707000</v>
      </c>
      <c r="N87" s="37">
        <f t="shared" si="32"/>
        <v>3015000</v>
      </c>
      <c r="O87" s="37">
        <f t="shared" si="32"/>
        <v>1705000</v>
      </c>
      <c r="P87" s="37">
        <f t="shared" si="32"/>
        <v>67000</v>
      </c>
      <c r="Q87" s="37">
        <f t="shared" si="32"/>
        <v>65000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0</v>
      </c>
      <c r="E88" s="108" t="s">
        <v>193</v>
      </c>
      <c r="F88" s="108">
        <f>ROUND($D88/2,-3)</f>
        <v>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24379000</v>
      </c>
      <c r="E91" s="108"/>
      <c r="F91" s="108">
        <f>F92+F93+F94+F95</f>
        <v>7165000</v>
      </c>
      <c r="G91" s="108">
        <f t="shared" ref="G91:Q91" si="34">G92+G93+G94+G95</f>
        <v>1707000</v>
      </c>
      <c r="H91" s="108">
        <f t="shared" si="34"/>
        <v>1791000</v>
      </c>
      <c r="I91" s="108">
        <f t="shared" si="34"/>
        <v>2020000</v>
      </c>
      <c r="J91" s="108">
        <f t="shared" si="34"/>
        <v>1707000</v>
      </c>
      <c r="K91" s="108">
        <f t="shared" si="34"/>
        <v>1707000</v>
      </c>
      <c r="L91" s="108">
        <f t="shared" si="34"/>
        <v>1724000</v>
      </c>
      <c r="M91" s="108">
        <f t="shared" si="34"/>
        <v>1707000</v>
      </c>
      <c r="N91" s="108">
        <f t="shared" si="34"/>
        <v>3015000</v>
      </c>
      <c r="O91" s="108">
        <f t="shared" si="34"/>
        <v>1705000</v>
      </c>
      <c r="P91" s="108">
        <f t="shared" si="34"/>
        <v>67000</v>
      </c>
      <c r="Q91" s="108">
        <f t="shared" si="34"/>
        <v>64000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3615000</v>
      </c>
      <c r="E92" s="114" t="s">
        <v>537</v>
      </c>
      <c r="F92" s="37">
        <f>ROUND($D92/12*5,-3)</f>
        <v>1506000</v>
      </c>
      <c r="G92" s="37">
        <f>ROUND($D92/12,-3)</f>
        <v>301000</v>
      </c>
      <c r="H92" s="37">
        <f t="shared" ref="H92:L92" si="35">ROUND($D92/12,-3)</f>
        <v>301000</v>
      </c>
      <c r="I92" s="37">
        <f t="shared" si="35"/>
        <v>301000</v>
      </c>
      <c r="J92" s="37">
        <f t="shared" si="35"/>
        <v>301000</v>
      </c>
      <c r="K92" s="37">
        <f t="shared" si="35"/>
        <v>301000</v>
      </c>
      <c r="L92" s="37">
        <f t="shared" si="35"/>
        <v>301000</v>
      </c>
      <c r="M92" s="37">
        <f>D92-SUM(F92:L92)</f>
        <v>303000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28000</v>
      </c>
      <c r="E94" s="190" t="s">
        <v>229</v>
      </c>
      <c r="F94" s="37"/>
      <c r="G94" s="37"/>
      <c r="H94" s="37">
        <f>ROUND($D94/2,-3)</f>
        <v>14000</v>
      </c>
      <c r="I94" s="37"/>
      <c r="J94" s="37"/>
      <c r="K94" s="37"/>
      <c r="L94" s="37"/>
      <c r="M94" s="37"/>
      <c r="N94" s="37"/>
      <c r="O94" s="37">
        <f>D94-H94</f>
        <v>14000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20646000</v>
      </c>
      <c r="E95" s="37"/>
      <c r="F95" s="37">
        <f>F2+F86-F88-F89-F90-F92-F93-F94</f>
        <v>5651000</v>
      </c>
      <c r="G95" s="37">
        <f t="shared" ref="G95:Q95" si="37">G2-G88-G89-G90-G92-G93-G94</f>
        <v>1398000</v>
      </c>
      <c r="H95" s="37">
        <f t="shared" si="37"/>
        <v>1468000</v>
      </c>
      <c r="I95" s="37">
        <f t="shared" si="37"/>
        <v>1711000</v>
      </c>
      <c r="J95" s="37">
        <f t="shared" si="37"/>
        <v>1398000</v>
      </c>
      <c r="K95" s="37">
        <f t="shared" si="37"/>
        <v>1398000</v>
      </c>
      <c r="L95" s="37">
        <f t="shared" si="37"/>
        <v>1415000</v>
      </c>
      <c r="M95" s="37">
        <f t="shared" si="37"/>
        <v>1396000</v>
      </c>
      <c r="N95" s="37">
        <f t="shared" si="37"/>
        <v>3007000</v>
      </c>
      <c r="O95" s="37">
        <f t="shared" si="37"/>
        <v>1683000</v>
      </c>
      <c r="P95" s="37">
        <f t="shared" si="37"/>
        <v>59000</v>
      </c>
      <c r="Q95" s="37">
        <f t="shared" si="37"/>
        <v>62000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1300000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28000</v>
      </c>
    </row>
    <row r="105" spans="2:17" ht="32.4">
      <c r="B105" s="72" t="s">
        <v>380</v>
      </c>
      <c r="D105" s="30">
        <f>HLOOKUP(D1,[1]縣庫撥款收入明細表!H:DD,19,FALSE)</f>
        <v>650000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20646000</v>
      </c>
    </row>
    <row r="108" spans="2:17" ht="16.5" customHeight="1"/>
    <row r="109" spans="2:17" ht="16.5" customHeight="1">
      <c r="B109" s="4" t="s">
        <v>682</v>
      </c>
      <c r="D109" s="30">
        <f>D91-D76</f>
        <v>23616000</v>
      </c>
      <c r="F109" s="30">
        <f>F91-F76</f>
        <v>6974000</v>
      </c>
      <c r="G109" s="30">
        <f t="shared" ref="G109:Q109" si="38">G91-G76</f>
        <v>1643000</v>
      </c>
      <c r="H109" s="30">
        <f t="shared" si="38"/>
        <v>1727000</v>
      </c>
      <c r="I109" s="30">
        <f t="shared" si="38"/>
        <v>1956000</v>
      </c>
      <c r="J109" s="30">
        <f t="shared" si="38"/>
        <v>1643000</v>
      </c>
      <c r="K109" s="30">
        <f t="shared" si="38"/>
        <v>1643000</v>
      </c>
      <c r="L109" s="30">
        <f t="shared" si="38"/>
        <v>1660000</v>
      </c>
      <c r="M109" s="30">
        <f t="shared" si="38"/>
        <v>1643000</v>
      </c>
      <c r="N109" s="30">
        <f t="shared" si="38"/>
        <v>2951000</v>
      </c>
      <c r="O109" s="30">
        <f t="shared" si="38"/>
        <v>1645000</v>
      </c>
      <c r="P109" s="30">
        <f t="shared" si="38"/>
        <v>67000</v>
      </c>
      <c r="Q109" s="30">
        <f t="shared" si="38"/>
        <v>64000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20" priority="1" operator="lessThan">
      <formula>0</formula>
    </cfRule>
  </conditionalFormatting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698</v>
      </c>
      <c r="D1" s="28" t="str">
        <f>VLOOKUP(C1,[1]學校編號!A:B,2,FALSE)</f>
        <v>698太平國小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27352000</v>
      </c>
      <c r="E2" s="37"/>
      <c r="F2" s="37">
        <f>F48+F70+F76+F77+F83</f>
        <v>7944000</v>
      </c>
      <c r="G2" s="37">
        <f t="shared" ref="G2:Q2" si="0">G48+G70+G76+G77+G83</f>
        <v>1949000</v>
      </c>
      <c r="H2" s="37">
        <f t="shared" si="0"/>
        <v>1986000</v>
      </c>
      <c r="I2" s="37">
        <f t="shared" si="0"/>
        <v>2286000</v>
      </c>
      <c r="J2" s="37">
        <f t="shared" si="0"/>
        <v>1954000</v>
      </c>
      <c r="K2" s="37">
        <f t="shared" si="0"/>
        <v>1954000</v>
      </c>
      <c r="L2" s="37">
        <f t="shared" si="0"/>
        <v>1973000</v>
      </c>
      <c r="M2" s="37">
        <f t="shared" si="0"/>
        <v>1954000</v>
      </c>
      <c r="N2" s="37">
        <f t="shared" si="0"/>
        <v>3261000</v>
      </c>
      <c r="O2" s="37">
        <f t="shared" si="0"/>
        <v>1952000</v>
      </c>
      <c r="P2" s="37">
        <f t="shared" si="0"/>
        <v>75000</v>
      </c>
      <c r="Q2" s="37">
        <f t="shared" si="0"/>
        <v>64000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25000</v>
      </c>
      <c r="E10" s="37" t="s">
        <v>525</v>
      </c>
      <c r="F10" s="37">
        <f t="shared" si="1"/>
        <v>2083</v>
      </c>
      <c r="G10" s="37">
        <f t="shared" si="1"/>
        <v>2083</v>
      </c>
      <c r="H10" s="37">
        <f t="shared" si="1"/>
        <v>2083</v>
      </c>
      <c r="I10" s="37">
        <f t="shared" si="1"/>
        <v>2083</v>
      </c>
      <c r="J10" s="37">
        <f t="shared" si="1"/>
        <v>2083</v>
      </c>
      <c r="K10" s="37">
        <f t="shared" si="1"/>
        <v>2083</v>
      </c>
      <c r="L10" s="37">
        <f t="shared" si="1"/>
        <v>2083</v>
      </c>
      <c r="M10" s="37">
        <f t="shared" si="1"/>
        <v>2083</v>
      </c>
      <c r="N10" s="37">
        <f t="shared" si="1"/>
        <v>2083</v>
      </c>
      <c r="O10" s="37">
        <f t="shared" si="1"/>
        <v>2083</v>
      </c>
      <c r="P10" s="37">
        <f t="shared" si="1"/>
        <v>2083</v>
      </c>
      <c r="Q10" s="37">
        <f t="shared" si="2"/>
        <v>2087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23000</v>
      </c>
      <c r="E11" s="37" t="s">
        <v>195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514000</v>
      </c>
      <c r="E12" s="113" t="s">
        <v>202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41000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164000</v>
      </c>
      <c r="E13" s="37" t="s">
        <v>525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36000</v>
      </c>
      <c r="E15" s="37" t="s">
        <v>193</v>
      </c>
      <c r="F15" s="37">
        <f>ROUND($D15/2,-3)</f>
        <v>18000</v>
      </c>
      <c r="G15" s="37"/>
      <c r="H15" s="37"/>
      <c r="I15" s="37"/>
      <c r="J15" s="37"/>
      <c r="K15" s="37"/>
      <c r="L15" s="37">
        <f>D15-F15</f>
        <v>18000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0</v>
      </c>
      <c r="E16" s="37" t="s">
        <v>525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3000</v>
      </c>
      <c r="E24" s="37" t="s">
        <v>193</v>
      </c>
      <c r="F24" s="37">
        <f>ROUND($D24/2,-3)</f>
        <v>2000</v>
      </c>
      <c r="G24" s="37"/>
      <c r="H24" s="37"/>
      <c r="I24" s="37"/>
      <c r="J24" s="37"/>
      <c r="K24" s="37"/>
      <c r="L24" s="37">
        <f>D24-F24</f>
        <v>1000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1067000</v>
      </c>
      <c r="E25" s="108"/>
      <c r="F25" s="108">
        <f>ROUND(SUM(F3:F24),-3)</f>
        <v>213000</v>
      </c>
      <c r="G25" s="108">
        <f t="shared" ref="G25:P25" si="5">ROUND(SUM(G3:G24),-3)</f>
        <v>84000</v>
      </c>
      <c r="H25" s="108">
        <f t="shared" si="5"/>
        <v>84000</v>
      </c>
      <c r="I25" s="108">
        <f t="shared" si="5"/>
        <v>84000</v>
      </c>
      <c r="J25" s="108">
        <f t="shared" si="5"/>
        <v>84000</v>
      </c>
      <c r="K25" s="108">
        <f t="shared" si="5"/>
        <v>84000</v>
      </c>
      <c r="L25" s="108">
        <f t="shared" si="5"/>
        <v>103000</v>
      </c>
      <c r="M25" s="108">
        <f t="shared" si="5"/>
        <v>84000</v>
      </c>
      <c r="N25" s="108">
        <f t="shared" si="5"/>
        <v>84000</v>
      </c>
      <c r="O25" s="108">
        <f t="shared" si="5"/>
        <v>82000</v>
      </c>
      <c r="P25" s="108">
        <f t="shared" si="5"/>
        <v>41000</v>
      </c>
      <c r="Q25" s="108">
        <f t="shared" ref="Q25:Q33" si="6">D25-SUM(F25:P25)</f>
        <v>40000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51000</v>
      </c>
      <c r="E26" s="114" t="s">
        <v>204</v>
      </c>
      <c r="F26" s="37">
        <f>ROUND($D26/10,-3)</f>
        <v>5000</v>
      </c>
      <c r="G26" s="37"/>
      <c r="H26" s="37">
        <f>ROUND($D26/10,-3)</f>
        <v>5000</v>
      </c>
      <c r="I26" s="37">
        <f>ROUND($D26/10,-3)</f>
        <v>5000</v>
      </c>
      <c r="J26" s="37">
        <f>ROUND($D26/10,-3)</f>
        <v>5000</v>
      </c>
      <c r="K26" s="37">
        <f>ROUND($D26/10,-3)</f>
        <v>5000</v>
      </c>
      <c r="L26" s="37"/>
      <c r="M26" s="37">
        <f>ROUND($D26/10,-3)</f>
        <v>5000</v>
      </c>
      <c r="N26" s="37">
        <f>ROUND($D26/10,-3)</f>
        <v>5000</v>
      </c>
      <c r="O26" s="37">
        <f>ROUND($D26/10,-3)</f>
        <v>5000</v>
      </c>
      <c r="P26" s="37">
        <f>ROUND($D26/10,-3)</f>
        <v>5000</v>
      </c>
      <c r="Q26" s="37">
        <f t="shared" si="6"/>
        <v>6000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11000</v>
      </c>
      <c r="E30" s="37" t="s">
        <v>525</v>
      </c>
      <c r="F30" s="37">
        <f t="shared" si="8"/>
        <v>917</v>
      </c>
      <c r="G30" s="37">
        <f t="shared" si="8"/>
        <v>917</v>
      </c>
      <c r="H30" s="37">
        <f t="shared" si="8"/>
        <v>917</v>
      </c>
      <c r="I30" s="37">
        <f t="shared" si="8"/>
        <v>917</v>
      </c>
      <c r="J30" s="37">
        <f t="shared" si="8"/>
        <v>917</v>
      </c>
      <c r="K30" s="37">
        <f t="shared" si="8"/>
        <v>917</v>
      </c>
      <c r="L30" s="37">
        <f t="shared" si="8"/>
        <v>917</v>
      </c>
      <c r="M30" s="37">
        <f t="shared" si="8"/>
        <v>917</v>
      </c>
      <c r="N30" s="37">
        <f t="shared" si="8"/>
        <v>917</v>
      </c>
      <c r="O30" s="37">
        <f t="shared" si="8"/>
        <v>917</v>
      </c>
      <c r="P30" s="37">
        <f t="shared" si="8"/>
        <v>917</v>
      </c>
      <c r="Q30" s="37">
        <f t="shared" si="6"/>
        <v>913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5000</v>
      </c>
      <c r="E31" s="37" t="s">
        <v>525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333000</v>
      </c>
      <c r="E37" s="108"/>
      <c r="F37" s="108">
        <f t="shared" ref="F37:P37" si="9">ROUND(SUM(F26:F36),-3)</f>
        <v>29000</v>
      </c>
      <c r="G37" s="108">
        <f t="shared" si="9"/>
        <v>24000</v>
      </c>
      <c r="H37" s="108">
        <f t="shared" si="9"/>
        <v>29000</v>
      </c>
      <c r="I37" s="108">
        <f t="shared" si="9"/>
        <v>29000</v>
      </c>
      <c r="J37" s="108">
        <f t="shared" si="9"/>
        <v>29000</v>
      </c>
      <c r="K37" s="108">
        <f t="shared" si="9"/>
        <v>29000</v>
      </c>
      <c r="L37" s="108">
        <f t="shared" si="9"/>
        <v>24000</v>
      </c>
      <c r="M37" s="108">
        <f t="shared" si="9"/>
        <v>29000</v>
      </c>
      <c r="N37" s="108">
        <f t="shared" si="9"/>
        <v>29000</v>
      </c>
      <c r="O37" s="108">
        <f t="shared" si="9"/>
        <v>29000</v>
      </c>
      <c r="P37" s="108">
        <f t="shared" si="9"/>
        <v>29000</v>
      </c>
      <c r="Q37" s="108">
        <f>D37-SUM(F37:P37)</f>
        <v>24000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5000</v>
      </c>
      <c r="E42" s="37" t="s">
        <v>199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5000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11000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5000</v>
      </c>
      <c r="J45" s="108">
        <f t="shared" si="12"/>
        <v>0</v>
      </c>
      <c r="K45" s="108">
        <f t="shared" si="12"/>
        <v>0</v>
      </c>
      <c r="L45" s="108">
        <f t="shared" si="12"/>
        <v>5000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1411000</v>
      </c>
      <c r="E48" s="37"/>
      <c r="F48" s="115">
        <f>F25+F37+F45+F47</f>
        <v>243000</v>
      </c>
      <c r="G48" s="115">
        <f t="shared" ref="G48:R48" si="14">G25+G37+G45+G47</f>
        <v>108000</v>
      </c>
      <c r="H48" s="115">
        <f t="shared" si="14"/>
        <v>113000</v>
      </c>
      <c r="I48" s="115">
        <f t="shared" si="14"/>
        <v>118000</v>
      </c>
      <c r="J48" s="115">
        <f t="shared" si="14"/>
        <v>113000</v>
      </c>
      <c r="K48" s="115">
        <f t="shared" si="14"/>
        <v>113000</v>
      </c>
      <c r="L48" s="115">
        <f t="shared" si="14"/>
        <v>132000</v>
      </c>
      <c r="M48" s="115">
        <f t="shared" si="14"/>
        <v>113000</v>
      </c>
      <c r="N48" s="115">
        <f t="shared" si="14"/>
        <v>113000</v>
      </c>
      <c r="O48" s="115">
        <f t="shared" si="14"/>
        <v>111000</v>
      </c>
      <c r="P48" s="115">
        <f t="shared" si="14"/>
        <v>70000</v>
      </c>
      <c r="Q48" s="115">
        <f t="shared" si="14"/>
        <v>64000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13791000</v>
      </c>
      <c r="E49" s="114" t="s">
        <v>202</v>
      </c>
      <c r="F49" s="37">
        <f>ROUND($D49/12*3,-3)</f>
        <v>3448000</v>
      </c>
      <c r="G49" s="37">
        <f>ROUND($D49/12,-3)</f>
        <v>1149000</v>
      </c>
      <c r="H49" s="37">
        <f t="shared" ref="H49:N53" si="15">ROUND($D49/12,-3)</f>
        <v>1149000</v>
      </c>
      <c r="I49" s="37">
        <f t="shared" si="15"/>
        <v>1149000</v>
      </c>
      <c r="J49" s="37">
        <f t="shared" si="15"/>
        <v>1149000</v>
      </c>
      <c r="K49" s="37">
        <f t="shared" si="15"/>
        <v>1149000</v>
      </c>
      <c r="L49" s="37">
        <f t="shared" si="15"/>
        <v>1149000</v>
      </c>
      <c r="M49" s="37">
        <f t="shared" si="15"/>
        <v>1149000</v>
      </c>
      <c r="N49" s="37">
        <f t="shared" si="15"/>
        <v>1149000</v>
      </c>
      <c r="O49" s="37">
        <f>D49-SUM(F49:N49)</f>
        <v>1151000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456000</v>
      </c>
      <c r="E50" s="114" t="s">
        <v>202</v>
      </c>
      <c r="F50" s="37">
        <f t="shared" ref="F50:F53" si="16">ROUND($D50/12*3,-3)</f>
        <v>114000</v>
      </c>
      <c r="G50" s="37">
        <f t="shared" ref="G50:G53" si="17">ROUND($D50/12,-3)</f>
        <v>38000</v>
      </c>
      <c r="H50" s="37">
        <f t="shared" si="15"/>
        <v>38000</v>
      </c>
      <c r="I50" s="37">
        <f t="shared" si="15"/>
        <v>38000</v>
      </c>
      <c r="J50" s="37">
        <f t="shared" si="15"/>
        <v>38000</v>
      </c>
      <c r="K50" s="37">
        <f t="shared" si="15"/>
        <v>38000</v>
      </c>
      <c r="L50" s="37">
        <f t="shared" si="15"/>
        <v>38000</v>
      </c>
      <c r="M50" s="37">
        <f t="shared" si="15"/>
        <v>38000</v>
      </c>
      <c r="N50" s="37">
        <f t="shared" si="15"/>
        <v>38000</v>
      </c>
      <c r="O50" s="37">
        <f t="shared" ref="O50:O53" si="18">D50-SUM(F50:N50)</f>
        <v>38000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738000</v>
      </c>
      <c r="E51" s="114" t="s">
        <v>202</v>
      </c>
      <c r="F51" s="37">
        <f t="shared" si="16"/>
        <v>185000</v>
      </c>
      <c r="G51" s="37">
        <f t="shared" si="17"/>
        <v>62000</v>
      </c>
      <c r="H51" s="37">
        <f t="shared" si="15"/>
        <v>62000</v>
      </c>
      <c r="I51" s="37">
        <f t="shared" si="15"/>
        <v>62000</v>
      </c>
      <c r="J51" s="37">
        <f t="shared" si="15"/>
        <v>62000</v>
      </c>
      <c r="K51" s="37">
        <f t="shared" si="15"/>
        <v>62000</v>
      </c>
      <c r="L51" s="37">
        <f t="shared" si="15"/>
        <v>62000</v>
      </c>
      <c r="M51" s="37">
        <f t="shared" si="15"/>
        <v>62000</v>
      </c>
      <c r="N51" s="37">
        <f t="shared" si="15"/>
        <v>62000</v>
      </c>
      <c r="O51" s="37">
        <f t="shared" si="18"/>
        <v>57000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424000</v>
      </c>
      <c r="E60" s="37" t="s">
        <v>195</v>
      </c>
      <c r="F60" s="37">
        <f>D60</f>
        <v>424000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1634000</v>
      </c>
      <c r="E62" s="37" t="s">
        <v>197</v>
      </c>
      <c r="F62" s="37"/>
      <c r="G62" s="37"/>
      <c r="H62" s="37"/>
      <c r="I62" s="37">
        <f>ROUND($D62/5,-3)</f>
        <v>327000</v>
      </c>
      <c r="J62" s="37"/>
      <c r="K62" s="37"/>
      <c r="L62" s="37"/>
      <c r="M62" s="37"/>
      <c r="N62" s="37">
        <f>D62-I62</f>
        <v>1307000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1620000</v>
      </c>
      <c r="E63" s="37" t="s">
        <v>195</v>
      </c>
      <c r="F63" s="37">
        <f>D63</f>
        <v>1620000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1357000</v>
      </c>
      <c r="E64" s="114" t="s">
        <v>202</v>
      </c>
      <c r="F64" s="37">
        <f>ROUND($D64/12*3,-3)</f>
        <v>339000</v>
      </c>
      <c r="G64" s="37">
        <f>ROUND($D64/12,-3)</f>
        <v>113000</v>
      </c>
      <c r="H64" s="37">
        <f t="shared" ref="H64:N66" si="21">ROUND($D64/12,-3)</f>
        <v>113000</v>
      </c>
      <c r="I64" s="37">
        <f t="shared" si="21"/>
        <v>113000</v>
      </c>
      <c r="J64" s="37">
        <f t="shared" si="21"/>
        <v>113000</v>
      </c>
      <c r="K64" s="37">
        <f t="shared" si="21"/>
        <v>113000</v>
      </c>
      <c r="L64" s="37">
        <f t="shared" si="21"/>
        <v>113000</v>
      </c>
      <c r="M64" s="37">
        <f t="shared" si="21"/>
        <v>113000</v>
      </c>
      <c r="N64" s="37">
        <f t="shared" si="21"/>
        <v>113000</v>
      </c>
      <c r="O64" s="37">
        <f>D64-SUM(F64:N64)</f>
        <v>114000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315000</v>
      </c>
      <c r="E65" s="114" t="s">
        <v>202</v>
      </c>
      <c r="F65" s="37">
        <f t="shared" ref="F65:F66" si="22">ROUND($D65/12*3,-3)</f>
        <v>79000</v>
      </c>
      <c r="G65" s="37">
        <f t="shared" ref="G65:G66" si="23">ROUND($D65/12,-3)</f>
        <v>26000</v>
      </c>
      <c r="H65" s="37">
        <f t="shared" si="21"/>
        <v>26000</v>
      </c>
      <c r="I65" s="37">
        <f t="shared" si="21"/>
        <v>26000</v>
      </c>
      <c r="J65" s="37">
        <f t="shared" si="21"/>
        <v>26000</v>
      </c>
      <c r="K65" s="37">
        <f t="shared" si="21"/>
        <v>26000</v>
      </c>
      <c r="L65" s="37">
        <f t="shared" si="21"/>
        <v>26000</v>
      </c>
      <c r="M65" s="37">
        <f t="shared" si="21"/>
        <v>26000</v>
      </c>
      <c r="N65" s="37">
        <f t="shared" si="21"/>
        <v>26000</v>
      </c>
      <c r="O65" s="37">
        <f t="shared" ref="O65:O66" si="24">D65-SUM(F65:N65)</f>
        <v>28000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1052000</v>
      </c>
      <c r="E66" s="114" t="s">
        <v>202</v>
      </c>
      <c r="F66" s="37">
        <f t="shared" si="22"/>
        <v>263000</v>
      </c>
      <c r="G66" s="37">
        <f t="shared" si="23"/>
        <v>88000</v>
      </c>
      <c r="H66" s="37">
        <f t="shared" si="21"/>
        <v>88000</v>
      </c>
      <c r="I66" s="37">
        <f t="shared" si="21"/>
        <v>88000</v>
      </c>
      <c r="J66" s="37">
        <f t="shared" si="21"/>
        <v>88000</v>
      </c>
      <c r="K66" s="37">
        <f t="shared" si="21"/>
        <v>88000</v>
      </c>
      <c r="L66" s="37">
        <f t="shared" si="21"/>
        <v>88000</v>
      </c>
      <c r="M66" s="37">
        <f t="shared" si="21"/>
        <v>88000</v>
      </c>
      <c r="N66" s="37">
        <f t="shared" si="21"/>
        <v>88000</v>
      </c>
      <c r="O66" s="37">
        <f t="shared" si="24"/>
        <v>85000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31000</v>
      </c>
      <c r="E67" s="37" t="s">
        <v>196</v>
      </c>
      <c r="F67" s="37"/>
      <c r="G67" s="37"/>
      <c r="H67" s="37">
        <f>D67</f>
        <v>31000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144000</v>
      </c>
      <c r="E68" s="37" t="s">
        <v>195</v>
      </c>
      <c r="F68" s="37">
        <f>D68</f>
        <v>144000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21882000</v>
      </c>
      <c r="E70" s="108"/>
      <c r="F70" s="108">
        <f t="shared" ref="F70:P70" si="25">ROUND(SUM(F49:F69),-3)</f>
        <v>6687000</v>
      </c>
      <c r="G70" s="108">
        <f t="shared" si="25"/>
        <v>1503000</v>
      </c>
      <c r="H70" s="108">
        <f t="shared" si="25"/>
        <v>1534000</v>
      </c>
      <c r="I70" s="108">
        <f t="shared" si="25"/>
        <v>1830000</v>
      </c>
      <c r="J70" s="108">
        <f t="shared" si="25"/>
        <v>1503000</v>
      </c>
      <c r="K70" s="108">
        <f t="shared" si="25"/>
        <v>1503000</v>
      </c>
      <c r="L70" s="108">
        <f t="shared" si="25"/>
        <v>1503000</v>
      </c>
      <c r="M70" s="108">
        <f t="shared" si="25"/>
        <v>1503000</v>
      </c>
      <c r="N70" s="108">
        <f t="shared" si="25"/>
        <v>2810000</v>
      </c>
      <c r="O70" s="108">
        <f t="shared" si="25"/>
        <v>1501000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2957000</v>
      </c>
      <c r="E72" s="114" t="s">
        <v>202</v>
      </c>
      <c r="F72" s="37">
        <f>ROUND($D72/12*3,-3)</f>
        <v>739000</v>
      </c>
      <c r="G72" s="37">
        <f>ROUND($D72/12,-3)</f>
        <v>246000</v>
      </c>
      <c r="H72" s="37">
        <f t="shared" ref="H72:N75" si="26">ROUND($D72/12,-3)</f>
        <v>246000</v>
      </c>
      <c r="I72" s="37">
        <f t="shared" si="26"/>
        <v>246000</v>
      </c>
      <c r="J72" s="37">
        <f t="shared" si="26"/>
        <v>246000</v>
      </c>
      <c r="K72" s="37">
        <f t="shared" si="26"/>
        <v>246000</v>
      </c>
      <c r="L72" s="37">
        <f t="shared" si="26"/>
        <v>246000</v>
      </c>
      <c r="M72" s="37">
        <f t="shared" si="26"/>
        <v>246000</v>
      </c>
      <c r="N72" s="37">
        <f t="shared" si="26"/>
        <v>246000</v>
      </c>
      <c r="O72" s="37">
        <f>D72-SUM(F72:N72)</f>
        <v>250000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1101000</v>
      </c>
      <c r="E75" s="114" t="s">
        <v>202</v>
      </c>
      <c r="F75" s="37">
        <f>ROUND($D75/12*3,-3)</f>
        <v>275000</v>
      </c>
      <c r="G75" s="37">
        <f>ROUND($D75/12,-3)</f>
        <v>92000</v>
      </c>
      <c r="H75" s="37">
        <f t="shared" si="26"/>
        <v>92000</v>
      </c>
      <c r="I75" s="37">
        <f t="shared" si="26"/>
        <v>92000</v>
      </c>
      <c r="J75" s="37">
        <f t="shared" si="26"/>
        <v>92000</v>
      </c>
      <c r="K75" s="37">
        <f t="shared" si="26"/>
        <v>92000</v>
      </c>
      <c r="L75" s="37">
        <f t="shared" si="26"/>
        <v>92000</v>
      </c>
      <c r="M75" s="37">
        <f t="shared" si="26"/>
        <v>92000</v>
      </c>
      <c r="N75" s="37">
        <f t="shared" si="26"/>
        <v>92000</v>
      </c>
      <c r="O75" s="37">
        <f>D75-SUM(F75:N75)</f>
        <v>90000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4058000</v>
      </c>
      <c r="E76" s="108"/>
      <c r="F76" s="108">
        <f>ROUND(SUM(F71:F75),-3)</f>
        <v>1014000</v>
      </c>
      <c r="G76" s="108">
        <f t="shared" ref="G76:N76" si="27">ROUND(SUM(G71:G75),-3)</f>
        <v>338000</v>
      </c>
      <c r="H76" s="108">
        <f t="shared" si="27"/>
        <v>338000</v>
      </c>
      <c r="I76" s="108">
        <f t="shared" si="27"/>
        <v>338000</v>
      </c>
      <c r="J76" s="108">
        <f t="shared" si="27"/>
        <v>338000</v>
      </c>
      <c r="K76" s="108">
        <f t="shared" si="27"/>
        <v>338000</v>
      </c>
      <c r="L76" s="108">
        <f t="shared" si="27"/>
        <v>338000</v>
      </c>
      <c r="M76" s="108">
        <f t="shared" si="27"/>
        <v>338000</v>
      </c>
      <c r="N76" s="108">
        <f t="shared" si="27"/>
        <v>338000</v>
      </c>
      <c r="O76" s="108">
        <f>D76-SUM(F76:N76)</f>
        <v>340000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1000</v>
      </c>
      <c r="E77" s="37" t="s">
        <v>681</v>
      </c>
      <c r="F77" s="224"/>
      <c r="G77" s="224"/>
      <c r="H77" s="224">
        <f>ROUND($D77/2,-3)</f>
        <v>1000</v>
      </c>
      <c r="I77" s="224"/>
      <c r="J77" s="224"/>
      <c r="K77" s="224"/>
      <c r="L77" s="224"/>
      <c r="M77" s="224"/>
      <c r="N77" s="224">
        <f>D77-H77</f>
        <v>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25941000</v>
      </c>
      <c r="E78" s="227"/>
      <c r="F78" s="227">
        <f>F76+F70+F77</f>
        <v>7701000</v>
      </c>
      <c r="G78" s="227">
        <f t="shared" ref="G78:Q78" si="29">G76+G70+G77</f>
        <v>1841000</v>
      </c>
      <c r="H78" s="227">
        <f t="shared" si="29"/>
        <v>1873000</v>
      </c>
      <c r="I78" s="227">
        <f t="shared" si="29"/>
        <v>2168000</v>
      </c>
      <c r="J78" s="227">
        <f t="shared" si="29"/>
        <v>1841000</v>
      </c>
      <c r="K78" s="227">
        <f t="shared" si="29"/>
        <v>1841000</v>
      </c>
      <c r="L78" s="227">
        <f t="shared" si="29"/>
        <v>1841000</v>
      </c>
      <c r="M78" s="227">
        <f t="shared" si="29"/>
        <v>1841000</v>
      </c>
      <c r="N78" s="227">
        <f t="shared" si="29"/>
        <v>3148000</v>
      </c>
      <c r="O78" s="227">
        <f t="shared" si="29"/>
        <v>1841000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27352000</v>
      </c>
      <c r="E87" s="37"/>
      <c r="F87" s="37">
        <f>F88+F89+F90+F91</f>
        <v>7944000</v>
      </c>
      <c r="G87" s="37">
        <f t="shared" ref="G87:Q87" si="32">G88+G89+G90+G91</f>
        <v>1949000</v>
      </c>
      <c r="H87" s="37">
        <f t="shared" si="32"/>
        <v>1986000</v>
      </c>
      <c r="I87" s="37">
        <f t="shared" si="32"/>
        <v>2286000</v>
      </c>
      <c r="J87" s="37">
        <f t="shared" si="32"/>
        <v>1954000</v>
      </c>
      <c r="K87" s="37">
        <f t="shared" si="32"/>
        <v>1954000</v>
      </c>
      <c r="L87" s="37">
        <f t="shared" si="32"/>
        <v>1973000</v>
      </c>
      <c r="M87" s="37">
        <f t="shared" si="32"/>
        <v>1954000</v>
      </c>
      <c r="N87" s="37">
        <f t="shared" si="32"/>
        <v>3261000</v>
      </c>
      <c r="O87" s="37">
        <f t="shared" si="32"/>
        <v>1952000</v>
      </c>
      <c r="P87" s="37">
        <f t="shared" si="32"/>
        <v>75000</v>
      </c>
      <c r="Q87" s="37">
        <f t="shared" si="32"/>
        <v>64000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6000</v>
      </c>
      <c r="E88" s="108" t="s">
        <v>193</v>
      </c>
      <c r="F88" s="108">
        <f>ROUND($D88/2,-3)</f>
        <v>3000</v>
      </c>
      <c r="G88" s="108"/>
      <c r="H88" s="108"/>
      <c r="I88" s="108"/>
      <c r="J88" s="108"/>
      <c r="K88" s="108"/>
      <c r="L88" s="108">
        <f>D88-F88</f>
        <v>3000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27345000</v>
      </c>
      <c r="E91" s="108"/>
      <c r="F91" s="108">
        <f>F92+F93+F94+F95</f>
        <v>7941000</v>
      </c>
      <c r="G91" s="108">
        <f t="shared" ref="G91:Q91" si="34">G92+G93+G94+G95</f>
        <v>1949000</v>
      </c>
      <c r="H91" s="108">
        <f t="shared" si="34"/>
        <v>1986000</v>
      </c>
      <c r="I91" s="108">
        <f t="shared" si="34"/>
        <v>2286000</v>
      </c>
      <c r="J91" s="108">
        <f t="shared" si="34"/>
        <v>1954000</v>
      </c>
      <c r="K91" s="108">
        <f t="shared" si="34"/>
        <v>1954000</v>
      </c>
      <c r="L91" s="108">
        <f t="shared" si="34"/>
        <v>1970000</v>
      </c>
      <c r="M91" s="108">
        <f t="shared" si="34"/>
        <v>1954000</v>
      </c>
      <c r="N91" s="108">
        <f t="shared" si="34"/>
        <v>3261000</v>
      </c>
      <c r="O91" s="108">
        <f t="shared" si="34"/>
        <v>1952000</v>
      </c>
      <c r="P91" s="108">
        <f t="shared" si="34"/>
        <v>75000</v>
      </c>
      <c r="Q91" s="108">
        <f t="shared" si="34"/>
        <v>63000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3654000</v>
      </c>
      <c r="E92" s="114" t="s">
        <v>537</v>
      </c>
      <c r="F92" s="37">
        <f>ROUND($D92/12*5,-3)</f>
        <v>1523000</v>
      </c>
      <c r="G92" s="37">
        <f>ROUND($D92/12,-3)</f>
        <v>305000</v>
      </c>
      <c r="H92" s="37">
        <f t="shared" ref="H92:L92" si="35">ROUND($D92/12,-3)</f>
        <v>305000</v>
      </c>
      <c r="I92" s="37">
        <f t="shared" si="35"/>
        <v>305000</v>
      </c>
      <c r="J92" s="37">
        <f t="shared" si="35"/>
        <v>305000</v>
      </c>
      <c r="K92" s="37">
        <f t="shared" si="35"/>
        <v>305000</v>
      </c>
      <c r="L92" s="37">
        <f t="shared" si="35"/>
        <v>305000</v>
      </c>
      <c r="M92" s="37">
        <f>D92-SUM(F92:L92)</f>
        <v>301000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23601000</v>
      </c>
      <c r="E95" s="37"/>
      <c r="F95" s="37">
        <f>F2+F86-F88-F89-F90-F92-F93-F94</f>
        <v>6410000</v>
      </c>
      <c r="G95" s="37">
        <f t="shared" ref="G95:Q95" si="37">G2-G88-G89-G90-G92-G93-G94</f>
        <v>1636000</v>
      </c>
      <c r="H95" s="37">
        <f t="shared" si="37"/>
        <v>1673000</v>
      </c>
      <c r="I95" s="37">
        <f t="shared" si="37"/>
        <v>1973000</v>
      </c>
      <c r="J95" s="37">
        <f t="shared" si="37"/>
        <v>1641000</v>
      </c>
      <c r="K95" s="37">
        <f t="shared" si="37"/>
        <v>1641000</v>
      </c>
      <c r="L95" s="37">
        <f t="shared" si="37"/>
        <v>1657000</v>
      </c>
      <c r="M95" s="37">
        <f t="shared" si="37"/>
        <v>1645000</v>
      </c>
      <c r="N95" s="37">
        <f t="shared" si="37"/>
        <v>3253000</v>
      </c>
      <c r="O95" s="37">
        <f t="shared" si="37"/>
        <v>1944000</v>
      </c>
      <c r="P95" s="37">
        <f t="shared" si="37"/>
        <v>67000</v>
      </c>
      <c r="Q95" s="37">
        <f t="shared" si="37"/>
        <v>61000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700000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1004000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1300000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23601000</v>
      </c>
    </row>
    <row r="108" spans="2:17" ht="16.5" customHeight="1"/>
    <row r="109" spans="2:17" ht="16.5" customHeight="1">
      <c r="B109" s="4" t="s">
        <v>682</v>
      </c>
      <c r="D109" s="30">
        <f>D91-D76</f>
        <v>23287000</v>
      </c>
      <c r="F109" s="30">
        <f>F91-F76</f>
        <v>6927000</v>
      </c>
      <c r="G109" s="30">
        <f t="shared" ref="G109:Q109" si="38">G91-G76</f>
        <v>1611000</v>
      </c>
      <c r="H109" s="30">
        <f t="shared" si="38"/>
        <v>1648000</v>
      </c>
      <c r="I109" s="30">
        <f t="shared" si="38"/>
        <v>1948000</v>
      </c>
      <c r="J109" s="30">
        <f t="shared" si="38"/>
        <v>1616000</v>
      </c>
      <c r="K109" s="30">
        <f t="shared" si="38"/>
        <v>1616000</v>
      </c>
      <c r="L109" s="30">
        <f t="shared" si="38"/>
        <v>1632000</v>
      </c>
      <c r="M109" s="30">
        <f t="shared" si="38"/>
        <v>1616000</v>
      </c>
      <c r="N109" s="30">
        <f t="shared" si="38"/>
        <v>2923000</v>
      </c>
      <c r="O109" s="30">
        <f t="shared" si="38"/>
        <v>1612000</v>
      </c>
      <c r="P109" s="30">
        <f t="shared" si="38"/>
        <v>75000</v>
      </c>
      <c r="Q109" s="30">
        <f t="shared" si="38"/>
        <v>63000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8" priority="1" operator="lessThan">
      <formula>0</formula>
    </cfRule>
  </conditionalFormatting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699</v>
      </c>
      <c r="D1" s="28" t="str">
        <f>VLOOKUP(C1,[1]學校編號!A:B,2,FALSE)</f>
        <v>699卓清國小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25332000</v>
      </c>
      <c r="E2" s="37"/>
      <c r="F2" s="37">
        <f>F48+F70+F76+F77+F83</f>
        <v>7171000</v>
      </c>
      <c r="G2" s="37">
        <f t="shared" ref="G2:Q2" si="0">G48+G70+G76+G77+G83</f>
        <v>1772000</v>
      </c>
      <c r="H2" s="37">
        <f t="shared" si="0"/>
        <v>1991000</v>
      </c>
      <c r="I2" s="37">
        <f t="shared" si="0"/>
        <v>2102000</v>
      </c>
      <c r="J2" s="37">
        <f t="shared" si="0"/>
        <v>1772000</v>
      </c>
      <c r="K2" s="37">
        <f t="shared" si="0"/>
        <v>1774000</v>
      </c>
      <c r="L2" s="37">
        <f t="shared" si="0"/>
        <v>1786000</v>
      </c>
      <c r="M2" s="37">
        <f t="shared" si="0"/>
        <v>1772000</v>
      </c>
      <c r="N2" s="37">
        <f t="shared" si="0"/>
        <v>3285000</v>
      </c>
      <c r="O2" s="37">
        <f t="shared" si="0"/>
        <v>1770000</v>
      </c>
      <c r="P2" s="37">
        <f t="shared" si="0"/>
        <v>72000</v>
      </c>
      <c r="Q2" s="37">
        <f t="shared" si="0"/>
        <v>65000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28000</v>
      </c>
      <c r="E15" s="37" t="s">
        <v>193</v>
      </c>
      <c r="F15" s="37">
        <f>ROUND($D15/2,-3)</f>
        <v>14000</v>
      </c>
      <c r="G15" s="37"/>
      <c r="H15" s="37"/>
      <c r="I15" s="37"/>
      <c r="J15" s="37"/>
      <c r="K15" s="37"/>
      <c r="L15" s="37">
        <f>D15-F15</f>
        <v>14000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554000</v>
      </c>
      <c r="E25" s="108"/>
      <c r="F25" s="108">
        <f>ROUND(SUM(F3:F24),-3)</f>
        <v>58000</v>
      </c>
      <c r="G25" s="108">
        <f t="shared" ref="G25:P25" si="5">ROUND(SUM(G3:G24),-3)</f>
        <v>44000</v>
      </c>
      <c r="H25" s="108">
        <f t="shared" si="5"/>
        <v>44000</v>
      </c>
      <c r="I25" s="108">
        <f t="shared" si="5"/>
        <v>44000</v>
      </c>
      <c r="J25" s="108">
        <f t="shared" si="5"/>
        <v>44000</v>
      </c>
      <c r="K25" s="108">
        <f t="shared" si="5"/>
        <v>44000</v>
      </c>
      <c r="L25" s="108">
        <f t="shared" si="5"/>
        <v>58000</v>
      </c>
      <c r="M25" s="108">
        <f t="shared" si="5"/>
        <v>44000</v>
      </c>
      <c r="N25" s="108">
        <f t="shared" si="5"/>
        <v>44000</v>
      </c>
      <c r="O25" s="108">
        <f t="shared" si="5"/>
        <v>44000</v>
      </c>
      <c r="P25" s="108">
        <f t="shared" si="5"/>
        <v>44000</v>
      </c>
      <c r="Q25" s="108">
        <f t="shared" ref="Q25:Q33" si="6">D25-SUM(F25:P25)</f>
        <v>42000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7000</v>
      </c>
      <c r="E30" s="37" t="s">
        <v>525</v>
      </c>
      <c r="F30" s="37">
        <f t="shared" si="8"/>
        <v>583</v>
      </c>
      <c r="G30" s="37">
        <f t="shared" si="8"/>
        <v>583</v>
      </c>
      <c r="H30" s="37">
        <f t="shared" si="8"/>
        <v>583</v>
      </c>
      <c r="I30" s="37">
        <f t="shared" si="8"/>
        <v>583</v>
      </c>
      <c r="J30" s="37">
        <f t="shared" si="8"/>
        <v>583</v>
      </c>
      <c r="K30" s="37">
        <f t="shared" si="8"/>
        <v>583</v>
      </c>
      <c r="L30" s="37">
        <f t="shared" si="8"/>
        <v>583</v>
      </c>
      <c r="M30" s="37">
        <f t="shared" si="8"/>
        <v>583</v>
      </c>
      <c r="N30" s="37">
        <f t="shared" si="8"/>
        <v>583</v>
      </c>
      <c r="O30" s="37">
        <f t="shared" si="8"/>
        <v>583</v>
      </c>
      <c r="P30" s="37">
        <f t="shared" si="8"/>
        <v>583</v>
      </c>
      <c r="Q30" s="37">
        <f t="shared" si="6"/>
        <v>587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3000</v>
      </c>
      <c r="E31" s="37" t="s">
        <v>525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276000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23000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836000</v>
      </c>
      <c r="E48" s="37"/>
      <c r="F48" s="115">
        <f>F25+F37+F45+F47</f>
        <v>83000</v>
      </c>
      <c r="G48" s="115">
        <f t="shared" ref="G48:R48" si="14">G25+G37+G45+G47</f>
        <v>67000</v>
      </c>
      <c r="H48" s="115">
        <f t="shared" si="14"/>
        <v>67000</v>
      </c>
      <c r="I48" s="115">
        <f t="shared" si="14"/>
        <v>67000</v>
      </c>
      <c r="J48" s="115">
        <f t="shared" si="14"/>
        <v>67000</v>
      </c>
      <c r="K48" s="115">
        <f t="shared" si="14"/>
        <v>69000</v>
      </c>
      <c r="L48" s="115">
        <f t="shared" si="14"/>
        <v>81000</v>
      </c>
      <c r="M48" s="115">
        <f t="shared" si="14"/>
        <v>67000</v>
      </c>
      <c r="N48" s="115">
        <f t="shared" si="14"/>
        <v>69000</v>
      </c>
      <c r="O48" s="115">
        <f t="shared" si="14"/>
        <v>67000</v>
      </c>
      <c r="P48" s="115">
        <f t="shared" si="14"/>
        <v>67000</v>
      </c>
      <c r="Q48" s="115">
        <f t="shared" si="14"/>
        <v>65000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13540000</v>
      </c>
      <c r="E49" s="114" t="s">
        <v>202</v>
      </c>
      <c r="F49" s="37">
        <f>ROUND($D49/12*3,-3)</f>
        <v>3385000</v>
      </c>
      <c r="G49" s="37">
        <f>ROUND($D49/12,-3)</f>
        <v>1128000</v>
      </c>
      <c r="H49" s="37">
        <f t="shared" ref="H49:N53" si="15">ROUND($D49/12,-3)</f>
        <v>1128000</v>
      </c>
      <c r="I49" s="37">
        <f t="shared" si="15"/>
        <v>1128000</v>
      </c>
      <c r="J49" s="37">
        <f t="shared" si="15"/>
        <v>1128000</v>
      </c>
      <c r="K49" s="37">
        <f t="shared" si="15"/>
        <v>1128000</v>
      </c>
      <c r="L49" s="37">
        <f t="shared" si="15"/>
        <v>1128000</v>
      </c>
      <c r="M49" s="37">
        <f t="shared" si="15"/>
        <v>1128000</v>
      </c>
      <c r="N49" s="37">
        <f t="shared" si="15"/>
        <v>1128000</v>
      </c>
      <c r="O49" s="37">
        <f>D49-SUM(F49:N49)</f>
        <v>1131000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738000</v>
      </c>
      <c r="E51" s="114" t="s">
        <v>202</v>
      </c>
      <c r="F51" s="37">
        <f t="shared" si="16"/>
        <v>185000</v>
      </c>
      <c r="G51" s="37">
        <f t="shared" si="17"/>
        <v>62000</v>
      </c>
      <c r="H51" s="37">
        <f t="shared" si="15"/>
        <v>62000</v>
      </c>
      <c r="I51" s="37">
        <f t="shared" si="15"/>
        <v>62000</v>
      </c>
      <c r="J51" s="37">
        <f t="shared" si="15"/>
        <v>62000</v>
      </c>
      <c r="K51" s="37">
        <f t="shared" si="15"/>
        <v>62000</v>
      </c>
      <c r="L51" s="37">
        <f t="shared" si="15"/>
        <v>62000</v>
      </c>
      <c r="M51" s="37">
        <f t="shared" si="15"/>
        <v>62000</v>
      </c>
      <c r="N51" s="37">
        <f t="shared" si="15"/>
        <v>62000</v>
      </c>
      <c r="O51" s="37">
        <f t="shared" si="18"/>
        <v>57000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345000</v>
      </c>
      <c r="E60" s="37" t="s">
        <v>195</v>
      </c>
      <c r="F60" s="37">
        <f>D60</f>
        <v>345000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1650000</v>
      </c>
      <c r="E62" s="37" t="s">
        <v>197</v>
      </c>
      <c r="F62" s="37"/>
      <c r="G62" s="37"/>
      <c r="H62" s="37"/>
      <c r="I62" s="37">
        <f>ROUND($D62/5,-3)</f>
        <v>330000</v>
      </c>
      <c r="J62" s="37"/>
      <c r="K62" s="37"/>
      <c r="L62" s="37"/>
      <c r="M62" s="37"/>
      <c r="N62" s="37">
        <f>D62-I62</f>
        <v>1320000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1526000</v>
      </c>
      <c r="E63" s="37" t="s">
        <v>195</v>
      </c>
      <c r="F63" s="37">
        <f>D63</f>
        <v>1526000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1359000</v>
      </c>
      <c r="E64" s="114" t="s">
        <v>202</v>
      </c>
      <c r="F64" s="37">
        <f>ROUND($D64/12*3,-3)</f>
        <v>340000</v>
      </c>
      <c r="G64" s="37">
        <f>ROUND($D64/12,-3)</f>
        <v>113000</v>
      </c>
      <c r="H64" s="37">
        <f t="shared" ref="H64:N66" si="21">ROUND($D64/12,-3)</f>
        <v>113000</v>
      </c>
      <c r="I64" s="37">
        <f t="shared" si="21"/>
        <v>113000</v>
      </c>
      <c r="J64" s="37">
        <f t="shared" si="21"/>
        <v>113000</v>
      </c>
      <c r="K64" s="37">
        <f t="shared" si="21"/>
        <v>113000</v>
      </c>
      <c r="L64" s="37">
        <f t="shared" si="21"/>
        <v>113000</v>
      </c>
      <c r="M64" s="37">
        <f t="shared" si="21"/>
        <v>113000</v>
      </c>
      <c r="N64" s="37">
        <f t="shared" si="21"/>
        <v>113000</v>
      </c>
      <c r="O64" s="37">
        <f>D64-SUM(F64:N64)</f>
        <v>115000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344000</v>
      </c>
      <c r="E65" s="114" t="s">
        <v>202</v>
      </c>
      <c r="F65" s="37">
        <f t="shared" ref="F65:F66" si="22">ROUND($D65/12*3,-3)</f>
        <v>86000</v>
      </c>
      <c r="G65" s="37">
        <f t="shared" ref="G65:G66" si="23">ROUND($D65/12,-3)</f>
        <v>29000</v>
      </c>
      <c r="H65" s="37">
        <f t="shared" si="21"/>
        <v>29000</v>
      </c>
      <c r="I65" s="37">
        <f t="shared" si="21"/>
        <v>29000</v>
      </c>
      <c r="J65" s="37">
        <f t="shared" si="21"/>
        <v>29000</v>
      </c>
      <c r="K65" s="37">
        <f t="shared" si="21"/>
        <v>29000</v>
      </c>
      <c r="L65" s="37">
        <f t="shared" si="21"/>
        <v>29000</v>
      </c>
      <c r="M65" s="37">
        <f t="shared" si="21"/>
        <v>29000</v>
      </c>
      <c r="N65" s="37">
        <f t="shared" si="21"/>
        <v>29000</v>
      </c>
      <c r="O65" s="37">
        <f t="shared" ref="O65:O66" si="24">D65-SUM(F65:N65)</f>
        <v>26000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837000</v>
      </c>
      <c r="E66" s="114" t="s">
        <v>202</v>
      </c>
      <c r="F66" s="37">
        <f t="shared" si="22"/>
        <v>209000</v>
      </c>
      <c r="G66" s="37">
        <f t="shared" si="23"/>
        <v>70000</v>
      </c>
      <c r="H66" s="37">
        <f t="shared" si="21"/>
        <v>70000</v>
      </c>
      <c r="I66" s="37">
        <f t="shared" si="21"/>
        <v>70000</v>
      </c>
      <c r="J66" s="37">
        <f t="shared" si="21"/>
        <v>70000</v>
      </c>
      <c r="K66" s="37">
        <f t="shared" si="21"/>
        <v>70000</v>
      </c>
      <c r="L66" s="37">
        <f t="shared" si="21"/>
        <v>70000</v>
      </c>
      <c r="M66" s="37">
        <f t="shared" si="21"/>
        <v>70000</v>
      </c>
      <c r="N66" s="37">
        <f t="shared" si="21"/>
        <v>70000</v>
      </c>
      <c r="O66" s="37">
        <f t="shared" si="24"/>
        <v>68000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27000</v>
      </c>
      <c r="E67" s="37" t="s">
        <v>196</v>
      </c>
      <c r="F67" s="37"/>
      <c r="G67" s="37"/>
      <c r="H67" s="37">
        <f>D67</f>
        <v>27000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112000</v>
      </c>
      <c r="E68" s="37" t="s">
        <v>195</v>
      </c>
      <c r="F68" s="37">
        <f>D68</f>
        <v>112000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20798000</v>
      </c>
      <c r="E70" s="108"/>
      <c r="F70" s="108">
        <f t="shared" ref="F70:P70" si="25">ROUND(SUM(F49:F69),-3)</f>
        <v>6259000</v>
      </c>
      <c r="G70" s="108">
        <f t="shared" si="25"/>
        <v>1429000</v>
      </c>
      <c r="H70" s="108">
        <f t="shared" si="25"/>
        <v>1456000</v>
      </c>
      <c r="I70" s="108">
        <f t="shared" si="25"/>
        <v>1759000</v>
      </c>
      <c r="J70" s="108">
        <f t="shared" si="25"/>
        <v>1429000</v>
      </c>
      <c r="K70" s="108">
        <f t="shared" si="25"/>
        <v>1429000</v>
      </c>
      <c r="L70" s="108">
        <f t="shared" si="25"/>
        <v>1429000</v>
      </c>
      <c r="M70" s="108">
        <f t="shared" si="25"/>
        <v>1429000</v>
      </c>
      <c r="N70" s="108">
        <f t="shared" si="25"/>
        <v>2749000</v>
      </c>
      <c r="O70" s="108">
        <f t="shared" si="25"/>
        <v>1425000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2668000</v>
      </c>
      <c r="E72" s="114" t="s">
        <v>202</v>
      </c>
      <c r="F72" s="37">
        <f>ROUND($D72/12*3,-3)</f>
        <v>667000</v>
      </c>
      <c r="G72" s="37">
        <f>ROUND($D72/12,-3)</f>
        <v>222000</v>
      </c>
      <c r="H72" s="37">
        <f t="shared" ref="H72:N75" si="26">ROUND($D72/12,-3)</f>
        <v>222000</v>
      </c>
      <c r="I72" s="37">
        <f t="shared" si="26"/>
        <v>222000</v>
      </c>
      <c r="J72" s="37">
        <f t="shared" si="26"/>
        <v>222000</v>
      </c>
      <c r="K72" s="37">
        <f t="shared" si="26"/>
        <v>222000</v>
      </c>
      <c r="L72" s="37">
        <f t="shared" si="26"/>
        <v>222000</v>
      </c>
      <c r="M72" s="37">
        <f t="shared" si="26"/>
        <v>222000</v>
      </c>
      <c r="N72" s="37">
        <f t="shared" si="26"/>
        <v>222000</v>
      </c>
      <c r="O72" s="37">
        <f>D72-SUM(F72:N72)</f>
        <v>225000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185000</v>
      </c>
      <c r="E74" s="114" t="s">
        <v>202</v>
      </c>
      <c r="F74" s="37">
        <f>ROUND($D74/12*3,-3)</f>
        <v>46000</v>
      </c>
      <c r="G74" s="37">
        <f>ROUND($D74/12,-3)</f>
        <v>15000</v>
      </c>
      <c r="H74" s="37">
        <f t="shared" si="26"/>
        <v>15000</v>
      </c>
      <c r="I74" s="37">
        <f t="shared" si="26"/>
        <v>15000</v>
      </c>
      <c r="J74" s="37">
        <f t="shared" si="26"/>
        <v>15000</v>
      </c>
      <c r="K74" s="37">
        <f t="shared" si="26"/>
        <v>15000</v>
      </c>
      <c r="L74" s="37">
        <f t="shared" si="26"/>
        <v>15000</v>
      </c>
      <c r="M74" s="37">
        <f t="shared" si="26"/>
        <v>15000</v>
      </c>
      <c r="N74" s="37">
        <f t="shared" si="26"/>
        <v>15000</v>
      </c>
      <c r="O74" s="37">
        <f>D74-SUM(F74:N74)</f>
        <v>19000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462000</v>
      </c>
      <c r="E75" s="114" t="s">
        <v>202</v>
      </c>
      <c r="F75" s="37">
        <f>ROUND($D75/12*3,-3)</f>
        <v>116000</v>
      </c>
      <c r="G75" s="37">
        <f>ROUND($D75/12,-3)</f>
        <v>39000</v>
      </c>
      <c r="H75" s="37">
        <f t="shared" si="26"/>
        <v>39000</v>
      </c>
      <c r="I75" s="37">
        <f t="shared" si="26"/>
        <v>39000</v>
      </c>
      <c r="J75" s="37">
        <f t="shared" si="26"/>
        <v>39000</v>
      </c>
      <c r="K75" s="37">
        <f t="shared" si="26"/>
        <v>39000</v>
      </c>
      <c r="L75" s="37">
        <f t="shared" si="26"/>
        <v>39000</v>
      </c>
      <c r="M75" s="37">
        <f t="shared" si="26"/>
        <v>39000</v>
      </c>
      <c r="N75" s="37">
        <f t="shared" si="26"/>
        <v>39000</v>
      </c>
      <c r="O75" s="37">
        <f>D75-SUM(F75:N75)</f>
        <v>34000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3315000</v>
      </c>
      <c r="E76" s="108"/>
      <c r="F76" s="108">
        <f>ROUND(SUM(F71:F75),-3)</f>
        <v>829000</v>
      </c>
      <c r="G76" s="108">
        <f t="shared" ref="G76:N76" si="27">ROUND(SUM(G71:G75),-3)</f>
        <v>276000</v>
      </c>
      <c r="H76" s="108">
        <f t="shared" si="27"/>
        <v>276000</v>
      </c>
      <c r="I76" s="108">
        <f t="shared" si="27"/>
        <v>276000</v>
      </c>
      <c r="J76" s="108">
        <f t="shared" si="27"/>
        <v>276000</v>
      </c>
      <c r="K76" s="108">
        <f t="shared" si="27"/>
        <v>276000</v>
      </c>
      <c r="L76" s="108">
        <f t="shared" si="27"/>
        <v>276000</v>
      </c>
      <c r="M76" s="108">
        <f t="shared" si="27"/>
        <v>276000</v>
      </c>
      <c r="N76" s="108">
        <f t="shared" si="27"/>
        <v>276000</v>
      </c>
      <c r="O76" s="108">
        <f>D76-SUM(F76:N76)</f>
        <v>278000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383000</v>
      </c>
      <c r="E77" s="37" t="s">
        <v>681</v>
      </c>
      <c r="F77" s="224"/>
      <c r="G77" s="224"/>
      <c r="H77" s="224">
        <f>ROUND($D77/2,-3)</f>
        <v>192000</v>
      </c>
      <c r="I77" s="224"/>
      <c r="J77" s="224"/>
      <c r="K77" s="224"/>
      <c r="L77" s="224"/>
      <c r="M77" s="224"/>
      <c r="N77" s="224">
        <f>D77-H77</f>
        <v>191000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24496000</v>
      </c>
      <c r="E78" s="227"/>
      <c r="F78" s="227">
        <f>F76+F70+F77</f>
        <v>7088000</v>
      </c>
      <c r="G78" s="227">
        <f t="shared" ref="G78:Q78" si="29">G76+G70+G77</f>
        <v>1705000</v>
      </c>
      <c r="H78" s="227">
        <f t="shared" si="29"/>
        <v>1924000</v>
      </c>
      <c r="I78" s="227">
        <f t="shared" si="29"/>
        <v>2035000</v>
      </c>
      <c r="J78" s="227">
        <f t="shared" si="29"/>
        <v>1705000</v>
      </c>
      <c r="K78" s="227">
        <f t="shared" si="29"/>
        <v>1705000</v>
      </c>
      <c r="L78" s="227">
        <f t="shared" si="29"/>
        <v>1705000</v>
      </c>
      <c r="M78" s="227">
        <f t="shared" si="29"/>
        <v>1705000</v>
      </c>
      <c r="N78" s="227">
        <f t="shared" si="29"/>
        <v>3216000</v>
      </c>
      <c r="O78" s="227">
        <f t="shared" si="29"/>
        <v>1703000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25332000</v>
      </c>
      <c r="E87" s="37"/>
      <c r="F87" s="37">
        <f>F88+F89+F90+F91</f>
        <v>7171000</v>
      </c>
      <c r="G87" s="37">
        <f t="shared" ref="G87:Q87" si="32">G88+G89+G90+G91</f>
        <v>1772000</v>
      </c>
      <c r="H87" s="37">
        <f t="shared" si="32"/>
        <v>1991000</v>
      </c>
      <c r="I87" s="37">
        <f t="shared" si="32"/>
        <v>2102000</v>
      </c>
      <c r="J87" s="37">
        <f t="shared" si="32"/>
        <v>1772000</v>
      </c>
      <c r="K87" s="37">
        <f t="shared" si="32"/>
        <v>1774000</v>
      </c>
      <c r="L87" s="37">
        <f t="shared" si="32"/>
        <v>1786000</v>
      </c>
      <c r="M87" s="37">
        <f t="shared" si="32"/>
        <v>1772000</v>
      </c>
      <c r="N87" s="37">
        <f t="shared" si="32"/>
        <v>3285000</v>
      </c>
      <c r="O87" s="37">
        <f t="shared" si="32"/>
        <v>1770000</v>
      </c>
      <c r="P87" s="37">
        <f t="shared" si="32"/>
        <v>72000</v>
      </c>
      <c r="Q87" s="37">
        <f t="shared" si="32"/>
        <v>65000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0</v>
      </c>
      <c r="E88" s="108" t="s">
        <v>193</v>
      </c>
      <c r="F88" s="108">
        <f>ROUND($D88/2,-3)</f>
        <v>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2000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1000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25330000</v>
      </c>
      <c r="E91" s="108"/>
      <c r="F91" s="108">
        <f>F92+F93+F94+F95</f>
        <v>7171000</v>
      </c>
      <c r="G91" s="108">
        <f t="shared" ref="G91:Q91" si="34">G92+G93+G94+G95</f>
        <v>1772000</v>
      </c>
      <c r="H91" s="108">
        <f t="shared" si="34"/>
        <v>1991000</v>
      </c>
      <c r="I91" s="108">
        <f t="shared" si="34"/>
        <v>2102000</v>
      </c>
      <c r="J91" s="108">
        <f t="shared" si="34"/>
        <v>1772000</v>
      </c>
      <c r="K91" s="108">
        <f t="shared" si="34"/>
        <v>1774000</v>
      </c>
      <c r="L91" s="108">
        <f t="shared" si="34"/>
        <v>1785000</v>
      </c>
      <c r="M91" s="108">
        <f t="shared" si="34"/>
        <v>1772000</v>
      </c>
      <c r="N91" s="108">
        <f t="shared" si="34"/>
        <v>3285000</v>
      </c>
      <c r="O91" s="108">
        <f t="shared" si="34"/>
        <v>1770000</v>
      </c>
      <c r="P91" s="108">
        <f t="shared" si="34"/>
        <v>72000</v>
      </c>
      <c r="Q91" s="108">
        <f t="shared" si="34"/>
        <v>64000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2354000</v>
      </c>
      <c r="E92" s="114" t="s">
        <v>537</v>
      </c>
      <c r="F92" s="37">
        <f>ROUND($D92/12*5,-3)</f>
        <v>981000</v>
      </c>
      <c r="G92" s="37">
        <f>ROUND($D92/12,-3)</f>
        <v>196000</v>
      </c>
      <c r="H92" s="37">
        <f t="shared" ref="H92:L92" si="35">ROUND($D92/12,-3)</f>
        <v>196000</v>
      </c>
      <c r="I92" s="37">
        <f t="shared" si="35"/>
        <v>196000</v>
      </c>
      <c r="J92" s="37">
        <f t="shared" si="35"/>
        <v>196000</v>
      </c>
      <c r="K92" s="37">
        <f t="shared" si="35"/>
        <v>196000</v>
      </c>
      <c r="L92" s="37">
        <f t="shared" si="35"/>
        <v>196000</v>
      </c>
      <c r="M92" s="37">
        <f>D92-SUM(F92:L92)</f>
        <v>197000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22886000</v>
      </c>
      <c r="E95" s="37"/>
      <c r="F95" s="37">
        <f>F2+F86-F88-F89-F90-F92-F93-F94</f>
        <v>6182000</v>
      </c>
      <c r="G95" s="37">
        <f t="shared" ref="G95:Q95" si="37">G2-G88-G89-G90-G92-G93-G94</f>
        <v>1568000</v>
      </c>
      <c r="H95" s="37">
        <f t="shared" si="37"/>
        <v>1787000</v>
      </c>
      <c r="I95" s="37">
        <f t="shared" si="37"/>
        <v>1898000</v>
      </c>
      <c r="J95" s="37">
        <f t="shared" si="37"/>
        <v>1568000</v>
      </c>
      <c r="K95" s="37">
        <f t="shared" si="37"/>
        <v>1570000</v>
      </c>
      <c r="L95" s="37">
        <f t="shared" si="37"/>
        <v>1581000</v>
      </c>
      <c r="M95" s="37">
        <f t="shared" si="37"/>
        <v>1567000</v>
      </c>
      <c r="N95" s="37">
        <f t="shared" si="37"/>
        <v>3277000</v>
      </c>
      <c r="O95" s="37">
        <f t="shared" si="37"/>
        <v>1762000</v>
      </c>
      <c r="P95" s="37">
        <f t="shared" si="37"/>
        <v>64000</v>
      </c>
      <c r="Q95" s="37">
        <f t="shared" si="37"/>
        <v>62000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700000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1004000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22886000</v>
      </c>
    </row>
    <row r="108" spans="2:17" ht="16.5" customHeight="1"/>
    <row r="109" spans="2:17" ht="16.5" customHeight="1">
      <c r="B109" s="4" t="s">
        <v>682</v>
      </c>
      <c r="D109" s="30">
        <f>D91-D76</f>
        <v>22015000</v>
      </c>
      <c r="F109" s="30">
        <f>F91-F76</f>
        <v>6342000</v>
      </c>
      <c r="G109" s="30">
        <f t="shared" ref="G109:Q109" si="38">G91-G76</f>
        <v>1496000</v>
      </c>
      <c r="H109" s="30">
        <f t="shared" si="38"/>
        <v>1715000</v>
      </c>
      <c r="I109" s="30">
        <f t="shared" si="38"/>
        <v>1826000</v>
      </c>
      <c r="J109" s="30">
        <f t="shared" si="38"/>
        <v>1496000</v>
      </c>
      <c r="K109" s="30">
        <f t="shared" si="38"/>
        <v>1498000</v>
      </c>
      <c r="L109" s="30">
        <f t="shared" si="38"/>
        <v>1509000</v>
      </c>
      <c r="M109" s="30">
        <f t="shared" si="38"/>
        <v>1496000</v>
      </c>
      <c r="N109" s="30">
        <f t="shared" si="38"/>
        <v>3009000</v>
      </c>
      <c r="O109" s="30">
        <f t="shared" si="38"/>
        <v>1492000</v>
      </c>
      <c r="P109" s="30">
        <f t="shared" si="38"/>
        <v>72000</v>
      </c>
      <c r="Q109" s="30">
        <f t="shared" si="38"/>
        <v>64000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6" priority="1" operator="lessThan">
      <formula>0</formula>
    </cfRule>
  </conditionalFormatting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700</v>
      </c>
      <c r="D1" s="28" t="str">
        <f>VLOOKUP(C1,[1]學校編號!A:B,2,FALSE)</f>
        <v>700古風國小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26654000</v>
      </c>
      <c r="E2" s="37"/>
      <c r="F2" s="37">
        <f>F48+F70+F76+F77+F83</f>
        <v>7713000</v>
      </c>
      <c r="G2" s="37">
        <f t="shared" ref="G2:Q2" si="0">G48+G70+G76+G77+G83</f>
        <v>1895000</v>
      </c>
      <c r="H2" s="37">
        <f t="shared" si="0"/>
        <v>1965000</v>
      </c>
      <c r="I2" s="37">
        <f t="shared" si="0"/>
        <v>2226000</v>
      </c>
      <c r="J2" s="37">
        <f t="shared" si="0"/>
        <v>1906000</v>
      </c>
      <c r="K2" s="37">
        <f t="shared" si="0"/>
        <v>1908000</v>
      </c>
      <c r="L2" s="37">
        <f t="shared" si="0"/>
        <v>1923000</v>
      </c>
      <c r="M2" s="37">
        <f t="shared" si="0"/>
        <v>1906000</v>
      </c>
      <c r="N2" s="37">
        <f t="shared" si="0"/>
        <v>3160000</v>
      </c>
      <c r="O2" s="37">
        <f t="shared" si="0"/>
        <v>1898000</v>
      </c>
      <c r="P2" s="37">
        <f t="shared" si="0"/>
        <v>81000</v>
      </c>
      <c r="Q2" s="37">
        <f t="shared" si="0"/>
        <v>73000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34000</v>
      </c>
      <c r="E10" s="37" t="s">
        <v>525</v>
      </c>
      <c r="F10" s="37">
        <f t="shared" si="1"/>
        <v>2833</v>
      </c>
      <c r="G10" s="37">
        <f t="shared" si="1"/>
        <v>2833</v>
      </c>
      <c r="H10" s="37">
        <f t="shared" si="1"/>
        <v>2833</v>
      </c>
      <c r="I10" s="37">
        <f t="shared" si="1"/>
        <v>2833</v>
      </c>
      <c r="J10" s="37">
        <f t="shared" si="1"/>
        <v>2833</v>
      </c>
      <c r="K10" s="37">
        <f t="shared" si="1"/>
        <v>2833</v>
      </c>
      <c r="L10" s="37">
        <f t="shared" si="1"/>
        <v>2833</v>
      </c>
      <c r="M10" s="37">
        <f t="shared" si="1"/>
        <v>2833</v>
      </c>
      <c r="N10" s="37">
        <f t="shared" si="1"/>
        <v>2833</v>
      </c>
      <c r="O10" s="37">
        <f t="shared" si="1"/>
        <v>2833</v>
      </c>
      <c r="P10" s="37">
        <f t="shared" si="1"/>
        <v>2833</v>
      </c>
      <c r="Q10" s="37">
        <f t="shared" si="2"/>
        <v>2837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37000</v>
      </c>
      <c r="E11" s="37" t="s">
        <v>195</v>
      </c>
      <c r="F11" s="37">
        <f>D11</f>
        <v>37000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726000</v>
      </c>
      <c r="E12" s="113" t="s">
        <v>202</v>
      </c>
      <c r="F12" s="37">
        <f>ROUND($D12/12*3,-3)</f>
        <v>182000</v>
      </c>
      <c r="G12" s="37">
        <f>ROUND($D12/12,-3)</f>
        <v>61000</v>
      </c>
      <c r="H12" s="37">
        <f t="shared" ref="H12:N12" si="4">ROUND($D12/12,-3)</f>
        <v>61000</v>
      </c>
      <c r="I12" s="37">
        <f t="shared" si="4"/>
        <v>61000</v>
      </c>
      <c r="J12" s="37">
        <f t="shared" si="4"/>
        <v>61000</v>
      </c>
      <c r="K12" s="37">
        <f t="shared" si="4"/>
        <v>61000</v>
      </c>
      <c r="L12" s="37">
        <f t="shared" si="4"/>
        <v>61000</v>
      </c>
      <c r="M12" s="37">
        <f t="shared" si="4"/>
        <v>61000</v>
      </c>
      <c r="N12" s="37">
        <f t="shared" si="4"/>
        <v>61000</v>
      </c>
      <c r="O12" s="37">
        <f>D12-SUM(F12:N12)</f>
        <v>56000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164000</v>
      </c>
      <c r="E13" s="37" t="s">
        <v>525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34000</v>
      </c>
      <c r="E15" s="37" t="s">
        <v>193</v>
      </c>
      <c r="F15" s="37">
        <f>ROUND($D15/2,-3)</f>
        <v>17000</v>
      </c>
      <c r="G15" s="37"/>
      <c r="H15" s="37"/>
      <c r="I15" s="37"/>
      <c r="J15" s="37"/>
      <c r="K15" s="37"/>
      <c r="L15" s="37">
        <f>D15-F15</f>
        <v>17000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0</v>
      </c>
      <c r="E16" s="37" t="s">
        <v>525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1297000</v>
      </c>
      <c r="E25" s="108"/>
      <c r="F25" s="108">
        <f>ROUND(SUM(F3:F24),-3)</f>
        <v>278000</v>
      </c>
      <c r="G25" s="108">
        <f t="shared" ref="G25:P25" si="5">ROUND(SUM(G3:G24),-3)</f>
        <v>103000</v>
      </c>
      <c r="H25" s="108">
        <f t="shared" si="5"/>
        <v>103000</v>
      </c>
      <c r="I25" s="108">
        <f t="shared" si="5"/>
        <v>103000</v>
      </c>
      <c r="J25" s="108">
        <f t="shared" si="5"/>
        <v>103000</v>
      </c>
      <c r="K25" s="108">
        <f t="shared" si="5"/>
        <v>103000</v>
      </c>
      <c r="L25" s="108">
        <f t="shared" si="5"/>
        <v>120000</v>
      </c>
      <c r="M25" s="108">
        <f t="shared" si="5"/>
        <v>103000</v>
      </c>
      <c r="N25" s="108">
        <f t="shared" si="5"/>
        <v>103000</v>
      </c>
      <c r="O25" s="108">
        <f t="shared" si="5"/>
        <v>98000</v>
      </c>
      <c r="P25" s="108">
        <f t="shared" si="5"/>
        <v>42000</v>
      </c>
      <c r="Q25" s="108">
        <f t="shared" ref="Q25:Q33" si="6">D25-SUM(F25:P25)</f>
        <v>38000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109000</v>
      </c>
      <c r="E26" s="114" t="s">
        <v>204</v>
      </c>
      <c r="F26" s="37">
        <f>ROUND($D26/10,-3)</f>
        <v>11000</v>
      </c>
      <c r="G26" s="37"/>
      <c r="H26" s="37">
        <f>ROUND($D26/10,-3)</f>
        <v>11000</v>
      </c>
      <c r="I26" s="37">
        <f>ROUND($D26/10,-3)</f>
        <v>11000</v>
      </c>
      <c r="J26" s="37">
        <f>ROUND($D26/10,-3)</f>
        <v>11000</v>
      </c>
      <c r="K26" s="37">
        <f>ROUND($D26/10,-3)</f>
        <v>11000</v>
      </c>
      <c r="L26" s="37"/>
      <c r="M26" s="37">
        <f>ROUND($D26/10,-3)</f>
        <v>11000</v>
      </c>
      <c r="N26" s="37">
        <f>ROUND($D26/10,-3)</f>
        <v>11000</v>
      </c>
      <c r="O26" s="37">
        <f>ROUND($D26/10,-3)</f>
        <v>11000</v>
      </c>
      <c r="P26" s="37">
        <f>ROUND($D26/10,-3)</f>
        <v>11000</v>
      </c>
      <c r="Q26" s="37">
        <f t="shared" si="6"/>
        <v>10000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8000</v>
      </c>
      <c r="E30" s="37" t="s">
        <v>525</v>
      </c>
      <c r="F30" s="37">
        <f t="shared" si="8"/>
        <v>667</v>
      </c>
      <c r="G30" s="37">
        <f t="shared" si="8"/>
        <v>667</v>
      </c>
      <c r="H30" s="37">
        <f t="shared" si="8"/>
        <v>667</v>
      </c>
      <c r="I30" s="37">
        <f t="shared" si="8"/>
        <v>667</v>
      </c>
      <c r="J30" s="37">
        <f t="shared" si="8"/>
        <v>667</v>
      </c>
      <c r="K30" s="37">
        <f t="shared" si="8"/>
        <v>667</v>
      </c>
      <c r="L30" s="37">
        <f t="shared" si="8"/>
        <v>667</v>
      </c>
      <c r="M30" s="37">
        <f t="shared" si="8"/>
        <v>667</v>
      </c>
      <c r="N30" s="37">
        <f t="shared" si="8"/>
        <v>667</v>
      </c>
      <c r="O30" s="37">
        <f t="shared" si="8"/>
        <v>667</v>
      </c>
      <c r="P30" s="37">
        <f t="shared" si="8"/>
        <v>667</v>
      </c>
      <c r="Q30" s="37">
        <f t="shared" si="6"/>
        <v>663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4000</v>
      </c>
      <c r="E31" s="37" t="s">
        <v>525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387000</v>
      </c>
      <c r="E37" s="108"/>
      <c r="F37" s="108">
        <f t="shared" ref="F37:P37" si="9">ROUND(SUM(F26:F36),-3)</f>
        <v>34000</v>
      </c>
      <c r="G37" s="108">
        <f t="shared" si="9"/>
        <v>23000</v>
      </c>
      <c r="H37" s="108">
        <f t="shared" si="9"/>
        <v>34000</v>
      </c>
      <c r="I37" s="108">
        <f t="shared" si="9"/>
        <v>34000</v>
      </c>
      <c r="J37" s="108">
        <f t="shared" si="9"/>
        <v>34000</v>
      </c>
      <c r="K37" s="108">
        <f t="shared" si="9"/>
        <v>34000</v>
      </c>
      <c r="L37" s="108">
        <f t="shared" si="9"/>
        <v>23000</v>
      </c>
      <c r="M37" s="108">
        <f t="shared" si="9"/>
        <v>34000</v>
      </c>
      <c r="N37" s="108">
        <f t="shared" si="9"/>
        <v>34000</v>
      </c>
      <c r="O37" s="108">
        <f t="shared" si="9"/>
        <v>34000</v>
      </c>
      <c r="P37" s="108">
        <f t="shared" si="9"/>
        <v>34000</v>
      </c>
      <c r="Q37" s="108">
        <f>D37-SUM(F37:P37)</f>
        <v>35000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16000</v>
      </c>
      <c r="E42" s="37" t="s">
        <v>199</v>
      </c>
      <c r="F42" s="37"/>
      <c r="G42" s="37"/>
      <c r="H42" s="37"/>
      <c r="I42" s="37">
        <f>D42</f>
        <v>16000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11000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11000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28000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16000</v>
      </c>
      <c r="J45" s="108">
        <f t="shared" si="12"/>
        <v>0</v>
      </c>
      <c r="K45" s="108">
        <f t="shared" si="12"/>
        <v>0</v>
      </c>
      <c r="L45" s="108">
        <f t="shared" si="12"/>
        <v>11000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1718000</v>
      </c>
      <c r="E48" s="37"/>
      <c r="F48" s="115">
        <f>F25+F37+F45+F47</f>
        <v>315000</v>
      </c>
      <c r="G48" s="115">
        <f t="shared" ref="G48:R48" si="14">G25+G37+G45+G47</f>
        <v>126000</v>
      </c>
      <c r="H48" s="115">
        <f t="shared" si="14"/>
        <v>137000</v>
      </c>
      <c r="I48" s="115">
        <f t="shared" si="14"/>
        <v>153000</v>
      </c>
      <c r="J48" s="115">
        <f t="shared" si="14"/>
        <v>137000</v>
      </c>
      <c r="K48" s="115">
        <f t="shared" si="14"/>
        <v>139000</v>
      </c>
      <c r="L48" s="115">
        <f t="shared" si="14"/>
        <v>154000</v>
      </c>
      <c r="M48" s="115">
        <f t="shared" si="14"/>
        <v>137000</v>
      </c>
      <c r="N48" s="115">
        <f t="shared" si="14"/>
        <v>139000</v>
      </c>
      <c r="O48" s="115">
        <f t="shared" si="14"/>
        <v>132000</v>
      </c>
      <c r="P48" s="115">
        <f t="shared" si="14"/>
        <v>76000</v>
      </c>
      <c r="Q48" s="115">
        <f t="shared" si="14"/>
        <v>73000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13268000</v>
      </c>
      <c r="E49" s="114" t="s">
        <v>202</v>
      </c>
      <c r="F49" s="37">
        <f>ROUND($D49/12*3,-3)</f>
        <v>3317000</v>
      </c>
      <c r="G49" s="37">
        <f>ROUND($D49/12,-3)</f>
        <v>1106000</v>
      </c>
      <c r="H49" s="37">
        <f t="shared" ref="H49:N53" si="15">ROUND($D49/12,-3)</f>
        <v>1106000</v>
      </c>
      <c r="I49" s="37">
        <f t="shared" si="15"/>
        <v>1106000</v>
      </c>
      <c r="J49" s="37">
        <f t="shared" si="15"/>
        <v>1106000</v>
      </c>
      <c r="K49" s="37">
        <f t="shared" si="15"/>
        <v>1106000</v>
      </c>
      <c r="L49" s="37">
        <f t="shared" si="15"/>
        <v>1106000</v>
      </c>
      <c r="M49" s="37">
        <f t="shared" si="15"/>
        <v>1106000</v>
      </c>
      <c r="N49" s="37">
        <f t="shared" si="15"/>
        <v>1106000</v>
      </c>
      <c r="O49" s="37">
        <f>D49-SUM(F49:N49)</f>
        <v>1103000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406000</v>
      </c>
      <c r="E50" s="114" t="s">
        <v>202</v>
      </c>
      <c r="F50" s="37">
        <f t="shared" ref="F50:F53" si="16">ROUND($D50/12*3,-3)</f>
        <v>102000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si="15"/>
        <v>34000</v>
      </c>
      <c r="N50" s="37">
        <f t="shared" si="15"/>
        <v>34000</v>
      </c>
      <c r="O50" s="37">
        <f t="shared" ref="O50:O53" si="18">D50-SUM(F50:N50)</f>
        <v>32000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1412000</v>
      </c>
      <c r="E51" s="114" t="s">
        <v>202</v>
      </c>
      <c r="F51" s="37">
        <f t="shared" si="16"/>
        <v>353000</v>
      </c>
      <c r="G51" s="37">
        <f t="shared" si="17"/>
        <v>118000</v>
      </c>
      <c r="H51" s="37">
        <f t="shared" si="15"/>
        <v>118000</v>
      </c>
      <c r="I51" s="37">
        <f t="shared" si="15"/>
        <v>118000</v>
      </c>
      <c r="J51" s="37">
        <f t="shared" si="15"/>
        <v>118000</v>
      </c>
      <c r="K51" s="37">
        <f t="shared" si="15"/>
        <v>118000</v>
      </c>
      <c r="L51" s="37">
        <f t="shared" si="15"/>
        <v>118000</v>
      </c>
      <c r="M51" s="37">
        <f t="shared" si="15"/>
        <v>118000</v>
      </c>
      <c r="N51" s="37">
        <f t="shared" si="15"/>
        <v>118000</v>
      </c>
      <c r="O51" s="37">
        <f t="shared" si="18"/>
        <v>115000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344000</v>
      </c>
      <c r="E60" s="37" t="s">
        <v>195</v>
      </c>
      <c r="F60" s="37">
        <f>D60</f>
        <v>344000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1519000</v>
      </c>
      <c r="E62" s="37" t="s">
        <v>197</v>
      </c>
      <c r="F62" s="37"/>
      <c r="G62" s="37"/>
      <c r="H62" s="37"/>
      <c r="I62" s="37">
        <f>ROUND($D62/5,-3)</f>
        <v>304000</v>
      </c>
      <c r="J62" s="37"/>
      <c r="K62" s="37"/>
      <c r="L62" s="37"/>
      <c r="M62" s="37"/>
      <c r="N62" s="37">
        <f>D62-I62</f>
        <v>1215000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1612000</v>
      </c>
      <c r="E63" s="37" t="s">
        <v>195</v>
      </c>
      <c r="F63" s="37">
        <f>D63</f>
        <v>1612000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1307000</v>
      </c>
      <c r="E64" s="114" t="s">
        <v>202</v>
      </c>
      <c r="F64" s="37">
        <f>ROUND($D64/12*3,-3)</f>
        <v>327000</v>
      </c>
      <c r="G64" s="37">
        <f>ROUND($D64/12,-3)</f>
        <v>109000</v>
      </c>
      <c r="H64" s="37">
        <f t="shared" ref="H64:N66" si="21">ROUND($D64/12,-3)</f>
        <v>109000</v>
      </c>
      <c r="I64" s="37">
        <f t="shared" si="21"/>
        <v>109000</v>
      </c>
      <c r="J64" s="37">
        <f t="shared" si="21"/>
        <v>109000</v>
      </c>
      <c r="K64" s="37">
        <f t="shared" si="21"/>
        <v>109000</v>
      </c>
      <c r="L64" s="37">
        <f t="shared" si="21"/>
        <v>109000</v>
      </c>
      <c r="M64" s="37">
        <f t="shared" si="21"/>
        <v>109000</v>
      </c>
      <c r="N64" s="37">
        <f t="shared" si="21"/>
        <v>109000</v>
      </c>
      <c r="O64" s="37">
        <f>D64-SUM(F64:N64)</f>
        <v>108000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291000</v>
      </c>
      <c r="E65" s="114" t="s">
        <v>202</v>
      </c>
      <c r="F65" s="37">
        <f t="shared" ref="F65:F66" si="22">ROUND($D65/12*3,-3)</f>
        <v>73000</v>
      </c>
      <c r="G65" s="37">
        <f t="shared" ref="G65:G66" si="23">ROUND($D65/12,-3)</f>
        <v>24000</v>
      </c>
      <c r="H65" s="37">
        <f t="shared" si="21"/>
        <v>24000</v>
      </c>
      <c r="I65" s="37">
        <f t="shared" si="21"/>
        <v>24000</v>
      </c>
      <c r="J65" s="37">
        <f t="shared" si="21"/>
        <v>24000</v>
      </c>
      <c r="K65" s="37">
        <f t="shared" si="21"/>
        <v>24000</v>
      </c>
      <c r="L65" s="37">
        <f t="shared" si="21"/>
        <v>24000</v>
      </c>
      <c r="M65" s="37">
        <f t="shared" si="21"/>
        <v>24000</v>
      </c>
      <c r="N65" s="37">
        <f t="shared" si="21"/>
        <v>24000</v>
      </c>
      <c r="O65" s="37">
        <f t="shared" ref="O65:O66" si="24">D65-SUM(F65:N65)</f>
        <v>26000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1057000</v>
      </c>
      <c r="E66" s="114" t="s">
        <v>202</v>
      </c>
      <c r="F66" s="37">
        <f t="shared" si="22"/>
        <v>264000</v>
      </c>
      <c r="G66" s="37">
        <f t="shared" si="23"/>
        <v>88000</v>
      </c>
      <c r="H66" s="37">
        <f t="shared" si="21"/>
        <v>88000</v>
      </c>
      <c r="I66" s="37">
        <f t="shared" si="21"/>
        <v>88000</v>
      </c>
      <c r="J66" s="37">
        <f t="shared" si="21"/>
        <v>88000</v>
      </c>
      <c r="K66" s="37">
        <f t="shared" si="21"/>
        <v>88000</v>
      </c>
      <c r="L66" s="37">
        <f t="shared" si="21"/>
        <v>88000</v>
      </c>
      <c r="M66" s="37">
        <f t="shared" si="21"/>
        <v>88000</v>
      </c>
      <c r="N66" s="37">
        <f t="shared" si="21"/>
        <v>88000</v>
      </c>
      <c r="O66" s="37">
        <f t="shared" si="24"/>
        <v>89000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22000</v>
      </c>
      <c r="E67" s="37" t="s">
        <v>196</v>
      </c>
      <c r="F67" s="37"/>
      <c r="G67" s="37"/>
      <c r="H67" s="37">
        <f>D67</f>
        <v>22000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126000</v>
      </c>
      <c r="E68" s="37" t="s">
        <v>195</v>
      </c>
      <c r="F68" s="37">
        <f>D68</f>
        <v>126000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21684000</v>
      </c>
      <c r="E70" s="108"/>
      <c r="F70" s="108">
        <f t="shared" ref="F70:P70" si="25">ROUND(SUM(F49:F69),-3)</f>
        <v>6589000</v>
      </c>
      <c r="G70" s="108">
        <f t="shared" si="25"/>
        <v>1506000</v>
      </c>
      <c r="H70" s="108">
        <f t="shared" si="25"/>
        <v>1528000</v>
      </c>
      <c r="I70" s="108">
        <f t="shared" si="25"/>
        <v>1810000</v>
      </c>
      <c r="J70" s="108">
        <f t="shared" si="25"/>
        <v>1506000</v>
      </c>
      <c r="K70" s="108">
        <f t="shared" si="25"/>
        <v>1506000</v>
      </c>
      <c r="L70" s="108">
        <f t="shared" si="25"/>
        <v>1506000</v>
      </c>
      <c r="M70" s="108">
        <f t="shared" si="25"/>
        <v>1506000</v>
      </c>
      <c r="N70" s="108">
        <f t="shared" si="25"/>
        <v>2721000</v>
      </c>
      <c r="O70" s="108">
        <f t="shared" si="25"/>
        <v>1501000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20000</v>
      </c>
      <c r="E71" s="37" t="s">
        <v>195</v>
      </c>
      <c r="F71" s="37">
        <f>D71</f>
        <v>20000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2049000</v>
      </c>
      <c r="E72" s="114" t="s">
        <v>202</v>
      </c>
      <c r="F72" s="37">
        <f>ROUND($D72/12*3,-3)</f>
        <v>512000</v>
      </c>
      <c r="G72" s="37">
        <f>ROUND($D72/12,-3)</f>
        <v>171000</v>
      </c>
      <c r="H72" s="37">
        <f t="shared" ref="H72:N75" si="26">ROUND($D72/12,-3)</f>
        <v>171000</v>
      </c>
      <c r="I72" s="37">
        <f t="shared" si="26"/>
        <v>171000</v>
      </c>
      <c r="J72" s="37">
        <f t="shared" si="26"/>
        <v>171000</v>
      </c>
      <c r="K72" s="37">
        <f t="shared" si="26"/>
        <v>171000</v>
      </c>
      <c r="L72" s="37">
        <f t="shared" si="26"/>
        <v>171000</v>
      </c>
      <c r="M72" s="37">
        <f t="shared" si="26"/>
        <v>171000</v>
      </c>
      <c r="N72" s="37">
        <f t="shared" si="26"/>
        <v>171000</v>
      </c>
      <c r="O72" s="37">
        <f>D72-SUM(F72:N72)</f>
        <v>169000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1109000</v>
      </c>
      <c r="E75" s="114" t="s">
        <v>202</v>
      </c>
      <c r="F75" s="37">
        <f>ROUND($D75/12*3,-3)</f>
        <v>277000</v>
      </c>
      <c r="G75" s="37">
        <f>ROUND($D75/12,-3)</f>
        <v>92000</v>
      </c>
      <c r="H75" s="37">
        <f t="shared" si="26"/>
        <v>92000</v>
      </c>
      <c r="I75" s="37">
        <f t="shared" si="26"/>
        <v>92000</v>
      </c>
      <c r="J75" s="37">
        <f t="shared" si="26"/>
        <v>92000</v>
      </c>
      <c r="K75" s="37">
        <f t="shared" si="26"/>
        <v>92000</v>
      </c>
      <c r="L75" s="37">
        <f t="shared" si="26"/>
        <v>92000</v>
      </c>
      <c r="M75" s="37">
        <f t="shared" si="26"/>
        <v>92000</v>
      </c>
      <c r="N75" s="37">
        <f t="shared" si="26"/>
        <v>92000</v>
      </c>
      <c r="O75" s="37">
        <f>D75-SUM(F75:N75)</f>
        <v>96000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3178000</v>
      </c>
      <c r="E76" s="108"/>
      <c r="F76" s="108">
        <f>ROUND(SUM(F71:F75),-3)</f>
        <v>809000</v>
      </c>
      <c r="G76" s="108">
        <f t="shared" ref="G76:N76" si="27">ROUND(SUM(G71:G75),-3)</f>
        <v>263000</v>
      </c>
      <c r="H76" s="108">
        <f t="shared" si="27"/>
        <v>263000</v>
      </c>
      <c r="I76" s="108">
        <f t="shared" si="27"/>
        <v>263000</v>
      </c>
      <c r="J76" s="108">
        <f t="shared" si="27"/>
        <v>263000</v>
      </c>
      <c r="K76" s="108">
        <f t="shared" si="27"/>
        <v>263000</v>
      </c>
      <c r="L76" s="108">
        <f t="shared" si="27"/>
        <v>263000</v>
      </c>
      <c r="M76" s="108">
        <f t="shared" si="27"/>
        <v>263000</v>
      </c>
      <c r="N76" s="108">
        <f t="shared" si="27"/>
        <v>263000</v>
      </c>
      <c r="O76" s="108">
        <f>D76-SUM(F76:N76)</f>
        <v>265000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74000</v>
      </c>
      <c r="E77" s="37" t="s">
        <v>681</v>
      </c>
      <c r="F77" s="224"/>
      <c r="G77" s="224"/>
      <c r="H77" s="224">
        <f>ROUND($D77/2,-3)</f>
        <v>37000</v>
      </c>
      <c r="I77" s="224"/>
      <c r="J77" s="224"/>
      <c r="K77" s="224"/>
      <c r="L77" s="224"/>
      <c r="M77" s="224"/>
      <c r="N77" s="224">
        <f>D77-H77</f>
        <v>37000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24936000</v>
      </c>
      <c r="E78" s="227"/>
      <c r="F78" s="227">
        <f>F76+F70+F77</f>
        <v>7398000</v>
      </c>
      <c r="G78" s="227">
        <f t="shared" ref="G78:Q78" si="29">G76+G70+G77</f>
        <v>1769000</v>
      </c>
      <c r="H78" s="227">
        <f t="shared" si="29"/>
        <v>1828000</v>
      </c>
      <c r="I78" s="227">
        <f t="shared" si="29"/>
        <v>2073000</v>
      </c>
      <c r="J78" s="227">
        <f t="shared" si="29"/>
        <v>1769000</v>
      </c>
      <c r="K78" s="227">
        <f t="shared" si="29"/>
        <v>1769000</v>
      </c>
      <c r="L78" s="227">
        <f t="shared" si="29"/>
        <v>1769000</v>
      </c>
      <c r="M78" s="227">
        <f t="shared" si="29"/>
        <v>1769000</v>
      </c>
      <c r="N78" s="227">
        <f t="shared" si="29"/>
        <v>3021000</v>
      </c>
      <c r="O78" s="227">
        <f t="shared" si="29"/>
        <v>1766000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26654000</v>
      </c>
      <c r="E87" s="37"/>
      <c r="F87" s="37">
        <f>F88+F89+F90+F91</f>
        <v>7713000</v>
      </c>
      <c r="G87" s="37">
        <f t="shared" ref="G87:Q87" si="32">G88+G89+G90+G91</f>
        <v>1895000</v>
      </c>
      <c r="H87" s="37">
        <f t="shared" si="32"/>
        <v>1965000</v>
      </c>
      <c r="I87" s="37">
        <f t="shared" si="32"/>
        <v>2226000</v>
      </c>
      <c r="J87" s="37">
        <f t="shared" si="32"/>
        <v>1906000</v>
      </c>
      <c r="K87" s="37">
        <f t="shared" si="32"/>
        <v>1908000</v>
      </c>
      <c r="L87" s="37">
        <f t="shared" si="32"/>
        <v>1923000</v>
      </c>
      <c r="M87" s="37">
        <f t="shared" si="32"/>
        <v>1906000</v>
      </c>
      <c r="N87" s="37">
        <f t="shared" si="32"/>
        <v>3160000</v>
      </c>
      <c r="O87" s="37">
        <f t="shared" si="32"/>
        <v>1898000</v>
      </c>
      <c r="P87" s="37">
        <f t="shared" si="32"/>
        <v>81000</v>
      </c>
      <c r="Q87" s="37">
        <f t="shared" si="32"/>
        <v>73000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0</v>
      </c>
      <c r="E88" s="108" t="s">
        <v>193</v>
      </c>
      <c r="F88" s="108">
        <f>ROUND($D88/2,-3)</f>
        <v>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26653000</v>
      </c>
      <c r="E91" s="108"/>
      <c r="F91" s="108">
        <f>F92+F93+F94+F95</f>
        <v>7713000</v>
      </c>
      <c r="G91" s="108">
        <f t="shared" ref="G91:Q91" si="34">G92+G93+G94+G95</f>
        <v>1895000</v>
      </c>
      <c r="H91" s="108">
        <f t="shared" si="34"/>
        <v>1965000</v>
      </c>
      <c r="I91" s="108">
        <f t="shared" si="34"/>
        <v>2226000</v>
      </c>
      <c r="J91" s="108">
        <f t="shared" si="34"/>
        <v>1906000</v>
      </c>
      <c r="K91" s="108">
        <f t="shared" si="34"/>
        <v>1908000</v>
      </c>
      <c r="L91" s="108">
        <f t="shared" si="34"/>
        <v>1923000</v>
      </c>
      <c r="M91" s="108">
        <f t="shared" si="34"/>
        <v>1906000</v>
      </c>
      <c r="N91" s="108">
        <f t="shared" si="34"/>
        <v>3160000</v>
      </c>
      <c r="O91" s="108">
        <f t="shared" si="34"/>
        <v>1898000</v>
      </c>
      <c r="P91" s="108">
        <f t="shared" si="34"/>
        <v>81000</v>
      </c>
      <c r="Q91" s="108">
        <f t="shared" si="34"/>
        <v>72000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2315000</v>
      </c>
      <c r="E92" s="114" t="s">
        <v>537</v>
      </c>
      <c r="F92" s="37">
        <f>ROUND($D92/12*5,-3)</f>
        <v>965000</v>
      </c>
      <c r="G92" s="37">
        <f>ROUND($D92/12,-3)</f>
        <v>193000</v>
      </c>
      <c r="H92" s="37">
        <f t="shared" ref="H92:L92" si="35">ROUND($D92/12,-3)</f>
        <v>193000</v>
      </c>
      <c r="I92" s="37">
        <f t="shared" si="35"/>
        <v>193000</v>
      </c>
      <c r="J92" s="37">
        <f t="shared" si="35"/>
        <v>193000</v>
      </c>
      <c r="K92" s="37">
        <f t="shared" si="35"/>
        <v>193000</v>
      </c>
      <c r="L92" s="37">
        <f t="shared" si="35"/>
        <v>193000</v>
      </c>
      <c r="M92" s="37">
        <f>D92-SUM(F92:L92)</f>
        <v>192000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238000</v>
      </c>
      <c r="E94" s="190" t="s">
        <v>229</v>
      </c>
      <c r="F94" s="37"/>
      <c r="G94" s="37"/>
      <c r="H94" s="37">
        <f>ROUND($D94/2,-3)</f>
        <v>119000</v>
      </c>
      <c r="I94" s="37"/>
      <c r="J94" s="37"/>
      <c r="K94" s="37"/>
      <c r="L94" s="37"/>
      <c r="M94" s="37"/>
      <c r="N94" s="37"/>
      <c r="O94" s="37">
        <f>D94-H94</f>
        <v>119000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24010000</v>
      </c>
      <c r="E95" s="37"/>
      <c r="F95" s="37">
        <f>F2+F86-F88-F89-F90-F92-F93-F94</f>
        <v>6740000</v>
      </c>
      <c r="G95" s="37">
        <f t="shared" ref="G95:Q95" si="37">G2-G88-G89-G90-G92-G93-G94</f>
        <v>1694000</v>
      </c>
      <c r="H95" s="37">
        <f t="shared" si="37"/>
        <v>1645000</v>
      </c>
      <c r="I95" s="37">
        <f t="shared" si="37"/>
        <v>2025000</v>
      </c>
      <c r="J95" s="37">
        <f t="shared" si="37"/>
        <v>1705000</v>
      </c>
      <c r="K95" s="37">
        <f t="shared" si="37"/>
        <v>1707000</v>
      </c>
      <c r="L95" s="37">
        <f t="shared" si="37"/>
        <v>1722000</v>
      </c>
      <c r="M95" s="37">
        <f t="shared" si="37"/>
        <v>1706000</v>
      </c>
      <c r="N95" s="37">
        <f t="shared" si="37"/>
        <v>3152000</v>
      </c>
      <c r="O95" s="37">
        <f t="shared" si="37"/>
        <v>1771000</v>
      </c>
      <c r="P95" s="37">
        <f t="shared" si="37"/>
        <v>73000</v>
      </c>
      <c r="Q95" s="37">
        <f t="shared" si="37"/>
        <v>70000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238000</v>
      </c>
    </row>
    <row r="105" spans="2:17" ht="32.4">
      <c r="B105" s="72" t="s">
        <v>380</v>
      </c>
      <c r="D105" s="30">
        <f>HLOOKUP(D1,[1]縣庫撥款收入明細表!H:DD,19,FALSE)</f>
        <v>650000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24010000</v>
      </c>
    </row>
    <row r="108" spans="2:17" ht="16.5" customHeight="1"/>
    <row r="109" spans="2:17" ht="16.5" customHeight="1">
      <c r="B109" s="4" t="s">
        <v>682</v>
      </c>
      <c r="D109" s="30">
        <f>D91-D76</f>
        <v>23475000</v>
      </c>
      <c r="F109" s="30">
        <f>F91-F76</f>
        <v>6904000</v>
      </c>
      <c r="G109" s="30">
        <f t="shared" ref="G109:Q109" si="38">G91-G76</f>
        <v>1632000</v>
      </c>
      <c r="H109" s="30">
        <f t="shared" si="38"/>
        <v>1702000</v>
      </c>
      <c r="I109" s="30">
        <f t="shared" si="38"/>
        <v>1963000</v>
      </c>
      <c r="J109" s="30">
        <f t="shared" si="38"/>
        <v>1643000</v>
      </c>
      <c r="K109" s="30">
        <f t="shared" si="38"/>
        <v>1645000</v>
      </c>
      <c r="L109" s="30">
        <f t="shared" si="38"/>
        <v>1660000</v>
      </c>
      <c r="M109" s="30">
        <f t="shared" si="38"/>
        <v>1643000</v>
      </c>
      <c r="N109" s="30">
        <f t="shared" si="38"/>
        <v>2897000</v>
      </c>
      <c r="O109" s="30">
        <f t="shared" si="38"/>
        <v>1633000</v>
      </c>
      <c r="P109" s="30">
        <f t="shared" si="38"/>
        <v>81000</v>
      </c>
      <c r="Q109" s="30">
        <f t="shared" si="38"/>
        <v>72000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4" priority="1" operator="lessThan">
      <formula>0</formula>
    </cfRule>
  </conditionalFormatting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701</v>
      </c>
      <c r="D1" s="28" t="str">
        <f>VLOOKUP(C1,[1]學校編號!A:B,2,FALSE)</f>
        <v>701立山國小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25282000</v>
      </c>
      <c r="E2" s="37"/>
      <c r="F2" s="37">
        <f>F48+F70+F76+F77+F83</f>
        <v>7254000</v>
      </c>
      <c r="G2" s="37">
        <f t="shared" ref="G2:Q2" si="0">G48+G70+G76+G77+G83</f>
        <v>1821000</v>
      </c>
      <c r="H2" s="37">
        <f t="shared" si="0"/>
        <v>1896000</v>
      </c>
      <c r="I2" s="37">
        <f t="shared" si="0"/>
        <v>2099000</v>
      </c>
      <c r="J2" s="37">
        <f t="shared" si="0"/>
        <v>1831000</v>
      </c>
      <c r="K2" s="37">
        <f t="shared" si="0"/>
        <v>1835000</v>
      </c>
      <c r="L2" s="37">
        <f t="shared" si="0"/>
        <v>1849000</v>
      </c>
      <c r="M2" s="37">
        <f t="shared" si="0"/>
        <v>1831000</v>
      </c>
      <c r="N2" s="37">
        <f t="shared" si="0"/>
        <v>2883000</v>
      </c>
      <c r="O2" s="37">
        <f t="shared" si="0"/>
        <v>1819000</v>
      </c>
      <c r="P2" s="37">
        <f t="shared" si="0"/>
        <v>87000</v>
      </c>
      <c r="Q2" s="37">
        <f t="shared" si="0"/>
        <v>77000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30000</v>
      </c>
      <c r="E8" s="37" t="s">
        <v>525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3000</v>
      </c>
      <c r="E9" s="37" t="s">
        <v>525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17000</v>
      </c>
      <c r="E10" s="37" t="s">
        <v>525</v>
      </c>
      <c r="F10" s="37">
        <f t="shared" si="1"/>
        <v>1417</v>
      </c>
      <c r="G10" s="37">
        <f t="shared" si="1"/>
        <v>1417</v>
      </c>
      <c r="H10" s="37">
        <f t="shared" si="1"/>
        <v>1417</v>
      </c>
      <c r="I10" s="37">
        <f t="shared" si="1"/>
        <v>1417</v>
      </c>
      <c r="J10" s="37">
        <f t="shared" si="1"/>
        <v>1417</v>
      </c>
      <c r="K10" s="37">
        <f t="shared" si="1"/>
        <v>1417</v>
      </c>
      <c r="L10" s="37">
        <f t="shared" si="1"/>
        <v>1417</v>
      </c>
      <c r="M10" s="37">
        <f t="shared" si="1"/>
        <v>1417</v>
      </c>
      <c r="N10" s="37">
        <f t="shared" si="1"/>
        <v>1417</v>
      </c>
      <c r="O10" s="37">
        <f t="shared" si="1"/>
        <v>1417</v>
      </c>
      <c r="P10" s="37">
        <f t="shared" si="1"/>
        <v>1417</v>
      </c>
      <c r="Q10" s="37">
        <f t="shared" si="2"/>
        <v>1413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38000</v>
      </c>
      <c r="E11" s="37" t="s">
        <v>195</v>
      </c>
      <c r="F11" s="37">
        <f>D11</f>
        <v>38000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726000</v>
      </c>
      <c r="E12" s="113" t="s">
        <v>202</v>
      </c>
      <c r="F12" s="37">
        <f>ROUND($D12/12*3,-3)</f>
        <v>182000</v>
      </c>
      <c r="G12" s="37">
        <f>ROUND($D12/12,-3)</f>
        <v>61000</v>
      </c>
      <c r="H12" s="37">
        <f t="shared" ref="H12:N12" si="4">ROUND($D12/12,-3)</f>
        <v>61000</v>
      </c>
      <c r="I12" s="37">
        <f t="shared" si="4"/>
        <v>61000</v>
      </c>
      <c r="J12" s="37">
        <f t="shared" si="4"/>
        <v>61000</v>
      </c>
      <c r="K12" s="37">
        <f t="shared" si="4"/>
        <v>61000</v>
      </c>
      <c r="L12" s="37">
        <f t="shared" si="4"/>
        <v>61000</v>
      </c>
      <c r="M12" s="37">
        <f t="shared" si="4"/>
        <v>61000</v>
      </c>
      <c r="N12" s="37">
        <f t="shared" si="4"/>
        <v>61000</v>
      </c>
      <c r="O12" s="37">
        <f>D12-SUM(F12:N12)</f>
        <v>56000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32000</v>
      </c>
      <c r="E15" s="37" t="s">
        <v>193</v>
      </c>
      <c r="F15" s="37">
        <f>ROUND($D15/2,-3)</f>
        <v>16000</v>
      </c>
      <c r="G15" s="37"/>
      <c r="H15" s="37"/>
      <c r="I15" s="37"/>
      <c r="J15" s="37"/>
      <c r="K15" s="37"/>
      <c r="L15" s="37">
        <f>D15-F15</f>
        <v>16000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3000</v>
      </c>
      <c r="E24" s="37" t="s">
        <v>193</v>
      </c>
      <c r="F24" s="37">
        <f>ROUND($D24/2,-3)</f>
        <v>2000</v>
      </c>
      <c r="G24" s="37"/>
      <c r="H24" s="37"/>
      <c r="I24" s="37"/>
      <c r="J24" s="37"/>
      <c r="K24" s="37"/>
      <c r="L24" s="37">
        <f>D24-F24</f>
        <v>1000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1375000</v>
      </c>
      <c r="E25" s="108"/>
      <c r="F25" s="108">
        <f>ROUND(SUM(F3:F24),-3)</f>
        <v>286000</v>
      </c>
      <c r="G25" s="108">
        <f t="shared" ref="G25:P25" si="5">ROUND(SUM(G3:G24),-3)</f>
        <v>109000</v>
      </c>
      <c r="H25" s="108">
        <f t="shared" si="5"/>
        <v>109000</v>
      </c>
      <c r="I25" s="108">
        <f t="shared" si="5"/>
        <v>109000</v>
      </c>
      <c r="J25" s="108">
        <f t="shared" si="5"/>
        <v>109000</v>
      </c>
      <c r="K25" s="108">
        <f t="shared" si="5"/>
        <v>109000</v>
      </c>
      <c r="L25" s="108">
        <f t="shared" si="5"/>
        <v>126000</v>
      </c>
      <c r="M25" s="108">
        <f t="shared" si="5"/>
        <v>109000</v>
      </c>
      <c r="N25" s="108">
        <f t="shared" si="5"/>
        <v>109000</v>
      </c>
      <c r="O25" s="108">
        <f t="shared" si="5"/>
        <v>104000</v>
      </c>
      <c r="P25" s="108">
        <f t="shared" si="5"/>
        <v>48000</v>
      </c>
      <c r="Q25" s="108">
        <f t="shared" ref="Q25:Q33" si="6">D25-SUM(F25:P25)</f>
        <v>48000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101000</v>
      </c>
      <c r="E26" s="114" t="s">
        <v>204</v>
      </c>
      <c r="F26" s="37">
        <f>ROUND($D26/10,-3)</f>
        <v>10000</v>
      </c>
      <c r="G26" s="37"/>
      <c r="H26" s="37">
        <f>ROUND($D26/10,-3)</f>
        <v>10000</v>
      </c>
      <c r="I26" s="37">
        <f>ROUND($D26/10,-3)</f>
        <v>10000</v>
      </c>
      <c r="J26" s="37">
        <f>ROUND($D26/10,-3)</f>
        <v>10000</v>
      </c>
      <c r="K26" s="37">
        <f>ROUND($D26/10,-3)</f>
        <v>10000</v>
      </c>
      <c r="L26" s="37"/>
      <c r="M26" s="37">
        <f>ROUND($D26/10,-3)</f>
        <v>10000</v>
      </c>
      <c r="N26" s="37">
        <f>ROUND($D26/10,-3)</f>
        <v>10000</v>
      </c>
      <c r="O26" s="37">
        <f>ROUND($D26/10,-3)</f>
        <v>10000</v>
      </c>
      <c r="P26" s="37">
        <f>ROUND($D26/10,-3)</f>
        <v>10000</v>
      </c>
      <c r="Q26" s="37">
        <f t="shared" si="6"/>
        <v>11000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11000</v>
      </c>
      <c r="E30" s="37" t="s">
        <v>525</v>
      </c>
      <c r="F30" s="37">
        <f t="shared" si="8"/>
        <v>917</v>
      </c>
      <c r="G30" s="37">
        <f t="shared" si="8"/>
        <v>917</v>
      </c>
      <c r="H30" s="37">
        <f t="shared" si="8"/>
        <v>917</v>
      </c>
      <c r="I30" s="37">
        <f t="shared" si="8"/>
        <v>917</v>
      </c>
      <c r="J30" s="37">
        <f t="shared" si="8"/>
        <v>917</v>
      </c>
      <c r="K30" s="37">
        <f t="shared" si="8"/>
        <v>917</v>
      </c>
      <c r="L30" s="37">
        <f t="shared" si="8"/>
        <v>917</v>
      </c>
      <c r="M30" s="37">
        <f t="shared" si="8"/>
        <v>917</v>
      </c>
      <c r="N30" s="37">
        <f t="shared" si="8"/>
        <v>917</v>
      </c>
      <c r="O30" s="37">
        <f t="shared" si="8"/>
        <v>917</v>
      </c>
      <c r="P30" s="37">
        <f t="shared" si="8"/>
        <v>917</v>
      </c>
      <c r="Q30" s="37">
        <f t="shared" si="6"/>
        <v>913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5000</v>
      </c>
      <c r="E31" s="37" t="s">
        <v>525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383000</v>
      </c>
      <c r="E37" s="108"/>
      <c r="F37" s="108">
        <f t="shared" ref="F37:P37" si="9">ROUND(SUM(F26:F36),-3)</f>
        <v>34000</v>
      </c>
      <c r="G37" s="108">
        <f t="shared" si="9"/>
        <v>24000</v>
      </c>
      <c r="H37" s="108">
        <f t="shared" si="9"/>
        <v>34000</v>
      </c>
      <c r="I37" s="108">
        <f t="shared" si="9"/>
        <v>34000</v>
      </c>
      <c r="J37" s="108">
        <f t="shared" si="9"/>
        <v>34000</v>
      </c>
      <c r="K37" s="108">
        <f t="shared" si="9"/>
        <v>34000</v>
      </c>
      <c r="L37" s="108">
        <f t="shared" si="9"/>
        <v>24000</v>
      </c>
      <c r="M37" s="108">
        <f t="shared" si="9"/>
        <v>34000</v>
      </c>
      <c r="N37" s="108">
        <f t="shared" si="9"/>
        <v>34000</v>
      </c>
      <c r="O37" s="108">
        <f t="shared" si="9"/>
        <v>34000</v>
      </c>
      <c r="P37" s="108">
        <f t="shared" si="9"/>
        <v>34000</v>
      </c>
      <c r="Q37" s="108">
        <f>D37-SUM(F37:P37)</f>
        <v>29000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16000</v>
      </c>
      <c r="E42" s="37" t="s">
        <v>199</v>
      </c>
      <c r="F42" s="37"/>
      <c r="G42" s="37"/>
      <c r="H42" s="37"/>
      <c r="I42" s="37">
        <f>D42</f>
        <v>16000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11000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11000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28000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16000</v>
      </c>
      <c r="J45" s="108">
        <f t="shared" si="12"/>
        <v>0</v>
      </c>
      <c r="K45" s="108">
        <f t="shared" si="12"/>
        <v>0</v>
      </c>
      <c r="L45" s="108">
        <f t="shared" si="12"/>
        <v>11000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1798000</v>
      </c>
      <c r="E48" s="37"/>
      <c r="F48" s="115">
        <f>F25+F37+F45+F47</f>
        <v>325000</v>
      </c>
      <c r="G48" s="115">
        <f t="shared" ref="G48:R48" si="14">G25+G37+G45+G47</f>
        <v>133000</v>
      </c>
      <c r="H48" s="115">
        <f t="shared" si="14"/>
        <v>143000</v>
      </c>
      <c r="I48" s="115">
        <f t="shared" si="14"/>
        <v>159000</v>
      </c>
      <c r="J48" s="115">
        <f t="shared" si="14"/>
        <v>143000</v>
      </c>
      <c r="K48" s="115">
        <f t="shared" si="14"/>
        <v>147000</v>
      </c>
      <c r="L48" s="115">
        <f t="shared" si="14"/>
        <v>161000</v>
      </c>
      <c r="M48" s="115">
        <f t="shared" si="14"/>
        <v>143000</v>
      </c>
      <c r="N48" s="115">
        <f t="shared" si="14"/>
        <v>147000</v>
      </c>
      <c r="O48" s="115">
        <f t="shared" si="14"/>
        <v>138000</v>
      </c>
      <c r="P48" s="115">
        <f t="shared" si="14"/>
        <v>82000</v>
      </c>
      <c r="Q48" s="115">
        <f t="shared" si="14"/>
        <v>77000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13197000</v>
      </c>
      <c r="E49" s="114" t="s">
        <v>202</v>
      </c>
      <c r="F49" s="37">
        <f>ROUND($D49/12*3,-3)</f>
        <v>3299000</v>
      </c>
      <c r="G49" s="37">
        <f>ROUND($D49/12,-3)</f>
        <v>1100000</v>
      </c>
      <c r="H49" s="37">
        <f t="shared" ref="H49:N53" si="15">ROUND($D49/12,-3)</f>
        <v>1100000</v>
      </c>
      <c r="I49" s="37">
        <f t="shared" si="15"/>
        <v>1100000</v>
      </c>
      <c r="J49" s="37">
        <f t="shared" si="15"/>
        <v>1100000</v>
      </c>
      <c r="K49" s="37">
        <f t="shared" si="15"/>
        <v>1100000</v>
      </c>
      <c r="L49" s="37">
        <f t="shared" si="15"/>
        <v>1100000</v>
      </c>
      <c r="M49" s="37">
        <f t="shared" si="15"/>
        <v>1100000</v>
      </c>
      <c r="N49" s="37">
        <f t="shared" si="15"/>
        <v>1100000</v>
      </c>
      <c r="O49" s="37">
        <f>D49-SUM(F49:N49)</f>
        <v>1098000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1349000</v>
      </c>
      <c r="E51" s="114" t="s">
        <v>202</v>
      </c>
      <c r="F51" s="37">
        <f t="shared" si="16"/>
        <v>337000</v>
      </c>
      <c r="G51" s="37">
        <f t="shared" si="17"/>
        <v>112000</v>
      </c>
      <c r="H51" s="37">
        <f t="shared" si="15"/>
        <v>112000</v>
      </c>
      <c r="I51" s="37">
        <f t="shared" si="15"/>
        <v>112000</v>
      </c>
      <c r="J51" s="37">
        <f t="shared" si="15"/>
        <v>112000</v>
      </c>
      <c r="K51" s="37">
        <f t="shared" si="15"/>
        <v>112000</v>
      </c>
      <c r="L51" s="37">
        <f t="shared" si="15"/>
        <v>112000</v>
      </c>
      <c r="M51" s="37">
        <f t="shared" si="15"/>
        <v>112000</v>
      </c>
      <c r="N51" s="37">
        <f t="shared" si="15"/>
        <v>112000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273000</v>
      </c>
      <c r="E60" s="37" t="s">
        <v>195</v>
      </c>
      <c r="F60" s="37">
        <f>D60</f>
        <v>273000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1262000</v>
      </c>
      <c r="E62" s="37" t="s">
        <v>197</v>
      </c>
      <c r="F62" s="37"/>
      <c r="G62" s="37"/>
      <c r="H62" s="37"/>
      <c r="I62" s="37">
        <f>ROUND($D62/5,-3)</f>
        <v>252000</v>
      </c>
      <c r="J62" s="37"/>
      <c r="K62" s="37"/>
      <c r="L62" s="37"/>
      <c r="M62" s="37"/>
      <c r="N62" s="37">
        <f>D62-I62</f>
        <v>1010000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1508000</v>
      </c>
      <c r="E63" s="37" t="s">
        <v>195</v>
      </c>
      <c r="F63" s="37">
        <f>D63</f>
        <v>1508000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1267000</v>
      </c>
      <c r="E64" s="114" t="s">
        <v>202</v>
      </c>
      <c r="F64" s="37">
        <f>ROUND($D64/12*3,-3)</f>
        <v>317000</v>
      </c>
      <c r="G64" s="37">
        <f>ROUND($D64/12,-3)</f>
        <v>106000</v>
      </c>
      <c r="H64" s="37">
        <f t="shared" ref="H64:N66" si="21">ROUND($D64/12,-3)</f>
        <v>106000</v>
      </c>
      <c r="I64" s="37">
        <f t="shared" si="21"/>
        <v>106000</v>
      </c>
      <c r="J64" s="37">
        <f t="shared" si="21"/>
        <v>106000</v>
      </c>
      <c r="K64" s="37">
        <f t="shared" si="21"/>
        <v>106000</v>
      </c>
      <c r="L64" s="37">
        <f t="shared" si="21"/>
        <v>106000</v>
      </c>
      <c r="M64" s="37">
        <f t="shared" si="21"/>
        <v>106000</v>
      </c>
      <c r="N64" s="37">
        <f t="shared" si="21"/>
        <v>106000</v>
      </c>
      <c r="O64" s="37">
        <f>D64-SUM(F64:N64)</f>
        <v>102000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281000</v>
      </c>
      <c r="E65" s="114" t="s">
        <v>202</v>
      </c>
      <c r="F65" s="37">
        <f t="shared" ref="F65:F66" si="22">ROUND($D65/12*3,-3)</f>
        <v>70000</v>
      </c>
      <c r="G65" s="37">
        <f t="shared" ref="G65:G66" si="23">ROUND($D65/12,-3)</f>
        <v>23000</v>
      </c>
      <c r="H65" s="37">
        <f t="shared" si="21"/>
        <v>23000</v>
      </c>
      <c r="I65" s="37">
        <f t="shared" si="21"/>
        <v>23000</v>
      </c>
      <c r="J65" s="37">
        <f t="shared" si="21"/>
        <v>23000</v>
      </c>
      <c r="K65" s="37">
        <f t="shared" si="21"/>
        <v>23000</v>
      </c>
      <c r="L65" s="37">
        <f t="shared" si="21"/>
        <v>23000</v>
      </c>
      <c r="M65" s="37">
        <f t="shared" si="21"/>
        <v>23000</v>
      </c>
      <c r="N65" s="37">
        <f t="shared" si="21"/>
        <v>23000</v>
      </c>
      <c r="O65" s="37">
        <f t="shared" ref="O65:O66" si="24">D65-SUM(F65:N65)</f>
        <v>27000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1003000</v>
      </c>
      <c r="E66" s="114" t="s">
        <v>202</v>
      </c>
      <c r="F66" s="37">
        <f t="shared" si="22"/>
        <v>251000</v>
      </c>
      <c r="G66" s="37">
        <f t="shared" si="23"/>
        <v>84000</v>
      </c>
      <c r="H66" s="37">
        <f t="shared" si="21"/>
        <v>84000</v>
      </c>
      <c r="I66" s="37">
        <f t="shared" si="21"/>
        <v>84000</v>
      </c>
      <c r="J66" s="37">
        <f t="shared" si="21"/>
        <v>84000</v>
      </c>
      <c r="K66" s="37">
        <f t="shared" si="21"/>
        <v>84000</v>
      </c>
      <c r="L66" s="37">
        <f t="shared" si="21"/>
        <v>84000</v>
      </c>
      <c r="M66" s="37">
        <f t="shared" si="21"/>
        <v>84000</v>
      </c>
      <c r="N66" s="37">
        <f t="shared" si="21"/>
        <v>84000</v>
      </c>
      <c r="O66" s="37">
        <f t="shared" si="24"/>
        <v>80000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27000</v>
      </c>
      <c r="E67" s="37" t="s">
        <v>196</v>
      </c>
      <c r="F67" s="37"/>
      <c r="G67" s="37"/>
      <c r="H67" s="37">
        <f>D67</f>
        <v>27000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96000</v>
      </c>
      <c r="E68" s="37" t="s">
        <v>195</v>
      </c>
      <c r="F68" s="37">
        <f>D68</f>
        <v>96000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20583000</v>
      </c>
      <c r="E70" s="108"/>
      <c r="F70" s="108">
        <f t="shared" ref="F70:P70" si="25">ROUND(SUM(F49:F69),-3)</f>
        <v>6222000</v>
      </c>
      <c r="G70" s="108">
        <f t="shared" si="25"/>
        <v>1452000</v>
      </c>
      <c r="H70" s="108">
        <f t="shared" si="25"/>
        <v>1479000</v>
      </c>
      <c r="I70" s="108">
        <f t="shared" si="25"/>
        <v>1704000</v>
      </c>
      <c r="J70" s="108">
        <f t="shared" si="25"/>
        <v>1452000</v>
      </c>
      <c r="K70" s="108">
        <f t="shared" si="25"/>
        <v>1452000</v>
      </c>
      <c r="L70" s="108">
        <f t="shared" si="25"/>
        <v>1452000</v>
      </c>
      <c r="M70" s="108">
        <f t="shared" si="25"/>
        <v>1452000</v>
      </c>
      <c r="N70" s="108">
        <f t="shared" si="25"/>
        <v>2462000</v>
      </c>
      <c r="O70" s="108">
        <f t="shared" si="25"/>
        <v>1451000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2579000</v>
      </c>
      <c r="E72" s="114" t="s">
        <v>202</v>
      </c>
      <c r="F72" s="37">
        <f>ROUND($D72/12*3,-3)</f>
        <v>645000</v>
      </c>
      <c r="G72" s="37">
        <f>ROUND($D72/12,-3)</f>
        <v>215000</v>
      </c>
      <c r="H72" s="37">
        <f t="shared" ref="H72:N75" si="26">ROUND($D72/12,-3)</f>
        <v>215000</v>
      </c>
      <c r="I72" s="37">
        <f t="shared" si="26"/>
        <v>215000</v>
      </c>
      <c r="J72" s="37">
        <f t="shared" si="26"/>
        <v>215000</v>
      </c>
      <c r="K72" s="37">
        <f t="shared" si="26"/>
        <v>215000</v>
      </c>
      <c r="L72" s="37">
        <f t="shared" si="26"/>
        <v>215000</v>
      </c>
      <c r="M72" s="37">
        <f t="shared" si="26"/>
        <v>215000</v>
      </c>
      <c r="N72" s="37">
        <f t="shared" si="26"/>
        <v>215000</v>
      </c>
      <c r="O72" s="37">
        <f>D72-SUM(F72:N72)</f>
        <v>214000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246000</v>
      </c>
      <c r="E75" s="114" t="s">
        <v>202</v>
      </c>
      <c r="F75" s="37">
        <f>ROUND($D75/12*3,-3)</f>
        <v>62000</v>
      </c>
      <c r="G75" s="37">
        <f>ROUND($D75/12,-3)</f>
        <v>21000</v>
      </c>
      <c r="H75" s="37">
        <f t="shared" si="26"/>
        <v>21000</v>
      </c>
      <c r="I75" s="37">
        <f t="shared" si="26"/>
        <v>21000</v>
      </c>
      <c r="J75" s="37">
        <f t="shared" si="26"/>
        <v>21000</v>
      </c>
      <c r="K75" s="37">
        <f t="shared" si="26"/>
        <v>21000</v>
      </c>
      <c r="L75" s="37">
        <f t="shared" si="26"/>
        <v>21000</v>
      </c>
      <c r="M75" s="37">
        <f t="shared" si="26"/>
        <v>21000</v>
      </c>
      <c r="N75" s="37">
        <f t="shared" si="26"/>
        <v>21000</v>
      </c>
      <c r="O75" s="37">
        <f>D75-SUM(F75:N75)</f>
        <v>16000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2825000</v>
      </c>
      <c r="E76" s="108"/>
      <c r="F76" s="108">
        <f>ROUND(SUM(F71:F75),-3)</f>
        <v>707000</v>
      </c>
      <c r="G76" s="108">
        <f t="shared" ref="G76:N76" si="27">ROUND(SUM(G71:G75),-3)</f>
        <v>236000</v>
      </c>
      <c r="H76" s="108">
        <f t="shared" si="27"/>
        <v>236000</v>
      </c>
      <c r="I76" s="108">
        <f t="shared" si="27"/>
        <v>236000</v>
      </c>
      <c r="J76" s="108">
        <f t="shared" si="27"/>
        <v>236000</v>
      </c>
      <c r="K76" s="108">
        <f t="shared" si="27"/>
        <v>236000</v>
      </c>
      <c r="L76" s="108">
        <f t="shared" si="27"/>
        <v>236000</v>
      </c>
      <c r="M76" s="108">
        <f t="shared" si="27"/>
        <v>236000</v>
      </c>
      <c r="N76" s="108">
        <f t="shared" si="27"/>
        <v>236000</v>
      </c>
      <c r="O76" s="108">
        <f>D76-SUM(F76:N76)</f>
        <v>230000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76000</v>
      </c>
      <c r="E77" s="37" t="s">
        <v>681</v>
      </c>
      <c r="F77" s="224"/>
      <c r="G77" s="224"/>
      <c r="H77" s="224">
        <f>ROUND($D77/2,-3)</f>
        <v>38000</v>
      </c>
      <c r="I77" s="224"/>
      <c r="J77" s="224"/>
      <c r="K77" s="224"/>
      <c r="L77" s="224"/>
      <c r="M77" s="224"/>
      <c r="N77" s="224">
        <f>D77-H77</f>
        <v>38000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23484000</v>
      </c>
      <c r="E78" s="227"/>
      <c r="F78" s="227">
        <f>F76+F70+F77</f>
        <v>6929000</v>
      </c>
      <c r="G78" s="227">
        <f t="shared" ref="G78:Q78" si="29">G76+G70+G77</f>
        <v>1688000</v>
      </c>
      <c r="H78" s="227">
        <f t="shared" si="29"/>
        <v>1753000</v>
      </c>
      <c r="I78" s="227">
        <f t="shared" si="29"/>
        <v>1940000</v>
      </c>
      <c r="J78" s="227">
        <f t="shared" si="29"/>
        <v>1688000</v>
      </c>
      <c r="K78" s="227">
        <f t="shared" si="29"/>
        <v>1688000</v>
      </c>
      <c r="L78" s="227">
        <f t="shared" si="29"/>
        <v>1688000</v>
      </c>
      <c r="M78" s="227">
        <f t="shared" si="29"/>
        <v>1688000</v>
      </c>
      <c r="N78" s="227">
        <f t="shared" si="29"/>
        <v>2736000</v>
      </c>
      <c r="O78" s="227">
        <f t="shared" si="29"/>
        <v>1681000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25282000</v>
      </c>
      <c r="E87" s="37"/>
      <c r="F87" s="37">
        <f>F88+F89+F90+F91</f>
        <v>7254000</v>
      </c>
      <c r="G87" s="37">
        <f t="shared" ref="G87:Q87" si="32">G88+G89+G90+G91</f>
        <v>1821000</v>
      </c>
      <c r="H87" s="37">
        <f t="shared" si="32"/>
        <v>1896000</v>
      </c>
      <c r="I87" s="37">
        <f t="shared" si="32"/>
        <v>2099000</v>
      </c>
      <c r="J87" s="37">
        <f t="shared" si="32"/>
        <v>1831000</v>
      </c>
      <c r="K87" s="37">
        <f t="shared" si="32"/>
        <v>1835000</v>
      </c>
      <c r="L87" s="37">
        <f t="shared" si="32"/>
        <v>1849000</v>
      </c>
      <c r="M87" s="37">
        <f t="shared" si="32"/>
        <v>1831000</v>
      </c>
      <c r="N87" s="37">
        <f t="shared" si="32"/>
        <v>2883000</v>
      </c>
      <c r="O87" s="37">
        <f t="shared" si="32"/>
        <v>1819000</v>
      </c>
      <c r="P87" s="37">
        <f t="shared" si="32"/>
        <v>87000</v>
      </c>
      <c r="Q87" s="37">
        <f t="shared" si="32"/>
        <v>77000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3000</v>
      </c>
      <c r="E88" s="108" t="s">
        <v>193</v>
      </c>
      <c r="F88" s="108">
        <f>ROUND($D88/2,-3)</f>
        <v>2000</v>
      </c>
      <c r="G88" s="108"/>
      <c r="H88" s="108"/>
      <c r="I88" s="108"/>
      <c r="J88" s="108"/>
      <c r="K88" s="108"/>
      <c r="L88" s="108">
        <f>D88-F88</f>
        <v>1000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25278000</v>
      </c>
      <c r="E91" s="108"/>
      <c r="F91" s="108">
        <f>F92+F93+F94+F95</f>
        <v>7252000</v>
      </c>
      <c r="G91" s="108">
        <f t="shared" ref="G91:Q91" si="34">G92+G93+G94+G95</f>
        <v>1821000</v>
      </c>
      <c r="H91" s="108">
        <f t="shared" si="34"/>
        <v>1896000</v>
      </c>
      <c r="I91" s="108">
        <f t="shared" si="34"/>
        <v>2099000</v>
      </c>
      <c r="J91" s="108">
        <f t="shared" si="34"/>
        <v>1831000</v>
      </c>
      <c r="K91" s="108">
        <f t="shared" si="34"/>
        <v>1835000</v>
      </c>
      <c r="L91" s="108">
        <f t="shared" si="34"/>
        <v>1848000</v>
      </c>
      <c r="M91" s="108">
        <f t="shared" si="34"/>
        <v>1831000</v>
      </c>
      <c r="N91" s="108">
        <f t="shared" si="34"/>
        <v>2883000</v>
      </c>
      <c r="O91" s="108">
        <f t="shared" si="34"/>
        <v>1819000</v>
      </c>
      <c r="P91" s="108">
        <f t="shared" si="34"/>
        <v>87000</v>
      </c>
      <c r="Q91" s="108">
        <f t="shared" si="34"/>
        <v>76000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2965000</v>
      </c>
      <c r="E92" s="114" t="s">
        <v>537</v>
      </c>
      <c r="F92" s="37">
        <f>ROUND($D92/12*5,-3)</f>
        <v>1235000</v>
      </c>
      <c r="G92" s="37">
        <f>ROUND($D92/12,-3)</f>
        <v>247000</v>
      </c>
      <c r="H92" s="37">
        <f t="shared" ref="H92:L92" si="35">ROUND($D92/12,-3)</f>
        <v>247000</v>
      </c>
      <c r="I92" s="37">
        <f t="shared" si="35"/>
        <v>247000</v>
      </c>
      <c r="J92" s="37">
        <f t="shared" si="35"/>
        <v>247000</v>
      </c>
      <c r="K92" s="37">
        <f t="shared" si="35"/>
        <v>247000</v>
      </c>
      <c r="L92" s="37">
        <f t="shared" si="35"/>
        <v>247000</v>
      </c>
      <c r="M92" s="37">
        <f>D92-SUM(F92:L92)</f>
        <v>248000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22223000</v>
      </c>
      <c r="E95" s="37"/>
      <c r="F95" s="37">
        <f>F2+F86-F88-F89-F90-F92-F93-F94</f>
        <v>6009000</v>
      </c>
      <c r="G95" s="37">
        <f t="shared" ref="G95:Q95" si="37">G2-G88-G89-G90-G92-G93-G94</f>
        <v>1566000</v>
      </c>
      <c r="H95" s="37">
        <f t="shared" si="37"/>
        <v>1641000</v>
      </c>
      <c r="I95" s="37">
        <f t="shared" si="37"/>
        <v>1844000</v>
      </c>
      <c r="J95" s="37">
        <f t="shared" si="37"/>
        <v>1576000</v>
      </c>
      <c r="K95" s="37">
        <f t="shared" si="37"/>
        <v>1580000</v>
      </c>
      <c r="L95" s="37">
        <f t="shared" si="37"/>
        <v>1593000</v>
      </c>
      <c r="M95" s="37">
        <f t="shared" si="37"/>
        <v>1575000</v>
      </c>
      <c r="N95" s="37">
        <f t="shared" si="37"/>
        <v>2875000</v>
      </c>
      <c r="O95" s="37">
        <f t="shared" si="37"/>
        <v>1811000</v>
      </c>
      <c r="P95" s="37">
        <f t="shared" si="37"/>
        <v>79000</v>
      </c>
      <c r="Q95" s="37">
        <f t="shared" si="37"/>
        <v>74000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1300000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650000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22223000</v>
      </c>
    </row>
    <row r="108" spans="2:17" ht="16.5" customHeight="1"/>
    <row r="109" spans="2:17" ht="16.5" customHeight="1">
      <c r="B109" s="4" t="s">
        <v>682</v>
      </c>
      <c r="D109" s="30">
        <f>D91-D76</f>
        <v>22453000</v>
      </c>
      <c r="F109" s="30">
        <f>F91-F76</f>
        <v>6545000</v>
      </c>
      <c r="G109" s="30">
        <f t="shared" ref="G109:Q109" si="38">G91-G76</f>
        <v>1585000</v>
      </c>
      <c r="H109" s="30">
        <f t="shared" si="38"/>
        <v>1660000</v>
      </c>
      <c r="I109" s="30">
        <f t="shared" si="38"/>
        <v>1863000</v>
      </c>
      <c r="J109" s="30">
        <f t="shared" si="38"/>
        <v>1595000</v>
      </c>
      <c r="K109" s="30">
        <f t="shared" si="38"/>
        <v>1599000</v>
      </c>
      <c r="L109" s="30">
        <f t="shared" si="38"/>
        <v>1612000</v>
      </c>
      <c r="M109" s="30">
        <f t="shared" si="38"/>
        <v>1595000</v>
      </c>
      <c r="N109" s="30">
        <f t="shared" si="38"/>
        <v>2647000</v>
      </c>
      <c r="O109" s="30">
        <f t="shared" si="38"/>
        <v>1589000</v>
      </c>
      <c r="P109" s="30">
        <f t="shared" si="38"/>
        <v>87000</v>
      </c>
      <c r="Q109" s="30">
        <f t="shared" si="38"/>
        <v>76000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2" priority="1" operator="lessThan">
      <formula>0</formula>
    </cfRule>
  </conditionalFormatting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702</v>
      </c>
      <c r="D1" s="28" t="str">
        <f>VLOOKUP(C1,[1]學校編號!A:B,2,FALSE)</f>
        <v>702卓樂國小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22642000</v>
      </c>
      <c r="E2" s="37"/>
      <c r="F2" s="37">
        <f>F48+F70+F76+F77+F83</f>
        <v>6561000</v>
      </c>
      <c r="G2" s="37">
        <f t="shared" ref="G2:Q2" si="0">G48+G70+G76+G77+G83</f>
        <v>1568000</v>
      </c>
      <c r="H2" s="37">
        <f t="shared" si="0"/>
        <v>1726000</v>
      </c>
      <c r="I2" s="37">
        <f t="shared" si="0"/>
        <v>1873000</v>
      </c>
      <c r="J2" s="37">
        <f t="shared" si="0"/>
        <v>1568000</v>
      </c>
      <c r="K2" s="37">
        <f t="shared" si="0"/>
        <v>1568000</v>
      </c>
      <c r="L2" s="37">
        <f t="shared" si="0"/>
        <v>1585000</v>
      </c>
      <c r="M2" s="37">
        <f t="shared" si="0"/>
        <v>1568000</v>
      </c>
      <c r="N2" s="37">
        <f t="shared" si="0"/>
        <v>2929000</v>
      </c>
      <c r="O2" s="37">
        <f t="shared" si="0"/>
        <v>1565000</v>
      </c>
      <c r="P2" s="37">
        <f t="shared" si="0"/>
        <v>70000</v>
      </c>
      <c r="Q2" s="37">
        <f t="shared" si="0"/>
        <v>61000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30000</v>
      </c>
      <c r="E8" s="37" t="s">
        <v>525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3000</v>
      </c>
      <c r="E9" s="37" t="s">
        <v>525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0</v>
      </c>
      <c r="E13" s="37" t="s">
        <v>525</v>
      </c>
      <c r="F13" s="37">
        <f>ROUND($D13/12,0)</f>
        <v>0</v>
      </c>
      <c r="G13" s="37">
        <f t="shared" si="1"/>
        <v>0</v>
      </c>
      <c r="H13" s="37">
        <f t="shared" si="1"/>
        <v>0</v>
      </c>
      <c r="I13" s="37">
        <f t="shared" si="1"/>
        <v>0</v>
      </c>
      <c r="J13" s="37">
        <f t="shared" si="1"/>
        <v>0</v>
      </c>
      <c r="K13" s="37">
        <f t="shared" si="1"/>
        <v>0</v>
      </c>
      <c r="L13" s="37">
        <f t="shared" si="1"/>
        <v>0</v>
      </c>
      <c r="M13" s="37">
        <f t="shared" si="1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>D13-SUM(F13:P13)</f>
        <v>0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34000</v>
      </c>
      <c r="E15" s="37" t="s">
        <v>193</v>
      </c>
      <c r="F15" s="37">
        <f>ROUND($D15/2,-3)</f>
        <v>17000</v>
      </c>
      <c r="G15" s="37"/>
      <c r="H15" s="37"/>
      <c r="I15" s="37"/>
      <c r="J15" s="37"/>
      <c r="K15" s="37"/>
      <c r="L15" s="37">
        <f>D15-F15</f>
        <v>17000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164000</v>
      </c>
      <c r="E16" s="37" t="s">
        <v>525</v>
      </c>
      <c r="F16" s="37">
        <f>ROUND($D16/12,0)</f>
        <v>13667</v>
      </c>
      <c r="G16" s="37">
        <f t="shared" si="1"/>
        <v>13667</v>
      </c>
      <c r="H16" s="37">
        <f t="shared" si="1"/>
        <v>13667</v>
      </c>
      <c r="I16" s="37">
        <f t="shared" si="1"/>
        <v>13667</v>
      </c>
      <c r="J16" s="37">
        <f t="shared" si="1"/>
        <v>13667</v>
      </c>
      <c r="K16" s="37">
        <f t="shared" si="1"/>
        <v>13667</v>
      </c>
      <c r="L16" s="37">
        <f t="shared" si="1"/>
        <v>13667</v>
      </c>
      <c r="M16" s="37">
        <f t="shared" si="1"/>
        <v>13667</v>
      </c>
      <c r="N16" s="37">
        <f t="shared" si="1"/>
        <v>13667</v>
      </c>
      <c r="O16" s="37">
        <f t="shared" si="1"/>
        <v>13667</v>
      </c>
      <c r="P16" s="37">
        <f t="shared" si="1"/>
        <v>13667</v>
      </c>
      <c r="Q16" s="37">
        <f>D16-SUM(F16:P16)</f>
        <v>13663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533000</v>
      </c>
      <c r="E25" s="108"/>
      <c r="F25" s="108">
        <f>ROUND(SUM(F3:F24),-3)</f>
        <v>59000</v>
      </c>
      <c r="G25" s="108">
        <f t="shared" ref="G25:P25" si="5">ROUND(SUM(G3:G24),-3)</f>
        <v>42000</v>
      </c>
      <c r="H25" s="108">
        <f t="shared" si="5"/>
        <v>42000</v>
      </c>
      <c r="I25" s="108">
        <f t="shared" si="5"/>
        <v>42000</v>
      </c>
      <c r="J25" s="108">
        <f t="shared" si="5"/>
        <v>42000</v>
      </c>
      <c r="K25" s="108">
        <f t="shared" si="5"/>
        <v>42000</v>
      </c>
      <c r="L25" s="108">
        <f t="shared" si="5"/>
        <v>59000</v>
      </c>
      <c r="M25" s="108">
        <f t="shared" si="5"/>
        <v>42000</v>
      </c>
      <c r="N25" s="108">
        <f t="shared" si="5"/>
        <v>42000</v>
      </c>
      <c r="O25" s="108">
        <f t="shared" si="5"/>
        <v>42000</v>
      </c>
      <c r="P25" s="108">
        <f t="shared" si="5"/>
        <v>42000</v>
      </c>
      <c r="Q25" s="108">
        <f t="shared" ref="Q25:Q33" si="6">D25-SUM(F25:P25)</f>
        <v>37000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7000</v>
      </c>
      <c r="E30" s="37" t="s">
        <v>525</v>
      </c>
      <c r="F30" s="37">
        <f t="shared" si="8"/>
        <v>583</v>
      </c>
      <c r="G30" s="37">
        <f t="shared" si="8"/>
        <v>583</v>
      </c>
      <c r="H30" s="37">
        <f t="shared" si="8"/>
        <v>583</v>
      </c>
      <c r="I30" s="37">
        <f t="shared" si="8"/>
        <v>583</v>
      </c>
      <c r="J30" s="37">
        <f t="shared" si="8"/>
        <v>583</v>
      </c>
      <c r="K30" s="37">
        <f t="shared" si="8"/>
        <v>583</v>
      </c>
      <c r="L30" s="37">
        <f t="shared" si="8"/>
        <v>583</v>
      </c>
      <c r="M30" s="37">
        <f t="shared" si="8"/>
        <v>583</v>
      </c>
      <c r="N30" s="37">
        <f t="shared" si="8"/>
        <v>583</v>
      </c>
      <c r="O30" s="37">
        <f t="shared" si="8"/>
        <v>583</v>
      </c>
      <c r="P30" s="37">
        <f t="shared" si="8"/>
        <v>583</v>
      </c>
      <c r="Q30" s="37">
        <f t="shared" si="6"/>
        <v>587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4000</v>
      </c>
      <c r="E31" s="37" t="s">
        <v>525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277000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24000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810000</v>
      </c>
      <c r="E48" s="37"/>
      <c r="F48" s="115">
        <f>F25+F37+F45+F47</f>
        <v>82000</v>
      </c>
      <c r="G48" s="115">
        <f t="shared" ref="G48:R48" si="14">G25+G37+G45+G47</f>
        <v>65000</v>
      </c>
      <c r="H48" s="115">
        <f t="shared" si="14"/>
        <v>65000</v>
      </c>
      <c r="I48" s="115">
        <f t="shared" si="14"/>
        <v>65000</v>
      </c>
      <c r="J48" s="115">
        <f t="shared" si="14"/>
        <v>65000</v>
      </c>
      <c r="K48" s="115">
        <f t="shared" si="14"/>
        <v>65000</v>
      </c>
      <c r="L48" s="115">
        <f t="shared" si="14"/>
        <v>82000</v>
      </c>
      <c r="M48" s="115">
        <f t="shared" si="14"/>
        <v>65000</v>
      </c>
      <c r="N48" s="115">
        <f t="shared" si="14"/>
        <v>65000</v>
      </c>
      <c r="O48" s="115">
        <f t="shared" si="14"/>
        <v>65000</v>
      </c>
      <c r="P48" s="115">
        <f t="shared" si="14"/>
        <v>65000</v>
      </c>
      <c r="Q48" s="115">
        <f t="shared" si="14"/>
        <v>61000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12538000</v>
      </c>
      <c r="E49" s="114" t="s">
        <v>202</v>
      </c>
      <c r="F49" s="37">
        <f>ROUND($D49/12*3,-3)</f>
        <v>3135000</v>
      </c>
      <c r="G49" s="37">
        <f>ROUND($D49/12,-3)</f>
        <v>1045000</v>
      </c>
      <c r="H49" s="37">
        <f t="shared" ref="H49:N53" si="15">ROUND($D49/12,-3)</f>
        <v>1045000</v>
      </c>
      <c r="I49" s="37">
        <f t="shared" si="15"/>
        <v>1045000</v>
      </c>
      <c r="J49" s="37">
        <f t="shared" si="15"/>
        <v>1045000</v>
      </c>
      <c r="K49" s="37">
        <f t="shared" si="15"/>
        <v>1045000</v>
      </c>
      <c r="L49" s="37">
        <f t="shared" si="15"/>
        <v>1045000</v>
      </c>
      <c r="M49" s="37">
        <f t="shared" si="15"/>
        <v>1045000</v>
      </c>
      <c r="N49" s="37">
        <f t="shared" si="15"/>
        <v>1045000</v>
      </c>
      <c r="O49" s="37">
        <f>D49-SUM(F49:N49)</f>
        <v>1043000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456000</v>
      </c>
      <c r="E50" s="114" t="s">
        <v>202</v>
      </c>
      <c r="F50" s="37">
        <f t="shared" ref="F50:F53" si="16">ROUND($D50/12*3,-3)</f>
        <v>114000</v>
      </c>
      <c r="G50" s="37">
        <f t="shared" ref="G50:G53" si="17">ROUND($D50/12,-3)</f>
        <v>38000</v>
      </c>
      <c r="H50" s="37">
        <f t="shared" si="15"/>
        <v>38000</v>
      </c>
      <c r="I50" s="37">
        <f t="shared" si="15"/>
        <v>38000</v>
      </c>
      <c r="J50" s="37">
        <f t="shared" si="15"/>
        <v>38000</v>
      </c>
      <c r="K50" s="37">
        <f t="shared" si="15"/>
        <v>38000</v>
      </c>
      <c r="L50" s="37">
        <f t="shared" si="15"/>
        <v>38000</v>
      </c>
      <c r="M50" s="37">
        <f t="shared" si="15"/>
        <v>38000</v>
      </c>
      <c r="N50" s="37">
        <f t="shared" si="15"/>
        <v>38000</v>
      </c>
      <c r="O50" s="37">
        <f t="shared" ref="O50:O53" si="18">D50-SUM(F50:N50)</f>
        <v>38000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738000</v>
      </c>
      <c r="E51" s="114" t="s">
        <v>202</v>
      </c>
      <c r="F51" s="37">
        <f t="shared" si="16"/>
        <v>185000</v>
      </c>
      <c r="G51" s="37">
        <f t="shared" si="17"/>
        <v>62000</v>
      </c>
      <c r="H51" s="37">
        <f t="shared" si="15"/>
        <v>62000</v>
      </c>
      <c r="I51" s="37">
        <f t="shared" si="15"/>
        <v>62000</v>
      </c>
      <c r="J51" s="37">
        <f t="shared" si="15"/>
        <v>62000</v>
      </c>
      <c r="K51" s="37">
        <f t="shared" si="15"/>
        <v>62000</v>
      </c>
      <c r="L51" s="37">
        <f t="shared" si="15"/>
        <v>62000</v>
      </c>
      <c r="M51" s="37">
        <f t="shared" si="15"/>
        <v>62000</v>
      </c>
      <c r="N51" s="37">
        <f t="shared" si="15"/>
        <v>62000</v>
      </c>
      <c r="O51" s="37">
        <f t="shared" si="18"/>
        <v>57000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354000</v>
      </c>
      <c r="E60" s="37" t="s">
        <v>195</v>
      </c>
      <c r="F60" s="37">
        <f>D60</f>
        <v>354000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1527000</v>
      </c>
      <c r="E62" s="37" t="s">
        <v>197</v>
      </c>
      <c r="F62" s="37"/>
      <c r="G62" s="37"/>
      <c r="H62" s="37"/>
      <c r="I62" s="37">
        <f>ROUND($D62/5,-3)</f>
        <v>305000</v>
      </c>
      <c r="J62" s="37"/>
      <c r="K62" s="37"/>
      <c r="L62" s="37"/>
      <c r="M62" s="37"/>
      <c r="N62" s="37">
        <f>D62-I62</f>
        <v>1222000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1497000</v>
      </c>
      <c r="E63" s="37" t="s">
        <v>195</v>
      </c>
      <c r="F63" s="37">
        <f>D63</f>
        <v>1497000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1202000</v>
      </c>
      <c r="E64" s="114" t="s">
        <v>202</v>
      </c>
      <c r="F64" s="37">
        <f>ROUND($D64/12*3,-3)</f>
        <v>301000</v>
      </c>
      <c r="G64" s="37">
        <f>ROUND($D64/12,-3)</f>
        <v>100000</v>
      </c>
      <c r="H64" s="37">
        <f t="shared" ref="H64:N66" si="21">ROUND($D64/12,-3)</f>
        <v>100000</v>
      </c>
      <c r="I64" s="37">
        <f t="shared" si="21"/>
        <v>100000</v>
      </c>
      <c r="J64" s="37">
        <f t="shared" si="21"/>
        <v>100000</v>
      </c>
      <c r="K64" s="37">
        <f t="shared" si="21"/>
        <v>100000</v>
      </c>
      <c r="L64" s="37">
        <f t="shared" si="21"/>
        <v>100000</v>
      </c>
      <c r="M64" s="37">
        <f t="shared" si="21"/>
        <v>100000</v>
      </c>
      <c r="N64" s="37">
        <f t="shared" si="21"/>
        <v>100000</v>
      </c>
      <c r="O64" s="37">
        <f>D64-SUM(F64:N64)</f>
        <v>101000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256000</v>
      </c>
      <c r="E65" s="114" t="s">
        <v>202</v>
      </c>
      <c r="F65" s="37">
        <f t="shared" ref="F65:F66" si="22">ROUND($D65/12*3,-3)</f>
        <v>64000</v>
      </c>
      <c r="G65" s="37">
        <f t="shared" ref="G65:G66" si="23">ROUND($D65/12,-3)</f>
        <v>21000</v>
      </c>
      <c r="H65" s="37">
        <f t="shared" si="21"/>
        <v>21000</v>
      </c>
      <c r="I65" s="37">
        <f t="shared" si="21"/>
        <v>21000</v>
      </c>
      <c r="J65" s="37">
        <f t="shared" si="21"/>
        <v>21000</v>
      </c>
      <c r="K65" s="37">
        <f t="shared" si="21"/>
        <v>21000</v>
      </c>
      <c r="L65" s="37">
        <f t="shared" si="21"/>
        <v>21000</v>
      </c>
      <c r="M65" s="37">
        <f t="shared" si="21"/>
        <v>21000</v>
      </c>
      <c r="N65" s="37">
        <f t="shared" si="21"/>
        <v>21000</v>
      </c>
      <c r="O65" s="37">
        <f t="shared" ref="O65:O66" si="24">D65-SUM(F65:N65)</f>
        <v>24000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1067000</v>
      </c>
      <c r="E66" s="114" t="s">
        <v>202</v>
      </c>
      <c r="F66" s="37">
        <f t="shared" si="22"/>
        <v>267000</v>
      </c>
      <c r="G66" s="37">
        <f t="shared" si="23"/>
        <v>89000</v>
      </c>
      <c r="H66" s="37">
        <f t="shared" si="21"/>
        <v>89000</v>
      </c>
      <c r="I66" s="37">
        <f t="shared" si="21"/>
        <v>89000</v>
      </c>
      <c r="J66" s="37">
        <f t="shared" si="21"/>
        <v>89000</v>
      </c>
      <c r="K66" s="37">
        <f t="shared" si="21"/>
        <v>89000</v>
      </c>
      <c r="L66" s="37">
        <f t="shared" si="21"/>
        <v>89000</v>
      </c>
      <c r="M66" s="37">
        <f t="shared" si="21"/>
        <v>89000</v>
      </c>
      <c r="N66" s="37">
        <f t="shared" si="21"/>
        <v>89000</v>
      </c>
      <c r="O66" s="37">
        <f t="shared" si="24"/>
        <v>88000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18000</v>
      </c>
      <c r="E67" s="37" t="s">
        <v>196</v>
      </c>
      <c r="F67" s="37"/>
      <c r="G67" s="37"/>
      <c r="H67" s="37">
        <f>D67</f>
        <v>18000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128000</v>
      </c>
      <c r="E68" s="37" t="s">
        <v>195</v>
      </c>
      <c r="F68" s="37">
        <f>D68</f>
        <v>128000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20101000</v>
      </c>
      <c r="E70" s="108"/>
      <c r="F70" s="108">
        <f t="shared" ref="F70:P70" si="25">ROUND(SUM(F49:F69),-3)</f>
        <v>6116000</v>
      </c>
      <c r="G70" s="108">
        <f t="shared" si="25"/>
        <v>1382000</v>
      </c>
      <c r="H70" s="108">
        <f t="shared" si="25"/>
        <v>1400000</v>
      </c>
      <c r="I70" s="108">
        <f t="shared" si="25"/>
        <v>1687000</v>
      </c>
      <c r="J70" s="108">
        <f t="shared" si="25"/>
        <v>1382000</v>
      </c>
      <c r="K70" s="108">
        <f t="shared" si="25"/>
        <v>1382000</v>
      </c>
      <c r="L70" s="108">
        <f t="shared" si="25"/>
        <v>1382000</v>
      </c>
      <c r="M70" s="108">
        <f t="shared" si="25"/>
        <v>1382000</v>
      </c>
      <c r="N70" s="108">
        <f t="shared" si="25"/>
        <v>2604000</v>
      </c>
      <c r="O70" s="108">
        <f t="shared" si="25"/>
        <v>1379000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831000</v>
      </c>
      <c r="E72" s="114" t="s">
        <v>202</v>
      </c>
      <c r="F72" s="37">
        <f>ROUND($D72/12*3,-3)</f>
        <v>208000</v>
      </c>
      <c r="G72" s="37">
        <f>ROUND($D72/12,-3)</f>
        <v>69000</v>
      </c>
      <c r="H72" s="37">
        <f t="shared" ref="H72:N75" si="26">ROUND($D72/12,-3)</f>
        <v>69000</v>
      </c>
      <c r="I72" s="37">
        <f t="shared" si="26"/>
        <v>69000</v>
      </c>
      <c r="J72" s="37">
        <f t="shared" si="26"/>
        <v>69000</v>
      </c>
      <c r="K72" s="37">
        <f t="shared" si="26"/>
        <v>69000</v>
      </c>
      <c r="L72" s="37">
        <f t="shared" si="26"/>
        <v>69000</v>
      </c>
      <c r="M72" s="37">
        <f t="shared" si="26"/>
        <v>69000</v>
      </c>
      <c r="N72" s="37">
        <f t="shared" si="26"/>
        <v>69000</v>
      </c>
      <c r="O72" s="37">
        <f>D72-SUM(F72:N72)</f>
        <v>71000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621000</v>
      </c>
      <c r="E75" s="114" t="s">
        <v>202</v>
      </c>
      <c r="F75" s="37">
        <f>ROUND($D75/12*3,-3)</f>
        <v>155000</v>
      </c>
      <c r="G75" s="37">
        <f>ROUND($D75/12,-3)</f>
        <v>52000</v>
      </c>
      <c r="H75" s="37">
        <f t="shared" si="26"/>
        <v>52000</v>
      </c>
      <c r="I75" s="37">
        <f t="shared" si="26"/>
        <v>52000</v>
      </c>
      <c r="J75" s="37">
        <f t="shared" si="26"/>
        <v>52000</v>
      </c>
      <c r="K75" s="37">
        <f t="shared" si="26"/>
        <v>52000</v>
      </c>
      <c r="L75" s="37">
        <f t="shared" si="26"/>
        <v>52000</v>
      </c>
      <c r="M75" s="37">
        <f t="shared" si="26"/>
        <v>52000</v>
      </c>
      <c r="N75" s="37">
        <f t="shared" si="26"/>
        <v>52000</v>
      </c>
      <c r="O75" s="37">
        <f>D75-SUM(F75:N75)</f>
        <v>50000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1452000</v>
      </c>
      <c r="E76" s="108"/>
      <c r="F76" s="108">
        <f>ROUND(SUM(F71:F75),-3)</f>
        <v>363000</v>
      </c>
      <c r="G76" s="108">
        <f t="shared" ref="G76:N76" si="27">ROUND(SUM(G71:G75),-3)</f>
        <v>121000</v>
      </c>
      <c r="H76" s="108">
        <f t="shared" si="27"/>
        <v>121000</v>
      </c>
      <c r="I76" s="108">
        <f t="shared" si="27"/>
        <v>121000</v>
      </c>
      <c r="J76" s="108">
        <f t="shared" si="27"/>
        <v>121000</v>
      </c>
      <c r="K76" s="108">
        <f t="shared" si="27"/>
        <v>121000</v>
      </c>
      <c r="L76" s="108">
        <f t="shared" si="27"/>
        <v>121000</v>
      </c>
      <c r="M76" s="108">
        <f t="shared" si="27"/>
        <v>121000</v>
      </c>
      <c r="N76" s="108">
        <f t="shared" si="27"/>
        <v>121000</v>
      </c>
      <c r="O76" s="108">
        <f>D76-SUM(F76:N76)</f>
        <v>121000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279000</v>
      </c>
      <c r="E77" s="37" t="s">
        <v>681</v>
      </c>
      <c r="F77" s="224"/>
      <c r="G77" s="224"/>
      <c r="H77" s="224">
        <f>ROUND($D77/2,-3)</f>
        <v>140000</v>
      </c>
      <c r="I77" s="224"/>
      <c r="J77" s="224"/>
      <c r="K77" s="224"/>
      <c r="L77" s="224"/>
      <c r="M77" s="224"/>
      <c r="N77" s="224">
        <f>D77-H77</f>
        <v>139000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21832000</v>
      </c>
      <c r="E78" s="227"/>
      <c r="F78" s="227">
        <f>F76+F70+F77</f>
        <v>6479000</v>
      </c>
      <c r="G78" s="227">
        <f t="shared" ref="G78:Q78" si="29">G76+G70+G77</f>
        <v>1503000</v>
      </c>
      <c r="H78" s="227">
        <f t="shared" si="29"/>
        <v>1661000</v>
      </c>
      <c r="I78" s="227">
        <f t="shared" si="29"/>
        <v>1808000</v>
      </c>
      <c r="J78" s="227">
        <f t="shared" si="29"/>
        <v>1503000</v>
      </c>
      <c r="K78" s="227">
        <f t="shared" si="29"/>
        <v>1503000</v>
      </c>
      <c r="L78" s="227">
        <f t="shared" si="29"/>
        <v>1503000</v>
      </c>
      <c r="M78" s="227">
        <f t="shared" si="29"/>
        <v>1503000</v>
      </c>
      <c r="N78" s="227">
        <f t="shared" si="29"/>
        <v>2864000</v>
      </c>
      <c r="O78" s="227">
        <f t="shared" si="29"/>
        <v>1500000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22642000</v>
      </c>
      <c r="E87" s="37"/>
      <c r="F87" s="37">
        <f>F88+F89+F90+F91</f>
        <v>6561000</v>
      </c>
      <c r="G87" s="37">
        <f t="shared" ref="G87:Q87" si="32">G88+G89+G90+G91</f>
        <v>1568000</v>
      </c>
      <c r="H87" s="37">
        <f t="shared" si="32"/>
        <v>1726000</v>
      </c>
      <c r="I87" s="37">
        <f t="shared" si="32"/>
        <v>1873000</v>
      </c>
      <c r="J87" s="37">
        <f t="shared" si="32"/>
        <v>1568000</v>
      </c>
      <c r="K87" s="37">
        <f t="shared" si="32"/>
        <v>1568000</v>
      </c>
      <c r="L87" s="37">
        <f t="shared" si="32"/>
        <v>1585000</v>
      </c>
      <c r="M87" s="37">
        <f t="shared" si="32"/>
        <v>1568000</v>
      </c>
      <c r="N87" s="37">
        <f t="shared" si="32"/>
        <v>2929000</v>
      </c>
      <c r="O87" s="37">
        <f t="shared" si="32"/>
        <v>1565000</v>
      </c>
      <c r="P87" s="37">
        <f t="shared" si="32"/>
        <v>70000</v>
      </c>
      <c r="Q87" s="37">
        <f t="shared" si="32"/>
        <v>61000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0</v>
      </c>
      <c r="E88" s="108" t="s">
        <v>193</v>
      </c>
      <c r="F88" s="108">
        <f>ROUND($D88/2,-3)</f>
        <v>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22641000</v>
      </c>
      <c r="E91" s="108"/>
      <c r="F91" s="108">
        <f>F92+F93+F94+F95</f>
        <v>6561000</v>
      </c>
      <c r="G91" s="108">
        <f t="shared" ref="G91:Q91" si="34">G92+G93+G94+G95</f>
        <v>1568000</v>
      </c>
      <c r="H91" s="108">
        <f t="shared" si="34"/>
        <v>1726000</v>
      </c>
      <c r="I91" s="108">
        <f t="shared" si="34"/>
        <v>1873000</v>
      </c>
      <c r="J91" s="108">
        <f t="shared" si="34"/>
        <v>1568000</v>
      </c>
      <c r="K91" s="108">
        <f t="shared" si="34"/>
        <v>1568000</v>
      </c>
      <c r="L91" s="108">
        <f t="shared" si="34"/>
        <v>1585000</v>
      </c>
      <c r="M91" s="108">
        <f t="shared" si="34"/>
        <v>1568000</v>
      </c>
      <c r="N91" s="108">
        <f t="shared" si="34"/>
        <v>2929000</v>
      </c>
      <c r="O91" s="108">
        <f t="shared" si="34"/>
        <v>1565000</v>
      </c>
      <c r="P91" s="108">
        <f t="shared" si="34"/>
        <v>70000</v>
      </c>
      <c r="Q91" s="108">
        <f t="shared" si="34"/>
        <v>60000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3004000</v>
      </c>
      <c r="E92" s="114" t="s">
        <v>537</v>
      </c>
      <c r="F92" s="37">
        <f>ROUND($D92/12*5,-3)</f>
        <v>1252000</v>
      </c>
      <c r="G92" s="37">
        <f>ROUND($D92/12,-3)</f>
        <v>250000</v>
      </c>
      <c r="H92" s="37">
        <f t="shared" ref="H92:L92" si="35">ROUND($D92/12,-3)</f>
        <v>250000</v>
      </c>
      <c r="I92" s="37">
        <f t="shared" si="35"/>
        <v>250000</v>
      </c>
      <c r="J92" s="37">
        <f t="shared" si="35"/>
        <v>250000</v>
      </c>
      <c r="K92" s="37">
        <f t="shared" si="35"/>
        <v>250000</v>
      </c>
      <c r="L92" s="37">
        <f t="shared" si="35"/>
        <v>250000</v>
      </c>
      <c r="M92" s="37">
        <f>D92-SUM(F92:L92)</f>
        <v>252000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210000</v>
      </c>
      <c r="E94" s="190" t="s">
        <v>229</v>
      </c>
      <c r="F94" s="37"/>
      <c r="G94" s="37"/>
      <c r="H94" s="37">
        <f>ROUND($D94/2,-3)</f>
        <v>105000</v>
      </c>
      <c r="I94" s="37"/>
      <c r="J94" s="37"/>
      <c r="K94" s="37"/>
      <c r="L94" s="37"/>
      <c r="M94" s="37"/>
      <c r="N94" s="37"/>
      <c r="O94" s="37">
        <f>D94-H94</f>
        <v>105000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19337000</v>
      </c>
      <c r="E95" s="37"/>
      <c r="F95" s="37">
        <f>F2+F86-F88-F89-F90-F92-F93-F94</f>
        <v>5301000</v>
      </c>
      <c r="G95" s="37">
        <f t="shared" ref="G95:Q95" si="37">G2-G88-G89-G90-G92-G93-G94</f>
        <v>1310000</v>
      </c>
      <c r="H95" s="37">
        <f t="shared" si="37"/>
        <v>1363000</v>
      </c>
      <c r="I95" s="37">
        <f t="shared" si="37"/>
        <v>1615000</v>
      </c>
      <c r="J95" s="37">
        <f t="shared" si="37"/>
        <v>1310000</v>
      </c>
      <c r="K95" s="37">
        <f t="shared" si="37"/>
        <v>1310000</v>
      </c>
      <c r="L95" s="37">
        <f t="shared" si="37"/>
        <v>1327000</v>
      </c>
      <c r="M95" s="37">
        <f t="shared" si="37"/>
        <v>1308000</v>
      </c>
      <c r="N95" s="37">
        <f t="shared" si="37"/>
        <v>2921000</v>
      </c>
      <c r="O95" s="37">
        <f t="shared" si="37"/>
        <v>1452000</v>
      </c>
      <c r="P95" s="37">
        <f t="shared" si="37"/>
        <v>62000</v>
      </c>
      <c r="Q95" s="37">
        <f t="shared" si="37"/>
        <v>58000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700000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1004000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210000</v>
      </c>
    </row>
    <row r="105" spans="2:17" ht="32.4">
      <c r="B105" s="72" t="s">
        <v>380</v>
      </c>
      <c r="D105" s="30">
        <f>HLOOKUP(D1,[1]縣庫撥款收入明細表!H:DD,19,FALSE)</f>
        <v>650000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19337000</v>
      </c>
    </row>
    <row r="108" spans="2:17" ht="16.5" customHeight="1"/>
    <row r="109" spans="2:17" ht="16.5" customHeight="1">
      <c r="B109" s="4" t="s">
        <v>682</v>
      </c>
      <c r="D109" s="30">
        <f>D91-D76</f>
        <v>21189000</v>
      </c>
      <c r="F109" s="30">
        <f>F91-F76</f>
        <v>6198000</v>
      </c>
      <c r="G109" s="30">
        <f t="shared" ref="G109:Q109" si="38">G91-G76</f>
        <v>1447000</v>
      </c>
      <c r="H109" s="30">
        <f t="shared" si="38"/>
        <v>1605000</v>
      </c>
      <c r="I109" s="30">
        <f t="shared" si="38"/>
        <v>1752000</v>
      </c>
      <c r="J109" s="30">
        <f t="shared" si="38"/>
        <v>1447000</v>
      </c>
      <c r="K109" s="30">
        <f t="shared" si="38"/>
        <v>1447000</v>
      </c>
      <c r="L109" s="30">
        <f t="shared" si="38"/>
        <v>1464000</v>
      </c>
      <c r="M109" s="30">
        <f t="shared" si="38"/>
        <v>1447000</v>
      </c>
      <c r="N109" s="30">
        <f t="shared" si="38"/>
        <v>2808000</v>
      </c>
      <c r="O109" s="30">
        <f t="shared" si="38"/>
        <v>1444000</v>
      </c>
      <c r="P109" s="30">
        <f t="shared" si="38"/>
        <v>70000</v>
      </c>
      <c r="Q109" s="30">
        <f t="shared" si="38"/>
        <v>60000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0" priority="1" operator="lessThan">
      <formula>0</formula>
    </cfRule>
  </conditionalFormatting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703</v>
      </c>
      <c r="D1" s="28" t="str">
        <f>VLOOKUP(C1,[1]學校編號!A:B,2,FALSE)</f>
        <v>703卓楓國小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19521000</v>
      </c>
      <c r="E2" s="37"/>
      <c r="F2" s="37">
        <f>F48+F70+F76+F77+F83</f>
        <v>5608000</v>
      </c>
      <c r="G2" s="37">
        <f t="shared" ref="G2:Q2" si="0">G48+G70+G76+G77+G83</f>
        <v>1360000</v>
      </c>
      <c r="H2" s="37">
        <f t="shared" si="0"/>
        <v>1510000</v>
      </c>
      <c r="I2" s="37">
        <f t="shared" si="0"/>
        <v>1606000</v>
      </c>
      <c r="J2" s="37">
        <f t="shared" si="0"/>
        <v>1360000</v>
      </c>
      <c r="K2" s="37">
        <f t="shared" si="0"/>
        <v>1362000</v>
      </c>
      <c r="L2" s="37">
        <f t="shared" si="0"/>
        <v>1374000</v>
      </c>
      <c r="M2" s="37">
        <f t="shared" si="0"/>
        <v>1360000</v>
      </c>
      <c r="N2" s="37">
        <f t="shared" si="0"/>
        <v>2484000</v>
      </c>
      <c r="O2" s="37">
        <f t="shared" si="0"/>
        <v>1362000</v>
      </c>
      <c r="P2" s="37">
        <f t="shared" si="0"/>
        <v>72000</v>
      </c>
      <c r="Q2" s="37">
        <f t="shared" si="0"/>
        <v>63000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28000</v>
      </c>
      <c r="E15" s="37" t="s">
        <v>193</v>
      </c>
      <c r="F15" s="37">
        <f>ROUND($D15/2,-3)</f>
        <v>14000</v>
      </c>
      <c r="G15" s="37"/>
      <c r="H15" s="37"/>
      <c r="I15" s="37"/>
      <c r="J15" s="37"/>
      <c r="K15" s="37"/>
      <c r="L15" s="37">
        <f>D15-F15</f>
        <v>14000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554000</v>
      </c>
      <c r="E25" s="108"/>
      <c r="F25" s="108">
        <f>ROUND(SUM(F3:F24),-3)</f>
        <v>58000</v>
      </c>
      <c r="G25" s="108">
        <f t="shared" ref="G25:P25" si="5">ROUND(SUM(G3:G24),-3)</f>
        <v>44000</v>
      </c>
      <c r="H25" s="108">
        <f t="shared" si="5"/>
        <v>44000</v>
      </c>
      <c r="I25" s="108">
        <f t="shared" si="5"/>
        <v>44000</v>
      </c>
      <c r="J25" s="108">
        <f t="shared" si="5"/>
        <v>44000</v>
      </c>
      <c r="K25" s="108">
        <f t="shared" si="5"/>
        <v>44000</v>
      </c>
      <c r="L25" s="108">
        <f t="shared" si="5"/>
        <v>58000</v>
      </c>
      <c r="M25" s="108">
        <f t="shared" si="5"/>
        <v>44000</v>
      </c>
      <c r="N25" s="108">
        <f t="shared" si="5"/>
        <v>44000</v>
      </c>
      <c r="O25" s="108">
        <f t="shared" si="5"/>
        <v>44000</v>
      </c>
      <c r="P25" s="108">
        <f t="shared" si="5"/>
        <v>44000</v>
      </c>
      <c r="Q25" s="108">
        <f t="shared" ref="Q25:Q33" si="6">D25-SUM(F25:P25)</f>
        <v>42000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5000</v>
      </c>
      <c r="E30" s="37" t="s">
        <v>525</v>
      </c>
      <c r="F30" s="37">
        <f t="shared" si="8"/>
        <v>417</v>
      </c>
      <c r="G30" s="37">
        <f t="shared" si="8"/>
        <v>417</v>
      </c>
      <c r="H30" s="37">
        <f t="shared" si="8"/>
        <v>417</v>
      </c>
      <c r="I30" s="37">
        <f t="shared" si="8"/>
        <v>417</v>
      </c>
      <c r="J30" s="37">
        <f t="shared" si="8"/>
        <v>417</v>
      </c>
      <c r="K30" s="37">
        <f t="shared" si="8"/>
        <v>417</v>
      </c>
      <c r="L30" s="37">
        <f t="shared" si="8"/>
        <v>417</v>
      </c>
      <c r="M30" s="37">
        <f t="shared" si="8"/>
        <v>417</v>
      </c>
      <c r="N30" s="37">
        <f t="shared" si="8"/>
        <v>417</v>
      </c>
      <c r="O30" s="37">
        <f t="shared" si="8"/>
        <v>417</v>
      </c>
      <c r="P30" s="37">
        <f t="shared" si="8"/>
        <v>417</v>
      </c>
      <c r="Q30" s="37">
        <f t="shared" si="6"/>
        <v>413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3000</v>
      </c>
      <c r="E31" s="37" t="s">
        <v>525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274000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21000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834000</v>
      </c>
      <c r="E48" s="37"/>
      <c r="F48" s="115">
        <f>F25+F37+F45+F47</f>
        <v>83000</v>
      </c>
      <c r="G48" s="115">
        <f t="shared" ref="G48:R48" si="14">G25+G37+G45+G47</f>
        <v>67000</v>
      </c>
      <c r="H48" s="115">
        <f t="shared" si="14"/>
        <v>67000</v>
      </c>
      <c r="I48" s="115">
        <f t="shared" si="14"/>
        <v>67000</v>
      </c>
      <c r="J48" s="115">
        <f t="shared" si="14"/>
        <v>67000</v>
      </c>
      <c r="K48" s="115">
        <f t="shared" si="14"/>
        <v>69000</v>
      </c>
      <c r="L48" s="115">
        <f t="shared" si="14"/>
        <v>81000</v>
      </c>
      <c r="M48" s="115">
        <f t="shared" si="14"/>
        <v>67000</v>
      </c>
      <c r="N48" s="115">
        <f t="shared" si="14"/>
        <v>69000</v>
      </c>
      <c r="O48" s="115">
        <f t="shared" si="14"/>
        <v>67000</v>
      </c>
      <c r="P48" s="115">
        <f t="shared" si="14"/>
        <v>67000</v>
      </c>
      <c r="Q48" s="115">
        <f t="shared" si="14"/>
        <v>63000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10800000</v>
      </c>
      <c r="E49" s="114" t="s">
        <v>202</v>
      </c>
      <c r="F49" s="37">
        <f>ROUND($D49/12*3,-3)</f>
        <v>2700000</v>
      </c>
      <c r="G49" s="37">
        <f>ROUND($D49/12,-3)</f>
        <v>900000</v>
      </c>
      <c r="H49" s="37">
        <f t="shared" ref="H49:N53" si="15">ROUND($D49/12,-3)</f>
        <v>900000</v>
      </c>
      <c r="I49" s="37">
        <f t="shared" si="15"/>
        <v>900000</v>
      </c>
      <c r="J49" s="37">
        <f t="shared" si="15"/>
        <v>900000</v>
      </c>
      <c r="K49" s="37">
        <f t="shared" si="15"/>
        <v>900000</v>
      </c>
      <c r="L49" s="37">
        <f t="shared" si="15"/>
        <v>900000</v>
      </c>
      <c r="M49" s="37">
        <f t="shared" si="15"/>
        <v>900000</v>
      </c>
      <c r="N49" s="37">
        <f t="shared" si="15"/>
        <v>900000</v>
      </c>
      <c r="O49" s="37">
        <f>D49-SUM(F49:N49)</f>
        <v>900000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1349000</v>
      </c>
      <c r="E51" s="114" t="s">
        <v>202</v>
      </c>
      <c r="F51" s="37">
        <f t="shared" si="16"/>
        <v>337000</v>
      </c>
      <c r="G51" s="37">
        <f t="shared" si="17"/>
        <v>112000</v>
      </c>
      <c r="H51" s="37">
        <f t="shared" si="15"/>
        <v>112000</v>
      </c>
      <c r="I51" s="37">
        <f t="shared" si="15"/>
        <v>112000</v>
      </c>
      <c r="J51" s="37">
        <f t="shared" si="15"/>
        <v>112000</v>
      </c>
      <c r="K51" s="37">
        <f t="shared" si="15"/>
        <v>112000</v>
      </c>
      <c r="L51" s="37">
        <f t="shared" si="15"/>
        <v>112000</v>
      </c>
      <c r="M51" s="37">
        <f t="shared" si="15"/>
        <v>112000</v>
      </c>
      <c r="N51" s="37">
        <f t="shared" si="15"/>
        <v>112000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319000</v>
      </c>
      <c r="E60" s="37" t="s">
        <v>195</v>
      </c>
      <c r="F60" s="37">
        <f>D60</f>
        <v>319000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1232000</v>
      </c>
      <c r="E62" s="37" t="s">
        <v>197</v>
      </c>
      <c r="F62" s="37"/>
      <c r="G62" s="37"/>
      <c r="H62" s="37"/>
      <c r="I62" s="37">
        <f>ROUND($D62/5,-3)</f>
        <v>246000</v>
      </c>
      <c r="J62" s="37"/>
      <c r="K62" s="37"/>
      <c r="L62" s="37"/>
      <c r="M62" s="37"/>
      <c r="N62" s="37">
        <f>D62-I62</f>
        <v>986000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1236000</v>
      </c>
      <c r="E63" s="37" t="s">
        <v>195</v>
      </c>
      <c r="F63" s="37">
        <f>D63</f>
        <v>1236000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1030000</v>
      </c>
      <c r="E64" s="114" t="s">
        <v>202</v>
      </c>
      <c r="F64" s="37">
        <f>ROUND($D64/12*3,-3)</f>
        <v>258000</v>
      </c>
      <c r="G64" s="37">
        <f>ROUND($D64/12,-3)</f>
        <v>86000</v>
      </c>
      <c r="H64" s="37">
        <f t="shared" ref="H64:N66" si="21">ROUND($D64/12,-3)</f>
        <v>86000</v>
      </c>
      <c r="I64" s="37">
        <f t="shared" si="21"/>
        <v>86000</v>
      </c>
      <c r="J64" s="37">
        <f t="shared" si="21"/>
        <v>86000</v>
      </c>
      <c r="K64" s="37">
        <f t="shared" si="21"/>
        <v>86000</v>
      </c>
      <c r="L64" s="37">
        <f t="shared" si="21"/>
        <v>86000</v>
      </c>
      <c r="M64" s="37">
        <f t="shared" si="21"/>
        <v>86000</v>
      </c>
      <c r="N64" s="37">
        <f t="shared" si="21"/>
        <v>86000</v>
      </c>
      <c r="O64" s="37">
        <f>D64-SUM(F64:N64)</f>
        <v>84000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218000</v>
      </c>
      <c r="E65" s="114" t="s">
        <v>202</v>
      </c>
      <c r="F65" s="37">
        <f t="shared" ref="F65:F66" si="22">ROUND($D65/12*3,-3)</f>
        <v>55000</v>
      </c>
      <c r="G65" s="37">
        <f t="shared" ref="G65:G66" si="23">ROUND($D65/12,-3)</f>
        <v>18000</v>
      </c>
      <c r="H65" s="37">
        <f t="shared" si="21"/>
        <v>18000</v>
      </c>
      <c r="I65" s="37">
        <f t="shared" si="21"/>
        <v>18000</v>
      </c>
      <c r="J65" s="37">
        <f t="shared" si="21"/>
        <v>18000</v>
      </c>
      <c r="K65" s="37">
        <f t="shared" si="21"/>
        <v>18000</v>
      </c>
      <c r="L65" s="37">
        <f t="shared" si="21"/>
        <v>18000</v>
      </c>
      <c r="M65" s="37">
        <f t="shared" si="21"/>
        <v>18000</v>
      </c>
      <c r="N65" s="37">
        <f t="shared" si="21"/>
        <v>18000</v>
      </c>
      <c r="O65" s="37">
        <f t="shared" ref="O65:O66" si="24">D65-SUM(F65:N65)</f>
        <v>19000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856000</v>
      </c>
      <c r="E66" s="114" t="s">
        <v>202</v>
      </c>
      <c r="F66" s="37">
        <f t="shared" si="22"/>
        <v>214000</v>
      </c>
      <c r="G66" s="37">
        <f t="shared" si="23"/>
        <v>71000</v>
      </c>
      <c r="H66" s="37">
        <f t="shared" si="21"/>
        <v>71000</v>
      </c>
      <c r="I66" s="37">
        <f t="shared" si="21"/>
        <v>71000</v>
      </c>
      <c r="J66" s="37">
        <f t="shared" si="21"/>
        <v>71000</v>
      </c>
      <c r="K66" s="37">
        <f t="shared" si="21"/>
        <v>71000</v>
      </c>
      <c r="L66" s="37">
        <f t="shared" si="21"/>
        <v>71000</v>
      </c>
      <c r="M66" s="37">
        <f t="shared" si="21"/>
        <v>71000</v>
      </c>
      <c r="N66" s="37">
        <f t="shared" si="21"/>
        <v>71000</v>
      </c>
      <c r="O66" s="37">
        <f t="shared" si="24"/>
        <v>74000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13000</v>
      </c>
      <c r="E67" s="37" t="s">
        <v>196</v>
      </c>
      <c r="F67" s="37"/>
      <c r="G67" s="37"/>
      <c r="H67" s="37">
        <f>D67</f>
        <v>13000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99000</v>
      </c>
      <c r="E68" s="37" t="s">
        <v>195</v>
      </c>
      <c r="F68" s="37">
        <f>D68</f>
        <v>99000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17472000</v>
      </c>
      <c r="E70" s="108"/>
      <c r="F70" s="108">
        <f t="shared" ref="F70:P70" si="25">ROUND(SUM(F49:F69),-3)</f>
        <v>5289000</v>
      </c>
      <c r="G70" s="108">
        <f t="shared" si="25"/>
        <v>1214000</v>
      </c>
      <c r="H70" s="108">
        <f t="shared" si="25"/>
        <v>1227000</v>
      </c>
      <c r="I70" s="108">
        <f t="shared" si="25"/>
        <v>1460000</v>
      </c>
      <c r="J70" s="108">
        <f t="shared" si="25"/>
        <v>1214000</v>
      </c>
      <c r="K70" s="108">
        <f t="shared" si="25"/>
        <v>1214000</v>
      </c>
      <c r="L70" s="108">
        <f t="shared" si="25"/>
        <v>1214000</v>
      </c>
      <c r="M70" s="108">
        <f t="shared" si="25"/>
        <v>1214000</v>
      </c>
      <c r="N70" s="108">
        <f t="shared" si="25"/>
        <v>2200000</v>
      </c>
      <c r="O70" s="108">
        <f t="shared" si="25"/>
        <v>1221000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942000</v>
      </c>
      <c r="E72" s="114" t="s">
        <v>202</v>
      </c>
      <c r="F72" s="37">
        <f>ROUND($D72/12*3,-3)</f>
        <v>236000</v>
      </c>
      <c r="G72" s="37">
        <f>ROUND($D72/12,-3)</f>
        <v>79000</v>
      </c>
      <c r="H72" s="37">
        <f t="shared" ref="H72:N75" si="26">ROUND($D72/12,-3)</f>
        <v>79000</v>
      </c>
      <c r="I72" s="37">
        <f t="shared" si="26"/>
        <v>79000</v>
      </c>
      <c r="J72" s="37">
        <f t="shared" si="26"/>
        <v>79000</v>
      </c>
      <c r="K72" s="37">
        <f t="shared" si="26"/>
        <v>79000</v>
      </c>
      <c r="L72" s="37">
        <f t="shared" si="26"/>
        <v>79000</v>
      </c>
      <c r="M72" s="37">
        <f t="shared" si="26"/>
        <v>79000</v>
      </c>
      <c r="N72" s="37">
        <f t="shared" si="26"/>
        <v>79000</v>
      </c>
      <c r="O72" s="37">
        <f>D72-SUM(F72:N72)</f>
        <v>74000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942000</v>
      </c>
      <c r="E76" s="108"/>
      <c r="F76" s="108">
        <f>ROUND(SUM(F71:F75),-3)</f>
        <v>236000</v>
      </c>
      <c r="G76" s="108">
        <f t="shared" ref="G76:N76" si="27">ROUND(SUM(G71:G75),-3)</f>
        <v>79000</v>
      </c>
      <c r="H76" s="108">
        <f t="shared" si="27"/>
        <v>79000</v>
      </c>
      <c r="I76" s="108">
        <f t="shared" si="27"/>
        <v>79000</v>
      </c>
      <c r="J76" s="108">
        <f t="shared" si="27"/>
        <v>79000</v>
      </c>
      <c r="K76" s="108">
        <f t="shared" si="27"/>
        <v>79000</v>
      </c>
      <c r="L76" s="108">
        <f t="shared" si="27"/>
        <v>79000</v>
      </c>
      <c r="M76" s="108">
        <f t="shared" si="27"/>
        <v>79000</v>
      </c>
      <c r="N76" s="108">
        <f t="shared" si="27"/>
        <v>79000</v>
      </c>
      <c r="O76" s="108">
        <f>D76-SUM(F76:N76)</f>
        <v>74000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273000</v>
      </c>
      <c r="E77" s="37" t="s">
        <v>681</v>
      </c>
      <c r="F77" s="224"/>
      <c r="G77" s="224"/>
      <c r="H77" s="224">
        <f>ROUND($D77/2,-3)</f>
        <v>137000</v>
      </c>
      <c r="I77" s="224"/>
      <c r="J77" s="224"/>
      <c r="K77" s="224"/>
      <c r="L77" s="224"/>
      <c r="M77" s="224"/>
      <c r="N77" s="224">
        <f>D77-H77</f>
        <v>136000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18687000</v>
      </c>
      <c r="E78" s="227"/>
      <c r="F78" s="227">
        <f>F76+F70+F77</f>
        <v>5525000</v>
      </c>
      <c r="G78" s="227">
        <f t="shared" ref="G78:Q78" si="29">G76+G70+G77</f>
        <v>1293000</v>
      </c>
      <c r="H78" s="227">
        <f t="shared" si="29"/>
        <v>1443000</v>
      </c>
      <c r="I78" s="227">
        <f t="shared" si="29"/>
        <v>1539000</v>
      </c>
      <c r="J78" s="227">
        <f t="shared" si="29"/>
        <v>1293000</v>
      </c>
      <c r="K78" s="227">
        <f t="shared" si="29"/>
        <v>1293000</v>
      </c>
      <c r="L78" s="227">
        <f t="shared" si="29"/>
        <v>1293000</v>
      </c>
      <c r="M78" s="227">
        <f t="shared" si="29"/>
        <v>1293000</v>
      </c>
      <c r="N78" s="227">
        <f t="shared" si="29"/>
        <v>2415000</v>
      </c>
      <c r="O78" s="227">
        <f t="shared" si="29"/>
        <v>1295000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19521000</v>
      </c>
      <c r="E87" s="37"/>
      <c r="F87" s="37">
        <f>F88+F89+F90+F91</f>
        <v>5608000</v>
      </c>
      <c r="G87" s="37">
        <f t="shared" ref="G87:Q87" si="32">G88+G89+G90+G91</f>
        <v>1360000</v>
      </c>
      <c r="H87" s="37">
        <f t="shared" si="32"/>
        <v>1510000</v>
      </c>
      <c r="I87" s="37">
        <f t="shared" si="32"/>
        <v>1606000</v>
      </c>
      <c r="J87" s="37">
        <f t="shared" si="32"/>
        <v>1360000</v>
      </c>
      <c r="K87" s="37">
        <f t="shared" si="32"/>
        <v>1362000</v>
      </c>
      <c r="L87" s="37">
        <f t="shared" si="32"/>
        <v>1374000</v>
      </c>
      <c r="M87" s="37">
        <f t="shared" si="32"/>
        <v>1360000</v>
      </c>
      <c r="N87" s="37">
        <f t="shared" si="32"/>
        <v>2484000</v>
      </c>
      <c r="O87" s="37">
        <f t="shared" si="32"/>
        <v>1362000</v>
      </c>
      <c r="P87" s="37">
        <f t="shared" si="32"/>
        <v>72000</v>
      </c>
      <c r="Q87" s="37">
        <f t="shared" si="32"/>
        <v>63000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0</v>
      </c>
      <c r="E88" s="108" t="s">
        <v>193</v>
      </c>
      <c r="F88" s="108">
        <f>ROUND($D88/2,-3)</f>
        <v>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19520000</v>
      </c>
      <c r="E91" s="108"/>
      <c r="F91" s="108">
        <f>F92+F93+F94+F95</f>
        <v>5608000</v>
      </c>
      <c r="G91" s="108">
        <f t="shared" ref="G91:Q91" si="34">G92+G93+G94+G95</f>
        <v>1360000</v>
      </c>
      <c r="H91" s="108">
        <f t="shared" si="34"/>
        <v>1510000</v>
      </c>
      <c r="I91" s="108">
        <f t="shared" si="34"/>
        <v>1606000</v>
      </c>
      <c r="J91" s="108">
        <f t="shared" si="34"/>
        <v>1360000</v>
      </c>
      <c r="K91" s="108">
        <f t="shared" si="34"/>
        <v>1362000</v>
      </c>
      <c r="L91" s="108">
        <f t="shared" si="34"/>
        <v>1374000</v>
      </c>
      <c r="M91" s="108">
        <f t="shared" si="34"/>
        <v>1360000</v>
      </c>
      <c r="N91" s="108">
        <f t="shared" si="34"/>
        <v>2484000</v>
      </c>
      <c r="O91" s="108">
        <f t="shared" si="34"/>
        <v>1362000</v>
      </c>
      <c r="P91" s="108">
        <f t="shared" si="34"/>
        <v>72000</v>
      </c>
      <c r="Q91" s="108">
        <f t="shared" si="34"/>
        <v>62000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2965000</v>
      </c>
      <c r="E92" s="114" t="s">
        <v>537</v>
      </c>
      <c r="F92" s="37">
        <f>ROUND($D92/12*5,-3)</f>
        <v>1235000</v>
      </c>
      <c r="G92" s="37">
        <f>ROUND($D92/12,-3)</f>
        <v>247000</v>
      </c>
      <c r="H92" s="37">
        <f t="shared" ref="H92:L92" si="35">ROUND($D92/12,-3)</f>
        <v>247000</v>
      </c>
      <c r="I92" s="37">
        <f t="shared" si="35"/>
        <v>247000</v>
      </c>
      <c r="J92" s="37">
        <f t="shared" si="35"/>
        <v>247000</v>
      </c>
      <c r="K92" s="37">
        <f t="shared" si="35"/>
        <v>247000</v>
      </c>
      <c r="L92" s="37">
        <f t="shared" si="35"/>
        <v>247000</v>
      </c>
      <c r="M92" s="37">
        <f>D92-SUM(F92:L92)</f>
        <v>248000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420000</v>
      </c>
      <c r="E94" s="190" t="s">
        <v>229</v>
      </c>
      <c r="F94" s="37"/>
      <c r="G94" s="37"/>
      <c r="H94" s="37">
        <f>ROUND($D94/2,-3)</f>
        <v>210000</v>
      </c>
      <c r="I94" s="37"/>
      <c r="J94" s="37"/>
      <c r="K94" s="37"/>
      <c r="L94" s="37"/>
      <c r="M94" s="37"/>
      <c r="N94" s="37"/>
      <c r="O94" s="37">
        <f>D94-H94</f>
        <v>210000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16045000</v>
      </c>
      <c r="E95" s="37"/>
      <c r="F95" s="37">
        <f>F2+F86-F88-F89-F90-F92-F93-F94</f>
        <v>4365000</v>
      </c>
      <c r="G95" s="37">
        <f t="shared" ref="G95:Q95" si="37">G2-G88-G89-G90-G92-G93-G94</f>
        <v>1105000</v>
      </c>
      <c r="H95" s="37">
        <f t="shared" si="37"/>
        <v>1045000</v>
      </c>
      <c r="I95" s="37">
        <f t="shared" si="37"/>
        <v>1351000</v>
      </c>
      <c r="J95" s="37">
        <f t="shared" si="37"/>
        <v>1105000</v>
      </c>
      <c r="K95" s="37">
        <f t="shared" si="37"/>
        <v>1107000</v>
      </c>
      <c r="L95" s="37">
        <f t="shared" si="37"/>
        <v>1119000</v>
      </c>
      <c r="M95" s="37">
        <f t="shared" si="37"/>
        <v>1104000</v>
      </c>
      <c r="N95" s="37">
        <f t="shared" si="37"/>
        <v>2476000</v>
      </c>
      <c r="O95" s="37">
        <f t="shared" si="37"/>
        <v>1144000</v>
      </c>
      <c r="P95" s="37">
        <f t="shared" si="37"/>
        <v>64000</v>
      </c>
      <c r="Q95" s="37">
        <f t="shared" si="37"/>
        <v>60000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1300000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420000</v>
      </c>
    </row>
    <row r="105" spans="2:17" ht="32.4">
      <c r="B105" s="72" t="s">
        <v>380</v>
      </c>
      <c r="D105" s="30">
        <f>HLOOKUP(D1,[1]縣庫撥款收入明細表!H:DD,19,FALSE)</f>
        <v>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16045000</v>
      </c>
    </row>
    <row r="108" spans="2:17" ht="16.5" customHeight="1"/>
    <row r="109" spans="2:17" ht="16.5" customHeight="1">
      <c r="B109" s="4" t="s">
        <v>682</v>
      </c>
      <c r="D109" s="30">
        <f>D91-D76</f>
        <v>18578000</v>
      </c>
      <c r="F109" s="30">
        <f>F91-F76</f>
        <v>5372000</v>
      </c>
      <c r="G109" s="30">
        <f t="shared" ref="G109:Q109" si="38">G91-G76</f>
        <v>1281000</v>
      </c>
      <c r="H109" s="30">
        <f t="shared" si="38"/>
        <v>1431000</v>
      </c>
      <c r="I109" s="30">
        <f t="shared" si="38"/>
        <v>1527000</v>
      </c>
      <c r="J109" s="30">
        <f t="shared" si="38"/>
        <v>1281000</v>
      </c>
      <c r="K109" s="30">
        <f t="shared" si="38"/>
        <v>1283000</v>
      </c>
      <c r="L109" s="30">
        <f t="shared" si="38"/>
        <v>1295000</v>
      </c>
      <c r="M109" s="30">
        <f t="shared" si="38"/>
        <v>1281000</v>
      </c>
      <c r="N109" s="30">
        <f t="shared" si="38"/>
        <v>2405000</v>
      </c>
      <c r="O109" s="30">
        <f t="shared" si="38"/>
        <v>1288000</v>
      </c>
      <c r="P109" s="30">
        <f t="shared" si="38"/>
        <v>72000</v>
      </c>
      <c r="Q109" s="30">
        <f t="shared" si="38"/>
        <v>62000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8" priority="1" operator="lessThan">
      <formula>0</formula>
    </cfRule>
  </conditionalFormatting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705</v>
      </c>
      <c r="D1" s="28" t="str">
        <f>VLOOKUP(C1,[1]學校編號!A:B,2,FALSE)</f>
        <v>705西富國小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17961000</v>
      </c>
      <c r="E2" s="37"/>
      <c r="F2" s="37">
        <f>F48+F70+F76+F77+F83</f>
        <v>5465000</v>
      </c>
      <c r="G2" s="37">
        <f t="shared" ref="G2:Q2" si="0">G48+G70+G76+G77+G83</f>
        <v>1265000</v>
      </c>
      <c r="H2" s="37">
        <f t="shared" si="0"/>
        <v>1319000</v>
      </c>
      <c r="I2" s="37">
        <f t="shared" si="0"/>
        <v>1440000</v>
      </c>
      <c r="J2" s="37">
        <f t="shared" si="0"/>
        <v>1265000</v>
      </c>
      <c r="K2" s="37">
        <f t="shared" si="0"/>
        <v>1267000</v>
      </c>
      <c r="L2" s="37">
        <f t="shared" si="0"/>
        <v>1280000</v>
      </c>
      <c r="M2" s="37">
        <f t="shared" si="0"/>
        <v>1265000</v>
      </c>
      <c r="N2" s="37">
        <f t="shared" si="0"/>
        <v>2005000</v>
      </c>
      <c r="O2" s="37">
        <f t="shared" si="0"/>
        <v>1257000</v>
      </c>
      <c r="P2" s="37">
        <f t="shared" si="0"/>
        <v>66000</v>
      </c>
      <c r="Q2" s="37">
        <f t="shared" si="0"/>
        <v>67000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120000</v>
      </c>
      <c r="E3" s="37" t="s">
        <v>525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51000</v>
      </c>
      <c r="E4" s="37" t="s">
        <v>525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63000</v>
      </c>
      <c r="E7" s="37" t="s">
        <v>525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30000</v>
      </c>
      <c r="E8" s="37" t="s">
        <v>525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4000</v>
      </c>
      <c r="E9" s="37" t="s">
        <v>525</v>
      </c>
      <c r="F9" s="37">
        <f t="shared" si="1"/>
        <v>333</v>
      </c>
      <c r="G9" s="37">
        <f t="shared" si="1"/>
        <v>333</v>
      </c>
      <c r="H9" s="37">
        <f t="shared" si="1"/>
        <v>333</v>
      </c>
      <c r="I9" s="37">
        <f t="shared" si="1"/>
        <v>333</v>
      </c>
      <c r="J9" s="37">
        <f t="shared" si="1"/>
        <v>333</v>
      </c>
      <c r="K9" s="37">
        <f t="shared" si="1"/>
        <v>333</v>
      </c>
      <c r="L9" s="37">
        <f t="shared" si="1"/>
        <v>333</v>
      </c>
      <c r="M9" s="37">
        <f t="shared" si="1"/>
        <v>333</v>
      </c>
      <c r="N9" s="37">
        <f t="shared" si="1"/>
        <v>333</v>
      </c>
      <c r="O9" s="37">
        <f t="shared" si="1"/>
        <v>333</v>
      </c>
      <c r="P9" s="37">
        <f t="shared" si="1"/>
        <v>333</v>
      </c>
      <c r="Q9" s="37">
        <f t="shared" si="2"/>
        <v>337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164000</v>
      </c>
      <c r="E13" s="37" t="s">
        <v>525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28000</v>
      </c>
      <c r="E15" s="37" t="s">
        <v>193</v>
      </c>
      <c r="F15" s="37">
        <f>ROUND($D15/2,-3)</f>
        <v>14000</v>
      </c>
      <c r="G15" s="37"/>
      <c r="H15" s="37"/>
      <c r="I15" s="37"/>
      <c r="J15" s="37"/>
      <c r="K15" s="37"/>
      <c r="L15" s="37">
        <f>D15-F15</f>
        <v>14000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0</v>
      </c>
      <c r="E16" s="37" t="s">
        <v>525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42000</v>
      </c>
      <c r="E17" s="37" t="s">
        <v>525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2000</v>
      </c>
      <c r="E24" s="37" t="s">
        <v>193</v>
      </c>
      <c r="F24" s="37">
        <f>ROUND($D24/2,-3)</f>
        <v>1000</v>
      </c>
      <c r="G24" s="37"/>
      <c r="H24" s="37"/>
      <c r="I24" s="37"/>
      <c r="J24" s="37"/>
      <c r="K24" s="37"/>
      <c r="L24" s="37">
        <f>D24-F24</f>
        <v>1000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504000</v>
      </c>
      <c r="E25" s="108"/>
      <c r="F25" s="108">
        <f>ROUND(SUM(F3:F24),-3)</f>
        <v>55000</v>
      </c>
      <c r="G25" s="108">
        <f t="shared" ref="G25:P25" si="5">ROUND(SUM(G3:G24),-3)</f>
        <v>40000</v>
      </c>
      <c r="H25" s="108">
        <f t="shared" si="5"/>
        <v>40000</v>
      </c>
      <c r="I25" s="108">
        <f t="shared" si="5"/>
        <v>40000</v>
      </c>
      <c r="J25" s="108">
        <f t="shared" si="5"/>
        <v>40000</v>
      </c>
      <c r="K25" s="108">
        <f t="shared" si="5"/>
        <v>40000</v>
      </c>
      <c r="L25" s="108">
        <f t="shared" si="5"/>
        <v>55000</v>
      </c>
      <c r="M25" s="108">
        <f t="shared" si="5"/>
        <v>40000</v>
      </c>
      <c r="N25" s="108">
        <f t="shared" si="5"/>
        <v>40000</v>
      </c>
      <c r="O25" s="108">
        <f t="shared" si="5"/>
        <v>40000</v>
      </c>
      <c r="P25" s="108">
        <f t="shared" si="5"/>
        <v>40000</v>
      </c>
      <c r="Q25" s="108">
        <f t="shared" ref="Q25:Q33" si="6">D25-SUM(F25:P25)</f>
        <v>34000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241000</v>
      </c>
      <c r="E27" s="37" t="s">
        <v>525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18000</v>
      </c>
      <c r="E29" s="37" t="s">
        <v>525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7000</v>
      </c>
      <c r="E30" s="37" t="s">
        <v>525</v>
      </c>
      <c r="F30" s="37">
        <f t="shared" si="8"/>
        <v>583</v>
      </c>
      <c r="G30" s="37">
        <f t="shared" si="8"/>
        <v>583</v>
      </c>
      <c r="H30" s="37">
        <f t="shared" si="8"/>
        <v>583</v>
      </c>
      <c r="I30" s="37">
        <f t="shared" si="8"/>
        <v>583</v>
      </c>
      <c r="J30" s="37">
        <f t="shared" si="8"/>
        <v>583</v>
      </c>
      <c r="K30" s="37">
        <f t="shared" si="8"/>
        <v>583</v>
      </c>
      <c r="L30" s="37">
        <f t="shared" si="8"/>
        <v>583</v>
      </c>
      <c r="M30" s="37">
        <f t="shared" si="8"/>
        <v>583</v>
      </c>
      <c r="N30" s="37">
        <f t="shared" si="8"/>
        <v>583</v>
      </c>
      <c r="O30" s="37">
        <f t="shared" si="8"/>
        <v>583</v>
      </c>
      <c r="P30" s="37">
        <f t="shared" si="8"/>
        <v>583</v>
      </c>
      <c r="Q30" s="37">
        <f t="shared" si="6"/>
        <v>587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3000</v>
      </c>
      <c r="E31" s="37" t="s">
        <v>525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269000</v>
      </c>
      <c r="E37" s="108"/>
      <c r="F37" s="108">
        <f t="shared" ref="F37:P37" si="9">ROUND(SUM(F26:F36),-3)</f>
        <v>22000</v>
      </c>
      <c r="G37" s="108">
        <f t="shared" si="9"/>
        <v>22000</v>
      </c>
      <c r="H37" s="108">
        <f t="shared" si="9"/>
        <v>22000</v>
      </c>
      <c r="I37" s="108">
        <f t="shared" si="9"/>
        <v>22000</v>
      </c>
      <c r="J37" s="108">
        <f t="shared" si="9"/>
        <v>22000</v>
      </c>
      <c r="K37" s="108">
        <f t="shared" si="9"/>
        <v>22000</v>
      </c>
      <c r="L37" s="108">
        <f t="shared" si="9"/>
        <v>22000</v>
      </c>
      <c r="M37" s="108">
        <f t="shared" si="9"/>
        <v>22000</v>
      </c>
      <c r="N37" s="108">
        <f t="shared" si="9"/>
        <v>22000</v>
      </c>
      <c r="O37" s="108">
        <f t="shared" si="9"/>
        <v>22000</v>
      </c>
      <c r="P37" s="108">
        <f t="shared" si="9"/>
        <v>22000</v>
      </c>
      <c r="Q37" s="108">
        <f>D37-SUM(F37:P37)</f>
        <v>27000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779000</v>
      </c>
      <c r="E48" s="37"/>
      <c r="F48" s="115">
        <f>F25+F37+F45+F47</f>
        <v>79000</v>
      </c>
      <c r="G48" s="115">
        <f t="shared" ref="G48:R48" si="14">G25+G37+G45+G47</f>
        <v>62000</v>
      </c>
      <c r="H48" s="115">
        <f t="shared" si="14"/>
        <v>62000</v>
      </c>
      <c r="I48" s="115">
        <f t="shared" si="14"/>
        <v>62000</v>
      </c>
      <c r="J48" s="115">
        <f t="shared" si="14"/>
        <v>62000</v>
      </c>
      <c r="K48" s="115">
        <f t="shared" si="14"/>
        <v>64000</v>
      </c>
      <c r="L48" s="115">
        <f t="shared" si="14"/>
        <v>77000</v>
      </c>
      <c r="M48" s="115">
        <f t="shared" si="14"/>
        <v>62000</v>
      </c>
      <c r="N48" s="115">
        <f t="shared" si="14"/>
        <v>64000</v>
      </c>
      <c r="O48" s="115">
        <f t="shared" si="14"/>
        <v>62000</v>
      </c>
      <c r="P48" s="115">
        <f t="shared" si="14"/>
        <v>62000</v>
      </c>
      <c r="Q48" s="115">
        <f t="shared" si="14"/>
        <v>61000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9986000</v>
      </c>
      <c r="E49" s="114" t="s">
        <v>202</v>
      </c>
      <c r="F49" s="37">
        <f>ROUND($D49/12*3,-3)</f>
        <v>2497000</v>
      </c>
      <c r="G49" s="37">
        <f>ROUND($D49/12,-3)</f>
        <v>832000</v>
      </c>
      <c r="H49" s="37">
        <f t="shared" ref="H49:N53" si="15">ROUND($D49/12,-3)</f>
        <v>832000</v>
      </c>
      <c r="I49" s="37">
        <f t="shared" si="15"/>
        <v>832000</v>
      </c>
      <c r="J49" s="37">
        <f t="shared" si="15"/>
        <v>832000</v>
      </c>
      <c r="K49" s="37">
        <f t="shared" si="15"/>
        <v>832000</v>
      </c>
      <c r="L49" s="37">
        <f t="shared" si="15"/>
        <v>832000</v>
      </c>
      <c r="M49" s="37">
        <f t="shared" si="15"/>
        <v>832000</v>
      </c>
      <c r="N49" s="37">
        <f t="shared" si="15"/>
        <v>832000</v>
      </c>
      <c r="O49" s="37">
        <f>D49-SUM(F49:N49)</f>
        <v>833000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406000</v>
      </c>
      <c r="E50" s="114" t="s">
        <v>202</v>
      </c>
      <c r="F50" s="37">
        <f t="shared" ref="F50:F53" si="16">ROUND($D50/12*3,-3)</f>
        <v>102000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si="15"/>
        <v>34000</v>
      </c>
      <c r="N50" s="37">
        <f t="shared" si="15"/>
        <v>34000</v>
      </c>
      <c r="O50" s="37">
        <f t="shared" ref="O50:O53" si="18">D50-SUM(F50:N50)</f>
        <v>32000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0</v>
      </c>
      <c r="E51" s="114" t="s">
        <v>202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5"/>
        <v>0</v>
      </c>
      <c r="N51" s="37">
        <f t="shared" si="15"/>
        <v>0</v>
      </c>
      <c r="O51" s="37">
        <f t="shared" si="18"/>
        <v>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0</v>
      </c>
      <c r="E52" s="114" t="s">
        <v>202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5"/>
        <v>0</v>
      </c>
      <c r="N52" s="37">
        <f t="shared" si="15"/>
        <v>0</v>
      </c>
      <c r="O52" s="37">
        <f t="shared" si="18"/>
        <v>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26000</v>
      </c>
      <c r="E54" s="37" t="s">
        <v>525</v>
      </c>
      <c r="F54" s="37">
        <f t="shared" ref="F54:P61" si="19">ROUND($D54/12,0)</f>
        <v>2167</v>
      </c>
      <c r="G54" s="37">
        <f t="shared" si="19"/>
        <v>2167</v>
      </c>
      <c r="H54" s="37">
        <f t="shared" si="19"/>
        <v>2167</v>
      </c>
      <c r="I54" s="37">
        <f t="shared" si="19"/>
        <v>2167</v>
      </c>
      <c r="J54" s="37">
        <f t="shared" si="19"/>
        <v>2167</v>
      </c>
      <c r="K54" s="37">
        <f t="shared" si="19"/>
        <v>2167</v>
      </c>
      <c r="L54" s="37">
        <f t="shared" si="19"/>
        <v>2167</v>
      </c>
      <c r="M54" s="37">
        <f t="shared" si="19"/>
        <v>2167</v>
      </c>
      <c r="N54" s="37">
        <f t="shared" si="19"/>
        <v>2167</v>
      </c>
      <c r="O54" s="37">
        <f t="shared" si="19"/>
        <v>2167</v>
      </c>
      <c r="P54" s="37">
        <f t="shared" si="19"/>
        <v>2167</v>
      </c>
      <c r="Q54" s="37">
        <f t="shared" ref="Q54:Q61" si="20">D54-SUM(F54:P54)</f>
        <v>2163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291000</v>
      </c>
      <c r="E60" s="37" t="s">
        <v>195</v>
      </c>
      <c r="F60" s="37">
        <f>D60</f>
        <v>291000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877000</v>
      </c>
      <c r="E62" s="37" t="s">
        <v>197</v>
      </c>
      <c r="F62" s="37"/>
      <c r="G62" s="37"/>
      <c r="H62" s="37"/>
      <c r="I62" s="37">
        <f>ROUND($D62/5,-3)</f>
        <v>175000</v>
      </c>
      <c r="J62" s="37"/>
      <c r="K62" s="37"/>
      <c r="L62" s="37"/>
      <c r="M62" s="37"/>
      <c r="N62" s="37">
        <f>D62-I62</f>
        <v>702000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1279000</v>
      </c>
      <c r="E63" s="37" t="s">
        <v>195</v>
      </c>
      <c r="F63" s="37">
        <f>D63</f>
        <v>1279000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991000</v>
      </c>
      <c r="E64" s="114" t="s">
        <v>202</v>
      </c>
      <c r="F64" s="37">
        <f>ROUND($D64/12*3,-3)</f>
        <v>248000</v>
      </c>
      <c r="G64" s="37">
        <f>ROUND($D64/12,-3)</f>
        <v>83000</v>
      </c>
      <c r="H64" s="37">
        <f t="shared" ref="H64:N66" si="21">ROUND($D64/12,-3)</f>
        <v>83000</v>
      </c>
      <c r="I64" s="37">
        <f t="shared" si="21"/>
        <v>83000</v>
      </c>
      <c r="J64" s="37">
        <f t="shared" si="21"/>
        <v>83000</v>
      </c>
      <c r="K64" s="37">
        <f t="shared" si="21"/>
        <v>83000</v>
      </c>
      <c r="L64" s="37">
        <f t="shared" si="21"/>
        <v>83000</v>
      </c>
      <c r="M64" s="37">
        <f t="shared" si="21"/>
        <v>83000</v>
      </c>
      <c r="N64" s="37">
        <f t="shared" si="21"/>
        <v>83000</v>
      </c>
      <c r="O64" s="37">
        <f>D64-SUM(F64:N64)</f>
        <v>79000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201000</v>
      </c>
      <c r="E65" s="114" t="s">
        <v>202</v>
      </c>
      <c r="F65" s="37">
        <f t="shared" ref="F65:F66" si="22">ROUND($D65/12*3,-3)</f>
        <v>50000</v>
      </c>
      <c r="G65" s="37">
        <f t="shared" ref="G65:G66" si="23">ROUND($D65/12,-3)</f>
        <v>17000</v>
      </c>
      <c r="H65" s="37">
        <f t="shared" si="21"/>
        <v>17000</v>
      </c>
      <c r="I65" s="37">
        <f t="shared" si="21"/>
        <v>17000</v>
      </c>
      <c r="J65" s="37">
        <f t="shared" si="21"/>
        <v>17000</v>
      </c>
      <c r="K65" s="37">
        <f t="shared" si="21"/>
        <v>17000</v>
      </c>
      <c r="L65" s="37">
        <f t="shared" si="21"/>
        <v>17000</v>
      </c>
      <c r="M65" s="37">
        <f t="shared" si="21"/>
        <v>17000</v>
      </c>
      <c r="N65" s="37">
        <f t="shared" si="21"/>
        <v>17000</v>
      </c>
      <c r="O65" s="37">
        <f t="shared" ref="O65:O66" si="24">D65-SUM(F65:N65)</f>
        <v>15000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903000</v>
      </c>
      <c r="E66" s="114" t="s">
        <v>202</v>
      </c>
      <c r="F66" s="37">
        <f t="shared" si="22"/>
        <v>226000</v>
      </c>
      <c r="G66" s="37">
        <f t="shared" si="23"/>
        <v>75000</v>
      </c>
      <c r="H66" s="37">
        <f t="shared" si="21"/>
        <v>75000</v>
      </c>
      <c r="I66" s="37">
        <f t="shared" si="21"/>
        <v>75000</v>
      </c>
      <c r="J66" s="37">
        <f t="shared" si="21"/>
        <v>75000</v>
      </c>
      <c r="K66" s="37">
        <f t="shared" si="21"/>
        <v>75000</v>
      </c>
      <c r="L66" s="37">
        <f t="shared" si="21"/>
        <v>75000</v>
      </c>
      <c r="M66" s="37">
        <f t="shared" si="21"/>
        <v>75000</v>
      </c>
      <c r="N66" s="37">
        <f t="shared" si="21"/>
        <v>75000</v>
      </c>
      <c r="O66" s="37">
        <f t="shared" si="24"/>
        <v>77000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18000</v>
      </c>
      <c r="E67" s="37" t="s">
        <v>196</v>
      </c>
      <c r="F67" s="37"/>
      <c r="G67" s="37"/>
      <c r="H67" s="37">
        <f>D67</f>
        <v>18000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102000</v>
      </c>
      <c r="E68" s="37" t="s">
        <v>195</v>
      </c>
      <c r="F68" s="37">
        <f>D68</f>
        <v>102000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15104000</v>
      </c>
      <c r="E70" s="108"/>
      <c r="F70" s="108">
        <f t="shared" ref="F70:P70" si="25">ROUND(SUM(F49:F69),-3)</f>
        <v>4799000</v>
      </c>
      <c r="G70" s="108">
        <f t="shared" si="25"/>
        <v>1045000</v>
      </c>
      <c r="H70" s="108">
        <f t="shared" si="25"/>
        <v>1063000</v>
      </c>
      <c r="I70" s="108">
        <f t="shared" si="25"/>
        <v>1220000</v>
      </c>
      <c r="J70" s="108">
        <f t="shared" si="25"/>
        <v>1045000</v>
      </c>
      <c r="K70" s="108">
        <f t="shared" si="25"/>
        <v>1045000</v>
      </c>
      <c r="L70" s="108">
        <f t="shared" si="25"/>
        <v>1045000</v>
      </c>
      <c r="M70" s="108">
        <f t="shared" si="25"/>
        <v>1045000</v>
      </c>
      <c r="N70" s="108">
        <f t="shared" si="25"/>
        <v>1747000</v>
      </c>
      <c r="O70" s="108">
        <f t="shared" si="25"/>
        <v>1040000</v>
      </c>
      <c r="P70" s="108">
        <f t="shared" si="25"/>
        <v>4000</v>
      </c>
      <c r="Q70" s="108">
        <f>D70-SUM(F70:P70)</f>
        <v>6000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64000</v>
      </c>
      <c r="E71" s="37" t="s">
        <v>195</v>
      </c>
      <c r="F71" s="37">
        <f>D71</f>
        <v>64000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1892000</v>
      </c>
      <c r="E72" s="114" t="s">
        <v>202</v>
      </c>
      <c r="F72" s="37">
        <f>ROUND($D72/12*3,-3)</f>
        <v>473000</v>
      </c>
      <c r="G72" s="37">
        <f>ROUND($D72/12,-3)</f>
        <v>158000</v>
      </c>
      <c r="H72" s="37">
        <f t="shared" ref="H72:N75" si="26">ROUND($D72/12,-3)</f>
        <v>158000</v>
      </c>
      <c r="I72" s="37">
        <f t="shared" si="26"/>
        <v>158000</v>
      </c>
      <c r="J72" s="37">
        <f t="shared" si="26"/>
        <v>158000</v>
      </c>
      <c r="K72" s="37">
        <f t="shared" si="26"/>
        <v>158000</v>
      </c>
      <c r="L72" s="37">
        <f t="shared" si="26"/>
        <v>158000</v>
      </c>
      <c r="M72" s="37">
        <f t="shared" si="26"/>
        <v>158000</v>
      </c>
      <c r="N72" s="37">
        <f t="shared" si="26"/>
        <v>158000</v>
      </c>
      <c r="O72" s="37">
        <f>D72-SUM(F72:N72)</f>
        <v>155000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1956000</v>
      </c>
      <c r="E76" s="108"/>
      <c r="F76" s="108">
        <f>ROUND(SUM(F71:F75),-3)</f>
        <v>537000</v>
      </c>
      <c r="G76" s="108">
        <f t="shared" ref="G76:N76" si="27">ROUND(SUM(G71:G75),-3)</f>
        <v>158000</v>
      </c>
      <c r="H76" s="108">
        <f t="shared" si="27"/>
        <v>158000</v>
      </c>
      <c r="I76" s="108">
        <f t="shared" si="27"/>
        <v>158000</v>
      </c>
      <c r="J76" s="108">
        <f t="shared" si="27"/>
        <v>158000</v>
      </c>
      <c r="K76" s="108">
        <f t="shared" si="27"/>
        <v>158000</v>
      </c>
      <c r="L76" s="108">
        <f t="shared" si="27"/>
        <v>158000</v>
      </c>
      <c r="M76" s="108">
        <f t="shared" si="27"/>
        <v>158000</v>
      </c>
      <c r="N76" s="108">
        <f t="shared" si="27"/>
        <v>158000</v>
      </c>
      <c r="O76" s="108">
        <f>D76-SUM(F76:N76)</f>
        <v>155000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72000</v>
      </c>
      <c r="E77" s="37" t="s">
        <v>681</v>
      </c>
      <c r="F77" s="224"/>
      <c r="G77" s="224"/>
      <c r="H77" s="224">
        <f>ROUND($D77/2,-3)</f>
        <v>36000</v>
      </c>
      <c r="I77" s="224"/>
      <c r="J77" s="224"/>
      <c r="K77" s="224"/>
      <c r="L77" s="224"/>
      <c r="M77" s="224"/>
      <c r="N77" s="224">
        <f>D77-H77</f>
        <v>36000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17132000</v>
      </c>
      <c r="E78" s="227"/>
      <c r="F78" s="227">
        <f>F76+F70+F77</f>
        <v>5336000</v>
      </c>
      <c r="G78" s="227">
        <f t="shared" ref="G78:Q78" si="29">G76+G70+G77</f>
        <v>1203000</v>
      </c>
      <c r="H78" s="227">
        <f t="shared" si="29"/>
        <v>1257000</v>
      </c>
      <c r="I78" s="227">
        <f t="shared" si="29"/>
        <v>1378000</v>
      </c>
      <c r="J78" s="227">
        <f t="shared" si="29"/>
        <v>1203000</v>
      </c>
      <c r="K78" s="227">
        <f t="shared" si="29"/>
        <v>1203000</v>
      </c>
      <c r="L78" s="227">
        <f t="shared" si="29"/>
        <v>1203000</v>
      </c>
      <c r="M78" s="227">
        <f t="shared" si="29"/>
        <v>1203000</v>
      </c>
      <c r="N78" s="227">
        <f t="shared" si="29"/>
        <v>1941000</v>
      </c>
      <c r="O78" s="227">
        <f t="shared" si="29"/>
        <v>1195000</v>
      </c>
      <c r="P78" s="227">
        <f t="shared" si="29"/>
        <v>4000</v>
      </c>
      <c r="Q78" s="227">
        <f t="shared" si="29"/>
        <v>6000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50000</v>
      </c>
      <c r="E80" s="108" t="s">
        <v>195</v>
      </c>
      <c r="F80" s="108">
        <f t="shared" ref="F80:F82" si="30">D80</f>
        <v>50000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50000</v>
      </c>
      <c r="E83" s="116"/>
      <c r="F83" s="116">
        <f>SUM(F79:F82)</f>
        <v>50000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-50000</v>
      </c>
      <c r="E86" s="37"/>
      <c r="F86" s="37">
        <f>D86</f>
        <v>-50000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17911000</v>
      </c>
      <c r="E87" s="37"/>
      <c r="F87" s="37">
        <f>F88+F89+F90+F91</f>
        <v>5415000</v>
      </c>
      <c r="G87" s="37">
        <f t="shared" ref="G87:Q87" si="32">G88+G89+G90+G91</f>
        <v>1265000</v>
      </c>
      <c r="H87" s="37">
        <f t="shared" si="32"/>
        <v>1319000</v>
      </c>
      <c r="I87" s="37">
        <f t="shared" si="32"/>
        <v>1440000</v>
      </c>
      <c r="J87" s="37">
        <f t="shared" si="32"/>
        <v>1265000</v>
      </c>
      <c r="K87" s="37">
        <f t="shared" si="32"/>
        <v>1267000</v>
      </c>
      <c r="L87" s="37">
        <f t="shared" si="32"/>
        <v>1280000</v>
      </c>
      <c r="M87" s="37">
        <f t="shared" si="32"/>
        <v>1265000</v>
      </c>
      <c r="N87" s="37">
        <f t="shared" si="32"/>
        <v>2005000</v>
      </c>
      <c r="O87" s="37">
        <f t="shared" si="32"/>
        <v>1257000</v>
      </c>
      <c r="P87" s="37">
        <f t="shared" si="32"/>
        <v>66000</v>
      </c>
      <c r="Q87" s="37">
        <f t="shared" si="32"/>
        <v>67000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8000</v>
      </c>
      <c r="E88" s="108" t="s">
        <v>193</v>
      </c>
      <c r="F88" s="108">
        <f>ROUND($D88/2,-3)</f>
        <v>4000</v>
      </c>
      <c r="G88" s="108"/>
      <c r="H88" s="108"/>
      <c r="I88" s="108"/>
      <c r="J88" s="108"/>
      <c r="K88" s="108"/>
      <c r="L88" s="108">
        <f>D88-F88</f>
        <v>4000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17903000</v>
      </c>
      <c r="E91" s="108"/>
      <c r="F91" s="108">
        <f>F92+F93+F94+F95</f>
        <v>5411000</v>
      </c>
      <c r="G91" s="108">
        <f t="shared" ref="G91:Q91" si="34">G92+G93+G94+G95</f>
        <v>1265000</v>
      </c>
      <c r="H91" s="108">
        <f t="shared" si="34"/>
        <v>1319000</v>
      </c>
      <c r="I91" s="108">
        <f t="shared" si="34"/>
        <v>1440000</v>
      </c>
      <c r="J91" s="108">
        <f t="shared" si="34"/>
        <v>1265000</v>
      </c>
      <c r="K91" s="108">
        <f t="shared" si="34"/>
        <v>1267000</v>
      </c>
      <c r="L91" s="108">
        <f t="shared" si="34"/>
        <v>1276000</v>
      </c>
      <c r="M91" s="108">
        <f t="shared" si="34"/>
        <v>1265000</v>
      </c>
      <c r="N91" s="108">
        <f t="shared" si="34"/>
        <v>2005000</v>
      </c>
      <c r="O91" s="108">
        <f t="shared" si="34"/>
        <v>1257000</v>
      </c>
      <c r="P91" s="108">
        <f t="shared" si="34"/>
        <v>66000</v>
      </c>
      <c r="Q91" s="108">
        <f t="shared" si="34"/>
        <v>67000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650000</v>
      </c>
      <c r="E92" s="114" t="s">
        <v>537</v>
      </c>
      <c r="F92" s="37">
        <f>ROUND($D92/12*5,-3)</f>
        <v>271000</v>
      </c>
      <c r="G92" s="37">
        <f>ROUND($D92/12,-3)</f>
        <v>54000</v>
      </c>
      <c r="H92" s="37">
        <f t="shared" ref="H92:L92" si="35">ROUND($D92/12,-3)</f>
        <v>54000</v>
      </c>
      <c r="I92" s="37">
        <f t="shared" si="35"/>
        <v>54000</v>
      </c>
      <c r="J92" s="37">
        <f t="shared" si="35"/>
        <v>54000</v>
      </c>
      <c r="K92" s="37">
        <f t="shared" si="35"/>
        <v>54000</v>
      </c>
      <c r="L92" s="37">
        <f t="shared" si="35"/>
        <v>54000</v>
      </c>
      <c r="M92" s="37">
        <f>D92-SUM(F92:L92)</f>
        <v>55000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77000</v>
      </c>
      <c r="E93" s="189" t="s">
        <v>227</v>
      </c>
      <c r="F93" s="37">
        <f>ROUND($D93/12,-3)</f>
        <v>6000</v>
      </c>
      <c r="G93" s="37">
        <f t="shared" ref="G93:P93" si="36">ROUND($D93/12,-3)</f>
        <v>6000</v>
      </c>
      <c r="H93" s="37">
        <f t="shared" si="36"/>
        <v>6000</v>
      </c>
      <c r="I93" s="37">
        <f t="shared" si="36"/>
        <v>6000</v>
      </c>
      <c r="J93" s="37">
        <f t="shared" si="36"/>
        <v>6000</v>
      </c>
      <c r="K93" s="37">
        <f t="shared" si="36"/>
        <v>6000</v>
      </c>
      <c r="L93" s="37">
        <f t="shared" si="36"/>
        <v>6000</v>
      </c>
      <c r="M93" s="37">
        <f t="shared" si="36"/>
        <v>6000</v>
      </c>
      <c r="N93" s="37">
        <f t="shared" si="36"/>
        <v>6000</v>
      </c>
      <c r="O93" s="37">
        <f t="shared" si="36"/>
        <v>6000</v>
      </c>
      <c r="P93" s="37">
        <f t="shared" si="36"/>
        <v>6000</v>
      </c>
      <c r="Q93" s="37">
        <f>D93-SUM(F93:P93)</f>
        <v>11000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17176000</v>
      </c>
      <c r="E95" s="37"/>
      <c r="F95" s="37">
        <f>F2+F86-F88-F89-F90-F92-F93-F94</f>
        <v>5134000</v>
      </c>
      <c r="G95" s="37">
        <f t="shared" ref="G95:Q95" si="37">G2-G88-G89-G90-G92-G93-G94</f>
        <v>1205000</v>
      </c>
      <c r="H95" s="37">
        <f t="shared" si="37"/>
        <v>1259000</v>
      </c>
      <c r="I95" s="37">
        <f t="shared" si="37"/>
        <v>1380000</v>
      </c>
      <c r="J95" s="37">
        <f t="shared" si="37"/>
        <v>1205000</v>
      </c>
      <c r="K95" s="37">
        <f t="shared" si="37"/>
        <v>1207000</v>
      </c>
      <c r="L95" s="37">
        <f t="shared" si="37"/>
        <v>1216000</v>
      </c>
      <c r="M95" s="37">
        <f t="shared" si="37"/>
        <v>1204000</v>
      </c>
      <c r="N95" s="37">
        <f t="shared" si="37"/>
        <v>1999000</v>
      </c>
      <c r="O95" s="37">
        <f t="shared" si="37"/>
        <v>1251000</v>
      </c>
      <c r="P95" s="37">
        <f t="shared" si="37"/>
        <v>60000</v>
      </c>
      <c r="Q95" s="37">
        <f t="shared" si="37"/>
        <v>56000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0</v>
      </c>
    </row>
    <row r="102" spans="2:17" ht="32.4">
      <c r="B102" s="71" t="s">
        <v>238</v>
      </c>
      <c r="D102" s="30">
        <f>HLOOKUP(D1,[1]縣庫撥款收入明細表!H:DD,16,FALSE)</f>
        <v>72000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0</v>
      </c>
    </row>
    <row r="106" spans="2:17" ht="32.4">
      <c r="B106" s="71" t="s">
        <v>241</v>
      </c>
      <c r="D106" s="30">
        <f>HLOOKUP(D1,[1]縣庫撥款收入明細表!H:DD,20,FALSE)</f>
        <v>5000</v>
      </c>
    </row>
    <row r="107" spans="2:17" ht="32.4">
      <c r="B107" s="77" t="s">
        <v>242</v>
      </c>
      <c r="D107" s="30">
        <f>HLOOKUP(D1,[1]縣庫撥款收入明細表!H:DD,21,FALSE)</f>
        <v>17176000</v>
      </c>
    </row>
    <row r="108" spans="2:17" ht="16.5" customHeight="1"/>
    <row r="109" spans="2:17" ht="16.5" customHeight="1">
      <c r="B109" s="4" t="s">
        <v>682</v>
      </c>
      <c r="D109" s="30">
        <f>D91-D76</f>
        <v>15947000</v>
      </c>
      <c r="F109" s="30">
        <f>F91-F76</f>
        <v>4874000</v>
      </c>
      <c r="G109" s="30">
        <f t="shared" ref="G109:Q109" si="38">G91-G76</f>
        <v>1107000</v>
      </c>
      <c r="H109" s="30">
        <f t="shared" si="38"/>
        <v>1161000</v>
      </c>
      <c r="I109" s="30">
        <f t="shared" si="38"/>
        <v>1282000</v>
      </c>
      <c r="J109" s="30">
        <f t="shared" si="38"/>
        <v>1107000</v>
      </c>
      <c r="K109" s="30">
        <f t="shared" si="38"/>
        <v>1109000</v>
      </c>
      <c r="L109" s="30">
        <f t="shared" si="38"/>
        <v>1118000</v>
      </c>
      <c r="M109" s="30">
        <f t="shared" si="38"/>
        <v>1107000</v>
      </c>
      <c r="N109" s="30">
        <f t="shared" si="38"/>
        <v>1847000</v>
      </c>
      <c r="O109" s="30">
        <f t="shared" si="38"/>
        <v>1102000</v>
      </c>
      <c r="P109" s="30">
        <f t="shared" si="38"/>
        <v>66000</v>
      </c>
      <c r="Q109" s="30">
        <f t="shared" si="38"/>
        <v>67000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6" priority="1" operator="lessThan">
      <formula>0</formula>
    </cfRule>
  </conditionalFormatting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topLeftCell="A100"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706</v>
      </c>
      <c r="D1" s="28" t="str">
        <f>VLOOKUP(C1,[1]學校編號!A:B,2,FALSE)</f>
        <v>706大興國小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16721000</v>
      </c>
      <c r="E2" s="37"/>
      <c r="F2" s="37">
        <f>F48+F70+F76+F77+F83</f>
        <v>5156000</v>
      </c>
      <c r="G2" s="37">
        <f t="shared" ref="G2:Q2" si="0">G48+G70+G76+G77+G83</f>
        <v>1154000</v>
      </c>
      <c r="H2" s="37">
        <f t="shared" si="0"/>
        <v>1175000</v>
      </c>
      <c r="I2" s="37">
        <f t="shared" si="0"/>
        <v>1352000</v>
      </c>
      <c r="J2" s="37">
        <f t="shared" si="0"/>
        <v>1154000</v>
      </c>
      <c r="K2" s="37">
        <f t="shared" si="0"/>
        <v>1156000</v>
      </c>
      <c r="L2" s="37">
        <f t="shared" si="0"/>
        <v>1167000</v>
      </c>
      <c r="M2" s="37">
        <f t="shared" si="0"/>
        <v>1154000</v>
      </c>
      <c r="N2" s="37">
        <f t="shared" si="0"/>
        <v>1951000</v>
      </c>
      <c r="O2" s="37">
        <f t="shared" si="0"/>
        <v>1150000</v>
      </c>
      <c r="P2" s="37">
        <f t="shared" si="0"/>
        <v>70000</v>
      </c>
      <c r="Q2" s="37">
        <f t="shared" si="0"/>
        <v>82000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120000</v>
      </c>
      <c r="E3" s="37" t="s">
        <v>525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51000</v>
      </c>
      <c r="E4" s="37" t="s">
        <v>525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63000</v>
      </c>
      <c r="E7" s="37" t="s">
        <v>525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30000</v>
      </c>
      <c r="E8" s="37" t="s">
        <v>525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3000</v>
      </c>
      <c r="E9" s="37" t="s">
        <v>525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0</v>
      </c>
      <c r="E13" s="37" t="s">
        <v>525</v>
      </c>
      <c r="F13" s="37">
        <f>ROUND($D13/12,0)</f>
        <v>0</v>
      </c>
      <c r="G13" s="37">
        <f t="shared" si="1"/>
        <v>0</v>
      </c>
      <c r="H13" s="37">
        <f t="shared" si="1"/>
        <v>0</v>
      </c>
      <c r="I13" s="37">
        <f t="shared" si="1"/>
        <v>0</v>
      </c>
      <c r="J13" s="37">
        <f t="shared" si="1"/>
        <v>0</v>
      </c>
      <c r="K13" s="37">
        <f t="shared" si="1"/>
        <v>0</v>
      </c>
      <c r="L13" s="37">
        <f t="shared" si="1"/>
        <v>0</v>
      </c>
      <c r="M13" s="37">
        <f t="shared" si="1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>D13-SUM(F13:P13)</f>
        <v>0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26000</v>
      </c>
      <c r="E15" s="37" t="s">
        <v>193</v>
      </c>
      <c r="F15" s="37">
        <f>ROUND($D15/2,-3)</f>
        <v>13000</v>
      </c>
      <c r="G15" s="37"/>
      <c r="H15" s="37"/>
      <c r="I15" s="37"/>
      <c r="J15" s="37"/>
      <c r="K15" s="37"/>
      <c r="L15" s="37">
        <f>D15-F15</f>
        <v>13000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164000</v>
      </c>
      <c r="E16" s="37" t="s">
        <v>525</v>
      </c>
      <c r="F16" s="37">
        <f>ROUND($D16/12,0)</f>
        <v>13667</v>
      </c>
      <c r="G16" s="37">
        <f t="shared" si="1"/>
        <v>13667</v>
      </c>
      <c r="H16" s="37">
        <f t="shared" si="1"/>
        <v>13667</v>
      </c>
      <c r="I16" s="37">
        <f t="shared" si="1"/>
        <v>13667</v>
      </c>
      <c r="J16" s="37">
        <f t="shared" si="1"/>
        <v>13667</v>
      </c>
      <c r="K16" s="37">
        <f t="shared" si="1"/>
        <v>13667</v>
      </c>
      <c r="L16" s="37">
        <f t="shared" si="1"/>
        <v>13667</v>
      </c>
      <c r="M16" s="37">
        <f t="shared" si="1"/>
        <v>13667</v>
      </c>
      <c r="N16" s="37">
        <f t="shared" si="1"/>
        <v>13667</v>
      </c>
      <c r="O16" s="37">
        <f t="shared" si="1"/>
        <v>13667</v>
      </c>
      <c r="P16" s="37">
        <f t="shared" si="1"/>
        <v>13667</v>
      </c>
      <c r="Q16" s="37">
        <f>D16-SUM(F16:P16)</f>
        <v>13663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42000</v>
      </c>
      <c r="E17" s="37" t="s">
        <v>525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559000</v>
      </c>
      <c r="E25" s="108"/>
      <c r="F25" s="108">
        <f>ROUND(SUM(F3:F24),-3)</f>
        <v>57000</v>
      </c>
      <c r="G25" s="108">
        <f t="shared" ref="G25:P25" si="5">ROUND(SUM(G3:G24),-3)</f>
        <v>44000</v>
      </c>
      <c r="H25" s="108">
        <f t="shared" si="5"/>
        <v>44000</v>
      </c>
      <c r="I25" s="108">
        <f t="shared" si="5"/>
        <v>44000</v>
      </c>
      <c r="J25" s="108">
        <f t="shared" si="5"/>
        <v>44000</v>
      </c>
      <c r="K25" s="108">
        <f t="shared" si="5"/>
        <v>44000</v>
      </c>
      <c r="L25" s="108">
        <f t="shared" si="5"/>
        <v>57000</v>
      </c>
      <c r="M25" s="108">
        <f t="shared" si="5"/>
        <v>44000</v>
      </c>
      <c r="N25" s="108">
        <f t="shared" si="5"/>
        <v>44000</v>
      </c>
      <c r="O25" s="108">
        <f t="shared" si="5"/>
        <v>44000</v>
      </c>
      <c r="P25" s="108">
        <f t="shared" si="5"/>
        <v>44000</v>
      </c>
      <c r="Q25" s="108">
        <f t="shared" ref="Q25:Q33" si="6">D25-SUM(F25:P25)</f>
        <v>49000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241000</v>
      </c>
      <c r="E27" s="37" t="s">
        <v>525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18000</v>
      </c>
      <c r="E29" s="37" t="s">
        <v>525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7000</v>
      </c>
      <c r="E30" s="37" t="s">
        <v>525</v>
      </c>
      <c r="F30" s="37">
        <f t="shared" si="8"/>
        <v>583</v>
      </c>
      <c r="G30" s="37">
        <f t="shared" si="8"/>
        <v>583</v>
      </c>
      <c r="H30" s="37">
        <f t="shared" si="8"/>
        <v>583</v>
      </c>
      <c r="I30" s="37">
        <f t="shared" si="8"/>
        <v>583</v>
      </c>
      <c r="J30" s="37">
        <f t="shared" si="8"/>
        <v>583</v>
      </c>
      <c r="K30" s="37">
        <f t="shared" si="8"/>
        <v>583</v>
      </c>
      <c r="L30" s="37">
        <f t="shared" si="8"/>
        <v>583</v>
      </c>
      <c r="M30" s="37">
        <f t="shared" si="8"/>
        <v>583</v>
      </c>
      <c r="N30" s="37">
        <f t="shared" si="8"/>
        <v>583</v>
      </c>
      <c r="O30" s="37">
        <f t="shared" si="8"/>
        <v>583</v>
      </c>
      <c r="P30" s="37">
        <f t="shared" si="8"/>
        <v>583</v>
      </c>
      <c r="Q30" s="37">
        <f t="shared" si="6"/>
        <v>587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3000</v>
      </c>
      <c r="E31" s="37" t="s">
        <v>525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269000</v>
      </c>
      <c r="E37" s="108"/>
      <c r="F37" s="108">
        <f t="shared" ref="F37:P37" si="9">ROUND(SUM(F26:F36),-3)</f>
        <v>22000</v>
      </c>
      <c r="G37" s="108">
        <f t="shared" si="9"/>
        <v>22000</v>
      </c>
      <c r="H37" s="108">
        <f t="shared" si="9"/>
        <v>22000</v>
      </c>
      <c r="I37" s="108">
        <f t="shared" si="9"/>
        <v>22000</v>
      </c>
      <c r="J37" s="108">
        <f t="shared" si="9"/>
        <v>22000</v>
      </c>
      <c r="K37" s="108">
        <f t="shared" si="9"/>
        <v>22000</v>
      </c>
      <c r="L37" s="108">
        <f t="shared" si="9"/>
        <v>22000</v>
      </c>
      <c r="M37" s="108">
        <f t="shared" si="9"/>
        <v>22000</v>
      </c>
      <c r="N37" s="108">
        <f t="shared" si="9"/>
        <v>22000</v>
      </c>
      <c r="O37" s="108">
        <f t="shared" si="9"/>
        <v>22000</v>
      </c>
      <c r="P37" s="108">
        <f t="shared" si="9"/>
        <v>22000</v>
      </c>
      <c r="Q37" s="108">
        <f>D37-SUM(F37:P37)</f>
        <v>27000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834000</v>
      </c>
      <c r="E48" s="37"/>
      <c r="F48" s="115">
        <f>F25+F37+F45+F47</f>
        <v>81000</v>
      </c>
      <c r="G48" s="115">
        <f t="shared" ref="G48:R48" si="14">G25+G37+G45+G47</f>
        <v>66000</v>
      </c>
      <c r="H48" s="115">
        <f t="shared" si="14"/>
        <v>66000</v>
      </c>
      <c r="I48" s="115">
        <f t="shared" si="14"/>
        <v>66000</v>
      </c>
      <c r="J48" s="115">
        <f t="shared" si="14"/>
        <v>66000</v>
      </c>
      <c r="K48" s="115">
        <f t="shared" si="14"/>
        <v>68000</v>
      </c>
      <c r="L48" s="115">
        <f t="shared" si="14"/>
        <v>79000</v>
      </c>
      <c r="M48" s="115">
        <f t="shared" si="14"/>
        <v>66000</v>
      </c>
      <c r="N48" s="115">
        <f t="shared" si="14"/>
        <v>68000</v>
      </c>
      <c r="O48" s="115">
        <f t="shared" si="14"/>
        <v>66000</v>
      </c>
      <c r="P48" s="115">
        <f t="shared" si="14"/>
        <v>66000</v>
      </c>
      <c r="Q48" s="115">
        <f t="shared" si="14"/>
        <v>76000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10059000</v>
      </c>
      <c r="E49" s="114" t="s">
        <v>202</v>
      </c>
      <c r="F49" s="37">
        <f>ROUND($D49/12*3,-3)</f>
        <v>2515000</v>
      </c>
      <c r="G49" s="37">
        <f>ROUND($D49/12,-3)</f>
        <v>838000</v>
      </c>
      <c r="H49" s="37">
        <f t="shared" ref="H49:N53" si="15">ROUND($D49/12,-3)</f>
        <v>838000</v>
      </c>
      <c r="I49" s="37">
        <f t="shared" si="15"/>
        <v>838000</v>
      </c>
      <c r="J49" s="37">
        <f t="shared" si="15"/>
        <v>838000</v>
      </c>
      <c r="K49" s="37">
        <f t="shared" si="15"/>
        <v>838000</v>
      </c>
      <c r="L49" s="37">
        <f t="shared" si="15"/>
        <v>838000</v>
      </c>
      <c r="M49" s="37">
        <f t="shared" si="15"/>
        <v>838000</v>
      </c>
      <c r="N49" s="37">
        <f t="shared" si="15"/>
        <v>838000</v>
      </c>
      <c r="O49" s="37">
        <f>D49-SUM(F49:N49)</f>
        <v>840000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0</v>
      </c>
      <c r="E51" s="114" t="s">
        <v>202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5"/>
        <v>0</v>
      </c>
      <c r="N51" s="37">
        <f t="shared" si="15"/>
        <v>0</v>
      </c>
      <c r="O51" s="37">
        <f t="shared" si="18"/>
        <v>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0</v>
      </c>
      <c r="E52" s="114" t="s">
        <v>202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5"/>
        <v>0</v>
      </c>
      <c r="N52" s="37">
        <f t="shared" si="15"/>
        <v>0</v>
      </c>
      <c r="O52" s="37">
        <f t="shared" si="18"/>
        <v>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26000</v>
      </c>
      <c r="E54" s="37" t="s">
        <v>525</v>
      </c>
      <c r="F54" s="37">
        <f t="shared" ref="F54:P61" si="19">ROUND($D54/12,0)</f>
        <v>2167</v>
      </c>
      <c r="G54" s="37">
        <f t="shared" si="19"/>
        <v>2167</v>
      </c>
      <c r="H54" s="37">
        <f t="shared" si="19"/>
        <v>2167</v>
      </c>
      <c r="I54" s="37">
        <f t="shared" si="19"/>
        <v>2167</v>
      </c>
      <c r="J54" s="37">
        <f t="shared" si="19"/>
        <v>2167</v>
      </c>
      <c r="K54" s="37">
        <f t="shared" si="19"/>
        <v>2167</v>
      </c>
      <c r="L54" s="37">
        <f t="shared" si="19"/>
        <v>2167</v>
      </c>
      <c r="M54" s="37">
        <f t="shared" si="19"/>
        <v>2167</v>
      </c>
      <c r="N54" s="37">
        <f t="shared" si="19"/>
        <v>2167</v>
      </c>
      <c r="O54" s="37">
        <f t="shared" si="19"/>
        <v>2167</v>
      </c>
      <c r="P54" s="37">
        <f t="shared" si="19"/>
        <v>2167</v>
      </c>
      <c r="Q54" s="37">
        <f t="shared" ref="Q54:Q61" si="20">D54-SUM(F54:P54)</f>
        <v>2163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376000</v>
      </c>
      <c r="E60" s="37" t="s">
        <v>195</v>
      </c>
      <c r="F60" s="37">
        <f>D60</f>
        <v>376000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991000</v>
      </c>
      <c r="E62" s="37" t="s">
        <v>197</v>
      </c>
      <c r="F62" s="37"/>
      <c r="G62" s="37"/>
      <c r="H62" s="37"/>
      <c r="I62" s="37">
        <f>ROUND($D62/5,-3)</f>
        <v>198000</v>
      </c>
      <c r="J62" s="37"/>
      <c r="K62" s="37"/>
      <c r="L62" s="37"/>
      <c r="M62" s="37"/>
      <c r="N62" s="37">
        <f>D62-I62</f>
        <v>793000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1248000</v>
      </c>
      <c r="E63" s="37" t="s">
        <v>195</v>
      </c>
      <c r="F63" s="37">
        <f>D63</f>
        <v>1248000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1007000</v>
      </c>
      <c r="E64" s="114" t="s">
        <v>202</v>
      </c>
      <c r="F64" s="37">
        <f>ROUND($D64/12*3,-3)</f>
        <v>252000</v>
      </c>
      <c r="G64" s="37">
        <f>ROUND($D64/12,-3)</f>
        <v>84000</v>
      </c>
      <c r="H64" s="37">
        <f t="shared" ref="H64:N66" si="21">ROUND($D64/12,-3)</f>
        <v>84000</v>
      </c>
      <c r="I64" s="37">
        <f t="shared" si="21"/>
        <v>84000</v>
      </c>
      <c r="J64" s="37">
        <f t="shared" si="21"/>
        <v>84000</v>
      </c>
      <c r="K64" s="37">
        <f t="shared" si="21"/>
        <v>84000</v>
      </c>
      <c r="L64" s="37">
        <f t="shared" si="21"/>
        <v>84000</v>
      </c>
      <c r="M64" s="37">
        <f t="shared" si="21"/>
        <v>84000</v>
      </c>
      <c r="N64" s="37">
        <f t="shared" si="21"/>
        <v>84000</v>
      </c>
      <c r="O64" s="37">
        <f>D64-SUM(F64:N64)</f>
        <v>83000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211000</v>
      </c>
      <c r="E65" s="114" t="s">
        <v>202</v>
      </c>
      <c r="F65" s="37">
        <f t="shared" ref="F65:F66" si="22">ROUND($D65/12*3,-3)</f>
        <v>53000</v>
      </c>
      <c r="G65" s="37">
        <f t="shared" ref="G65:G66" si="23">ROUND($D65/12,-3)</f>
        <v>18000</v>
      </c>
      <c r="H65" s="37">
        <f t="shared" si="21"/>
        <v>18000</v>
      </c>
      <c r="I65" s="37">
        <f t="shared" si="21"/>
        <v>18000</v>
      </c>
      <c r="J65" s="37">
        <f t="shared" si="21"/>
        <v>18000</v>
      </c>
      <c r="K65" s="37">
        <f t="shared" si="21"/>
        <v>18000</v>
      </c>
      <c r="L65" s="37">
        <f t="shared" si="21"/>
        <v>18000</v>
      </c>
      <c r="M65" s="37">
        <f t="shared" si="21"/>
        <v>18000</v>
      </c>
      <c r="N65" s="37">
        <f t="shared" si="21"/>
        <v>18000</v>
      </c>
      <c r="O65" s="37">
        <f t="shared" ref="O65:O66" si="24">D65-SUM(F65:N65)</f>
        <v>14000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817000</v>
      </c>
      <c r="E66" s="114" t="s">
        <v>202</v>
      </c>
      <c r="F66" s="37">
        <f t="shared" si="22"/>
        <v>204000</v>
      </c>
      <c r="G66" s="37">
        <f t="shared" si="23"/>
        <v>68000</v>
      </c>
      <c r="H66" s="37">
        <f t="shared" si="21"/>
        <v>68000</v>
      </c>
      <c r="I66" s="37">
        <f t="shared" si="21"/>
        <v>68000</v>
      </c>
      <c r="J66" s="37">
        <f t="shared" si="21"/>
        <v>68000</v>
      </c>
      <c r="K66" s="37">
        <f t="shared" si="21"/>
        <v>68000</v>
      </c>
      <c r="L66" s="37">
        <f t="shared" si="21"/>
        <v>68000</v>
      </c>
      <c r="M66" s="37">
        <f t="shared" si="21"/>
        <v>68000</v>
      </c>
      <c r="N66" s="37">
        <f t="shared" si="21"/>
        <v>68000</v>
      </c>
      <c r="O66" s="37">
        <f t="shared" si="24"/>
        <v>69000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18000</v>
      </c>
      <c r="E67" s="37" t="s">
        <v>196</v>
      </c>
      <c r="F67" s="37"/>
      <c r="G67" s="37"/>
      <c r="H67" s="37">
        <f>D67</f>
        <v>18000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196000</v>
      </c>
      <c r="E68" s="37" t="s">
        <v>195</v>
      </c>
      <c r="F68" s="37">
        <f>D68</f>
        <v>196000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14973000</v>
      </c>
      <c r="E70" s="108"/>
      <c r="F70" s="108">
        <f t="shared" ref="F70:P70" si="25">ROUND(SUM(F49:F69),-3)</f>
        <v>4848000</v>
      </c>
      <c r="G70" s="108">
        <f t="shared" si="25"/>
        <v>1012000</v>
      </c>
      <c r="H70" s="108">
        <f t="shared" si="25"/>
        <v>1030000</v>
      </c>
      <c r="I70" s="108">
        <f t="shared" si="25"/>
        <v>1210000</v>
      </c>
      <c r="J70" s="108">
        <f t="shared" si="25"/>
        <v>1012000</v>
      </c>
      <c r="K70" s="108">
        <f t="shared" si="25"/>
        <v>1012000</v>
      </c>
      <c r="L70" s="108">
        <f t="shared" si="25"/>
        <v>1012000</v>
      </c>
      <c r="M70" s="108">
        <f t="shared" si="25"/>
        <v>1012000</v>
      </c>
      <c r="N70" s="108">
        <f t="shared" si="25"/>
        <v>1805000</v>
      </c>
      <c r="O70" s="108">
        <f t="shared" si="25"/>
        <v>1010000</v>
      </c>
      <c r="P70" s="108">
        <f t="shared" si="25"/>
        <v>4000</v>
      </c>
      <c r="Q70" s="108">
        <f>D70-SUM(F70:P70)</f>
        <v>6000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909000</v>
      </c>
      <c r="E72" s="114" t="s">
        <v>202</v>
      </c>
      <c r="F72" s="37">
        <f>ROUND($D72/12*3,-3)</f>
        <v>227000</v>
      </c>
      <c r="G72" s="37">
        <f>ROUND($D72/12,-3)</f>
        <v>76000</v>
      </c>
      <c r="H72" s="37">
        <f t="shared" ref="H72:N75" si="26">ROUND($D72/12,-3)</f>
        <v>76000</v>
      </c>
      <c r="I72" s="37">
        <f t="shared" si="26"/>
        <v>76000</v>
      </c>
      <c r="J72" s="37">
        <f t="shared" si="26"/>
        <v>76000</v>
      </c>
      <c r="K72" s="37">
        <f t="shared" si="26"/>
        <v>76000</v>
      </c>
      <c r="L72" s="37">
        <f t="shared" si="26"/>
        <v>76000</v>
      </c>
      <c r="M72" s="37">
        <f t="shared" si="26"/>
        <v>76000</v>
      </c>
      <c r="N72" s="37">
        <f t="shared" si="26"/>
        <v>76000</v>
      </c>
      <c r="O72" s="37">
        <f>D72-SUM(F72:N72)</f>
        <v>74000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909000</v>
      </c>
      <c r="E76" s="108"/>
      <c r="F76" s="108">
        <f>ROUND(SUM(F71:F75),-3)</f>
        <v>227000</v>
      </c>
      <c r="G76" s="108">
        <f t="shared" ref="G76:N76" si="27">ROUND(SUM(G71:G75),-3)</f>
        <v>76000</v>
      </c>
      <c r="H76" s="108">
        <f t="shared" si="27"/>
        <v>76000</v>
      </c>
      <c r="I76" s="108">
        <f t="shared" si="27"/>
        <v>76000</v>
      </c>
      <c r="J76" s="108">
        <f t="shared" si="27"/>
        <v>76000</v>
      </c>
      <c r="K76" s="108">
        <f t="shared" si="27"/>
        <v>76000</v>
      </c>
      <c r="L76" s="108">
        <f t="shared" si="27"/>
        <v>76000</v>
      </c>
      <c r="M76" s="108">
        <f t="shared" si="27"/>
        <v>76000</v>
      </c>
      <c r="N76" s="108">
        <f t="shared" si="27"/>
        <v>76000</v>
      </c>
      <c r="O76" s="108">
        <f>D76-SUM(F76:N76)</f>
        <v>74000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5000</v>
      </c>
      <c r="E77" s="37" t="s">
        <v>681</v>
      </c>
      <c r="F77" s="224"/>
      <c r="G77" s="224"/>
      <c r="H77" s="224">
        <f>ROUND($D77/2,-3)</f>
        <v>3000</v>
      </c>
      <c r="I77" s="224"/>
      <c r="J77" s="224"/>
      <c r="K77" s="224"/>
      <c r="L77" s="224"/>
      <c r="M77" s="224"/>
      <c r="N77" s="224">
        <f>D77-H77</f>
        <v>2000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15887000</v>
      </c>
      <c r="E78" s="227"/>
      <c r="F78" s="227">
        <f>F76+F70+F77</f>
        <v>5075000</v>
      </c>
      <c r="G78" s="227">
        <f t="shared" ref="G78:Q78" si="29">G76+G70+G77</f>
        <v>1088000</v>
      </c>
      <c r="H78" s="227">
        <f t="shared" si="29"/>
        <v>1109000</v>
      </c>
      <c r="I78" s="227">
        <f t="shared" si="29"/>
        <v>1286000</v>
      </c>
      <c r="J78" s="227">
        <f t="shared" si="29"/>
        <v>1088000</v>
      </c>
      <c r="K78" s="227">
        <f t="shared" si="29"/>
        <v>1088000</v>
      </c>
      <c r="L78" s="227">
        <f t="shared" si="29"/>
        <v>1088000</v>
      </c>
      <c r="M78" s="227">
        <f t="shared" si="29"/>
        <v>1088000</v>
      </c>
      <c r="N78" s="227">
        <f t="shared" si="29"/>
        <v>1883000</v>
      </c>
      <c r="O78" s="227">
        <f t="shared" si="29"/>
        <v>1084000</v>
      </c>
      <c r="P78" s="227">
        <f t="shared" si="29"/>
        <v>4000</v>
      </c>
      <c r="Q78" s="227">
        <f t="shared" si="29"/>
        <v>6000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16721000</v>
      </c>
      <c r="E87" s="37"/>
      <c r="F87" s="37">
        <f>F88+F89+F90+F91</f>
        <v>5156000</v>
      </c>
      <c r="G87" s="37">
        <f t="shared" ref="G87:Q87" si="32">G88+G89+G90+G91</f>
        <v>1154000</v>
      </c>
      <c r="H87" s="37">
        <f t="shared" si="32"/>
        <v>1175000</v>
      </c>
      <c r="I87" s="37">
        <f t="shared" si="32"/>
        <v>1352000</v>
      </c>
      <c r="J87" s="37">
        <f t="shared" si="32"/>
        <v>1154000</v>
      </c>
      <c r="K87" s="37">
        <f t="shared" si="32"/>
        <v>1156000</v>
      </c>
      <c r="L87" s="37">
        <f t="shared" si="32"/>
        <v>1167000</v>
      </c>
      <c r="M87" s="37">
        <f t="shared" si="32"/>
        <v>1154000</v>
      </c>
      <c r="N87" s="37">
        <f t="shared" si="32"/>
        <v>1951000</v>
      </c>
      <c r="O87" s="37">
        <f t="shared" si="32"/>
        <v>1150000</v>
      </c>
      <c r="P87" s="37">
        <f t="shared" si="32"/>
        <v>70000</v>
      </c>
      <c r="Q87" s="37">
        <f t="shared" si="32"/>
        <v>82000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0</v>
      </c>
      <c r="E88" s="108" t="s">
        <v>193</v>
      </c>
      <c r="F88" s="108">
        <f>ROUND($D88/2,-3)</f>
        <v>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16720000</v>
      </c>
      <c r="E91" s="108"/>
      <c r="F91" s="108">
        <f>F92+F93+F94+F95</f>
        <v>5156000</v>
      </c>
      <c r="G91" s="108">
        <f t="shared" ref="G91:Q91" si="34">G92+G93+G94+G95</f>
        <v>1154000</v>
      </c>
      <c r="H91" s="108">
        <f t="shared" si="34"/>
        <v>1175000</v>
      </c>
      <c r="I91" s="108">
        <f t="shared" si="34"/>
        <v>1352000</v>
      </c>
      <c r="J91" s="108">
        <f t="shared" si="34"/>
        <v>1154000</v>
      </c>
      <c r="K91" s="108">
        <f t="shared" si="34"/>
        <v>1156000</v>
      </c>
      <c r="L91" s="108">
        <f t="shared" si="34"/>
        <v>1167000</v>
      </c>
      <c r="M91" s="108">
        <f t="shared" si="34"/>
        <v>1154000</v>
      </c>
      <c r="N91" s="108">
        <f t="shared" si="34"/>
        <v>1951000</v>
      </c>
      <c r="O91" s="108">
        <f t="shared" si="34"/>
        <v>1150000</v>
      </c>
      <c r="P91" s="108">
        <f t="shared" si="34"/>
        <v>70000</v>
      </c>
      <c r="Q91" s="108">
        <f t="shared" si="34"/>
        <v>81000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650000</v>
      </c>
      <c r="E92" s="114" t="s">
        <v>537</v>
      </c>
      <c r="F92" s="37">
        <f>ROUND($D92/12*5,-3)</f>
        <v>271000</v>
      </c>
      <c r="G92" s="37">
        <f>ROUND($D92/12,-3)</f>
        <v>54000</v>
      </c>
      <c r="H92" s="37">
        <f t="shared" ref="H92:L92" si="35">ROUND($D92/12,-3)</f>
        <v>54000</v>
      </c>
      <c r="I92" s="37">
        <f t="shared" si="35"/>
        <v>54000</v>
      </c>
      <c r="J92" s="37">
        <f t="shared" si="35"/>
        <v>54000</v>
      </c>
      <c r="K92" s="37">
        <f t="shared" si="35"/>
        <v>54000</v>
      </c>
      <c r="L92" s="37">
        <f t="shared" si="35"/>
        <v>54000</v>
      </c>
      <c r="M92" s="37">
        <f>D92-SUM(F92:L92)</f>
        <v>55000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77000</v>
      </c>
      <c r="E93" s="189" t="s">
        <v>227</v>
      </c>
      <c r="F93" s="37">
        <f>ROUND($D93/12,-3)</f>
        <v>6000</v>
      </c>
      <c r="G93" s="37">
        <f t="shared" ref="G93:P93" si="36">ROUND($D93/12,-3)</f>
        <v>6000</v>
      </c>
      <c r="H93" s="37">
        <f t="shared" si="36"/>
        <v>6000</v>
      </c>
      <c r="I93" s="37">
        <f t="shared" si="36"/>
        <v>6000</v>
      </c>
      <c r="J93" s="37">
        <f t="shared" si="36"/>
        <v>6000</v>
      </c>
      <c r="K93" s="37">
        <f t="shared" si="36"/>
        <v>6000</v>
      </c>
      <c r="L93" s="37">
        <f t="shared" si="36"/>
        <v>6000</v>
      </c>
      <c r="M93" s="37">
        <f t="shared" si="36"/>
        <v>6000</v>
      </c>
      <c r="N93" s="37">
        <f t="shared" si="36"/>
        <v>6000</v>
      </c>
      <c r="O93" s="37">
        <f t="shared" si="36"/>
        <v>6000</v>
      </c>
      <c r="P93" s="37">
        <f t="shared" si="36"/>
        <v>6000</v>
      </c>
      <c r="Q93" s="37">
        <f>D93-SUM(F93:P93)</f>
        <v>11000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15993000</v>
      </c>
      <c r="E95" s="37"/>
      <c r="F95" s="37">
        <f>F2+F86-F88-F89-F90-F92-F93-F94</f>
        <v>4879000</v>
      </c>
      <c r="G95" s="37">
        <f t="shared" ref="G95:Q95" si="37">G2-G88-G89-G90-G92-G93-G94</f>
        <v>1094000</v>
      </c>
      <c r="H95" s="37">
        <f t="shared" si="37"/>
        <v>1115000</v>
      </c>
      <c r="I95" s="37">
        <f t="shared" si="37"/>
        <v>1292000</v>
      </c>
      <c r="J95" s="37">
        <f t="shared" si="37"/>
        <v>1094000</v>
      </c>
      <c r="K95" s="37">
        <f t="shared" si="37"/>
        <v>1096000</v>
      </c>
      <c r="L95" s="37">
        <f t="shared" si="37"/>
        <v>1107000</v>
      </c>
      <c r="M95" s="37">
        <f t="shared" si="37"/>
        <v>1093000</v>
      </c>
      <c r="N95" s="37">
        <f t="shared" si="37"/>
        <v>1945000</v>
      </c>
      <c r="O95" s="37">
        <f t="shared" si="37"/>
        <v>1144000</v>
      </c>
      <c r="P95" s="37">
        <f t="shared" si="37"/>
        <v>64000</v>
      </c>
      <c r="Q95" s="37">
        <f t="shared" si="37"/>
        <v>70000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0</v>
      </c>
    </row>
    <row r="102" spans="2:17" ht="32.4">
      <c r="B102" s="71" t="s">
        <v>238</v>
      </c>
      <c r="D102" s="30">
        <f>HLOOKUP(D1,[1]縣庫撥款收入明細表!H:DD,16,FALSE)</f>
        <v>72000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0</v>
      </c>
    </row>
    <row r="106" spans="2:17" ht="32.4">
      <c r="B106" s="71" t="s">
        <v>241</v>
      </c>
      <c r="D106" s="30">
        <f>HLOOKUP(D1,[1]縣庫撥款收入明細表!H:DD,20,FALSE)</f>
        <v>5000</v>
      </c>
    </row>
    <row r="107" spans="2:17" ht="32.4">
      <c r="B107" s="77" t="s">
        <v>242</v>
      </c>
      <c r="D107" s="30">
        <f>HLOOKUP(D1,[1]縣庫撥款收入明細表!H:DD,21,FALSE)</f>
        <v>15993000</v>
      </c>
    </row>
    <row r="108" spans="2:17" ht="16.5" customHeight="1"/>
    <row r="109" spans="2:17" ht="16.5" customHeight="1">
      <c r="B109" s="4" t="s">
        <v>682</v>
      </c>
      <c r="D109" s="30">
        <f>D91-D76</f>
        <v>15811000</v>
      </c>
      <c r="F109" s="30">
        <f>F91-F76</f>
        <v>4929000</v>
      </c>
      <c r="G109" s="30">
        <f t="shared" ref="G109:Q109" si="38">G91-G76</f>
        <v>1078000</v>
      </c>
      <c r="H109" s="30">
        <f t="shared" si="38"/>
        <v>1099000</v>
      </c>
      <c r="I109" s="30">
        <f t="shared" si="38"/>
        <v>1276000</v>
      </c>
      <c r="J109" s="30">
        <f t="shared" si="38"/>
        <v>1078000</v>
      </c>
      <c r="K109" s="30">
        <f t="shared" si="38"/>
        <v>1080000</v>
      </c>
      <c r="L109" s="30">
        <f t="shared" si="38"/>
        <v>1091000</v>
      </c>
      <c r="M109" s="30">
        <f t="shared" si="38"/>
        <v>1078000</v>
      </c>
      <c r="N109" s="30">
        <f t="shared" si="38"/>
        <v>1875000</v>
      </c>
      <c r="O109" s="30">
        <f t="shared" si="38"/>
        <v>1076000</v>
      </c>
      <c r="P109" s="30">
        <f t="shared" si="38"/>
        <v>70000</v>
      </c>
      <c r="Q109" s="30">
        <f t="shared" si="38"/>
        <v>81000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4" priority="1" operator="lessThan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activeCell="D109" sqref="D109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601</v>
      </c>
      <c r="D1" s="240" t="str">
        <f>VLOOKUP(C1,學校編號!A:B,2,FALSE)</f>
        <v>601明禮國小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54750000</v>
      </c>
      <c r="E2" s="37"/>
      <c r="F2" s="37">
        <f>F48+F70+F76+F77+F83</f>
        <v>15784000</v>
      </c>
      <c r="G2" s="37">
        <f t="shared" ref="G2:Q2" si="0">G48+G70+G76+G77+G83</f>
        <v>3984000</v>
      </c>
      <c r="H2" s="37">
        <f t="shared" si="0"/>
        <v>4121000</v>
      </c>
      <c r="I2" s="37">
        <f t="shared" si="0"/>
        <v>4506000</v>
      </c>
      <c r="J2" s="37">
        <f t="shared" si="0"/>
        <v>3984000</v>
      </c>
      <c r="K2" s="37">
        <f t="shared" si="0"/>
        <v>3986000</v>
      </c>
      <c r="L2" s="37">
        <f t="shared" si="0"/>
        <v>4022000</v>
      </c>
      <c r="M2" s="37">
        <f t="shared" si="0"/>
        <v>3984000</v>
      </c>
      <c r="N2" s="37">
        <f t="shared" si="0"/>
        <v>6158000</v>
      </c>
      <c r="O2" s="37">
        <f t="shared" si="0"/>
        <v>3984000</v>
      </c>
      <c r="P2" s="37">
        <f t="shared" si="0"/>
        <v>116000</v>
      </c>
      <c r="Q2" s="37">
        <f t="shared" si="0"/>
        <v>121000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283000</v>
      </c>
      <c r="E3" s="37" t="s">
        <v>525</v>
      </c>
      <c r="F3" s="37">
        <f t="shared" ref="F3:P17" si="1">ROUND($D3/12,0)</f>
        <v>23583</v>
      </c>
      <c r="G3" s="37">
        <f t="shared" si="1"/>
        <v>23583</v>
      </c>
      <c r="H3" s="37">
        <f t="shared" si="1"/>
        <v>23583</v>
      </c>
      <c r="I3" s="37">
        <f t="shared" si="1"/>
        <v>23583</v>
      </c>
      <c r="J3" s="37">
        <f t="shared" si="1"/>
        <v>23583</v>
      </c>
      <c r="K3" s="37">
        <f t="shared" si="1"/>
        <v>23583</v>
      </c>
      <c r="L3" s="37">
        <f t="shared" si="1"/>
        <v>23583</v>
      </c>
      <c r="M3" s="37">
        <f t="shared" si="1"/>
        <v>23583</v>
      </c>
      <c r="N3" s="37">
        <f t="shared" si="1"/>
        <v>23583</v>
      </c>
      <c r="O3" s="37">
        <f t="shared" si="1"/>
        <v>23583</v>
      </c>
      <c r="P3" s="37">
        <f t="shared" si="1"/>
        <v>23583</v>
      </c>
      <c r="Q3" s="37">
        <f t="shared" ref="Q3:Q10" si="2">D3-SUM(F3:P3)</f>
        <v>23587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122000</v>
      </c>
      <c r="E4" s="37" t="s">
        <v>525</v>
      </c>
      <c r="F4" s="37">
        <f t="shared" si="1"/>
        <v>10167</v>
      </c>
      <c r="G4" s="37">
        <f t="shared" si="1"/>
        <v>10167</v>
      </c>
      <c r="H4" s="37">
        <f t="shared" si="1"/>
        <v>10167</v>
      </c>
      <c r="I4" s="37">
        <f t="shared" si="1"/>
        <v>10167</v>
      </c>
      <c r="J4" s="37">
        <f t="shared" si="1"/>
        <v>10167</v>
      </c>
      <c r="K4" s="37">
        <f t="shared" si="1"/>
        <v>10167</v>
      </c>
      <c r="L4" s="37">
        <f t="shared" si="1"/>
        <v>10167</v>
      </c>
      <c r="M4" s="37">
        <f t="shared" si="1"/>
        <v>10167</v>
      </c>
      <c r="N4" s="37">
        <f t="shared" si="1"/>
        <v>10167</v>
      </c>
      <c r="O4" s="37">
        <f t="shared" si="1"/>
        <v>10167</v>
      </c>
      <c r="P4" s="37">
        <f t="shared" si="1"/>
        <v>10167</v>
      </c>
      <c r="Q4" s="37">
        <f t="shared" si="2"/>
        <v>10163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70000</v>
      </c>
      <c r="E7" s="37" t="s">
        <v>525</v>
      </c>
      <c r="F7" s="37">
        <f t="shared" si="1"/>
        <v>5833</v>
      </c>
      <c r="G7" s="37">
        <f t="shared" si="1"/>
        <v>5833</v>
      </c>
      <c r="H7" s="37">
        <f t="shared" si="1"/>
        <v>5833</v>
      </c>
      <c r="I7" s="37">
        <f t="shared" si="1"/>
        <v>5833</v>
      </c>
      <c r="J7" s="37">
        <f t="shared" si="1"/>
        <v>5833</v>
      </c>
      <c r="K7" s="37">
        <f t="shared" si="1"/>
        <v>5833</v>
      </c>
      <c r="L7" s="37">
        <f t="shared" si="1"/>
        <v>5833</v>
      </c>
      <c r="M7" s="37">
        <f t="shared" si="1"/>
        <v>5833</v>
      </c>
      <c r="N7" s="37">
        <f t="shared" si="1"/>
        <v>5833</v>
      </c>
      <c r="O7" s="37">
        <f t="shared" si="1"/>
        <v>5833</v>
      </c>
      <c r="P7" s="37">
        <f t="shared" si="1"/>
        <v>5833</v>
      </c>
      <c r="Q7" s="37">
        <f t="shared" si="2"/>
        <v>5837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60000</v>
      </c>
      <c r="E8" s="37" t="s">
        <v>525</v>
      </c>
      <c r="F8" s="37">
        <f t="shared" si="1"/>
        <v>5000</v>
      </c>
      <c r="G8" s="37">
        <f t="shared" si="1"/>
        <v>5000</v>
      </c>
      <c r="H8" s="37">
        <f t="shared" si="1"/>
        <v>5000</v>
      </c>
      <c r="I8" s="37">
        <f t="shared" si="1"/>
        <v>5000</v>
      </c>
      <c r="J8" s="37">
        <f t="shared" si="1"/>
        <v>5000</v>
      </c>
      <c r="K8" s="37">
        <f t="shared" si="1"/>
        <v>5000</v>
      </c>
      <c r="L8" s="37">
        <f t="shared" si="1"/>
        <v>5000</v>
      </c>
      <c r="M8" s="37">
        <f t="shared" si="1"/>
        <v>5000</v>
      </c>
      <c r="N8" s="37">
        <f t="shared" si="1"/>
        <v>5000</v>
      </c>
      <c r="O8" s="37">
        <f t="shared" si="1"/>
        <v>5000</v>
      </c>
      <c r="P8" s="37">
        <f t="shared" si="1"/>
        <v>5000</v>
      </c>
      <c r="Q8" s="37">
        <f t="shared" si="2"/>
        <v>5000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3000</v>
      </c>
      <c r="E9" s="37" t="s">
        <v>525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164000</v>
      </c>
      <c r="E13" s="37" t="s">
        <v>525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58000</v>
      </c>
      <c r="E15" s="37" t="s">
        <v>193</v>
      </c>
      <c r="F15" s="37">
        <f>ROUND($D15/2,-3)</f>
        <v>29000</v>
      </c>
      <c r="G15" s="37"/>
      <c r="H15" s="37"/>
      <c r="I15" s="37"/>
      <c r="J15" s="37"/>
      <c r="K15" s="37"/>
      <c r="L15" s="37">
        <f>D15-F15</f>
        <v>29000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60000</v>
      </c>
      <c r="E16" s="37" t="s">
        <v>525</v>
      </c>
      <c r="F16" s="37">
        <f>ROUND($D16/12,0)</f>
        <v>5000</v>
      </c>
      <c r="G16" s="37">
        <f t="shared" si="1"/>
        <v>5000</v>
      </c>
      <c r="H16" s="37">
        <f t="shared" si="1"/>
        <v>5000</v>
      </c>
      <c r="I16" s="37">
        <f t="shared" si="1"/>
        <v>5000</v>
      </c>
      <c r="J16" s="37">
        <f t="shared" si="1"/>
        <v>5000</v>
      </c>
      <c r="K16" s="37">
        <f t="shared" si="1"/>
        <v>5000</v>
      </c>
      <c r="L16" s="37">
        <f t="shared" si="1"/>
        <v>5000</v>
      </c>
      <c r="M16" s="37">
        <f t="shared" si="1"/>
        <v>5000</v>
      </c>
      <c r="N16" s="37">
        <f t="shared" si="1"/>
        <v>5000</v>
      </c>
      <c r="O16" s="37">
        <f t="shared" si="1"/>
        <v>5000</v>
      </c>
      <c r="P16" s="37">
        <f t="shared" si="1"/>
        <v>5000</v>
      </c>
      <c r="Q16" s="37">
        <f>D16-SUM(F16:P16)</f>
        <v>5000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54000</v>
      </c>
      <c r="E17" s="37" t="s">
        <v>525</v>
      </c>
      <c r="F17" s="37">
        <f>ROUND($D17/12,0)</f>
        <v>4500</v>
      </c>
      <c r="G17" s="37">
        <f t="shared" si="1"/>
        <v>4500</v>
      </c>
      <c r="H17" s="37">
        <f t="shared" si="1"/>
        <v>4500</v>
      </c>
      <c r="I17" s="37">
        <f t="shared" si="1"/>
        <v>4500</v>
      </c>
      <c r="J17" s="37">
        <f t="shared" si="1"/>
        <v>4500</v>
      </c>
      <c r="K17" s="37">
        <f t="shared" si="1"/>
        <v>4500</v>
      </c>
      <c r="L17" s="37">
        <f t="shared" si="1"/>
        <v>4500</v>
      </c>
      <c r="M17" s="37">
        <f t="shared" si="1"/>
        <v>4500</v>
      </c>
      <c r="N17" s="37">
        <f t="shared" si="1"/>
        <v>4500</v>
      </c>
      <c r="O17" s="37">
        <f t="shared" si="1"/>
        <v>4500</v>
      </c>
      <c r="P17" s="37">
        <f t="shared" si="1"/>
        <v>4500</v>
      </c>
      <c r="Q17" s="37">
        <f>D17-SUM(F17:P17)</f>
        <v>4500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14000</v>
      </c>
      <c r="E24" s="37" t="s">
        <v>193</v>
      </c>
      <c r="F24" s="37">
        <f>ROUND($D24/2,-3)</f>
        <v>7000</v>
      </c>
      <c r="G24" s="37"/>
      <c r="H24" s="37"/>
      <c r="I24" s="37"/>
      <c r="J24" s="37"/>
      <c r="K24" s="37"/>
      <c r="L24" s="37">
        <f>D24-F24</f>
        <v>7000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948000</v>
      </c>
      <c r="E25" s="108"/>
      <c r="F25" s="108">
        <f>ROUND(SUM(F3:F24),-3)</f>
        <v>109000</v>
      </c>
      <c r="G25" s="108">
        <f t="shared" ref="G25:P25" si="5">ROUND(SUM(G3:G24),-3)</f>
        <v>73000</v>
      </c>
      <c r="H25" s="108">
        <f t="shared" si="5"/>
        <v>73000</v>
      </c>
      <c r="I25" s="108">
        <f t="shared" si="5"/>
        <v>73000</v>
      </c>
      <c r="J25" s="108">
        <f t="shared" si="5"/>
        <v>73000</v>
      </c>
      <c r="K25" s="108">
        <f t="shared" si="5"/>
        <v>73000</v>
      </c>
      <c r="L25" s="108">
        <f t="shared" si="5"/>
        <v>109000</v>
      </c>
      <c r="M25" s="108">
        <f t="shared" si="5"/>
        <v>73000</v>
      </c>
      <c r="N25" s="108">
        <f t="shared" si="5"/>
        <v>73000</v>
      </c>
      <c r="O25" s="108">
        <f t="shared" si="5"/>
        <v>73000</v>
      </c>
      <c r="P25" s="108">
        <f t="shared" si="5"/>
        <v>73000</v>
      </c>
      <c r="Q25" s="108">
        <f t="shared" ref="Q25:Q33" si="6">D25-SUM(F25:P25)</f>
        <v>73000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308000</v>
      </c>
      <c r="E27" s="37" t="s">
        <v>525</v>
      </c>
      <c r="F27" s="37">
        <f t="shared" ref="F27:P33" si="8">ROUND($D27/12,0)</f>
        <v>25667</v>
      </c>
      <c r="G27" s="37">
        <f t="shared" si="8"/>
        <v>25667</v>
      </c>
      <c r="H27" s="37">
        <f t="shared" si="8"/>
        <v>25667</v>
      </c>
      <c r="I27" s="37">
        <f t="shared" si="8"/>
        <v>25667</v>
      </c>
      <c r="J27" s="37">
        <f t="shared" si="8"/>
        <v>25667</v>
      </c>
      <c r="K27" s="37">
        <f t="shared" si="8"/>
        <v>25667</v>
      </c>
      <c r="L27" s="37">
        <f t="shared" si="8"/>
        <v>25667</v>
      </c>
      <c r="M27" s="37">
        <f t="shared" si="8"/>
        <v>25667</v>
      </c>
      <c r="N27" s="37">
        <f t="shared" si="8"/>
        <v>25667</v>
      </c>
      <c r="O27" s="37">
        <f t="shared" si="8"/>
        <v>25667</v>
      </c>
      <c r="P27" s="37">
        <f t="shared" si="8"/>
        <v>25667</v>
      </c>
      <c r="Q27" s="37">
        <f t="shared" si="6"/>
        <v>25663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29000</v>
      </c>
      <c r="E29" s="37" t="s">
        <v>525</v>
      </c>
      <c r="F29" s="37">
        <f t="shared" si="8"/>
        <v>2417</v>
      </c>
      <c r="G29" s="37">
        <f t="shared" si="8"/>
        <v>2417</v>
      </c>
      <c r="H29" s="37">
        <f t="shared" si="8"/>
        <v>2417</v>
      </c>
      <c r="I29" s="37">
        <f t="shared" si="8"/>
        <v>2417</v>
      </c>
      <c r="J29" s="37">
        <f t="shared" si="8"/>
        <v>2417</v>
      </c>
      <c r="K29" s="37">
        <f t="shared" si="8"/>
        <v>2417</v>
      </c>
      <c r="L29" s="37">
        <f t="shared" si="8"/>
        <v>2417</v>
      </c>
      <c r="M29" s="37">
        <f t="shared" si="8"/>
        <v>2417</v>
      </c>
      <c r="N29" s="37">
        <f t="shared" si="8"/>
        <v>2417</v>
      </c>
      <c r="O29" s="37">
        <f t="shared" si="8"/>
        <v>2417</v>
      </c>
      <c r="P29" s="37">
        <f t="shared" si="8"/>
        <v>2417</v>
      </c>
      <c r="Q29" s="37">
        <f t="shared" si="6"/>
        <v>2413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43000</v>
      </c>
      <c r="E30" s="37" t="s">
        <v>525</v>
      </c>
      <c r="F30" s="37">
        <f t="shared" si="8"/>
        <v>3583</v>
      </c>
      <c r="G30" s="37">
        <f t="shared" si="8"/>
        <v>3583</v>
      </c>
      <c r="H30" s="37">
        <f t="shared" si="8"/>
        <v>3583</v>
      </c>
      <c r="I30" s="37">
        <f t="shared" si="8"/>
        <v>3583</v>
      </c>
      <c r="J30" s="37">
        <f t="shared" si="8"/>
        <v>3583</v>
      </c>
      <c r="K30" s="37">
        <f t="shared" si="8"/>
        <v>3583</v>
      </c>
      <c r="L30" s="37">
        <f t="shared" si="8"/>
        <v>3583</v>
      </c>
      <c r="M30" s="37">
        <f t="shared" si="8"/>
        <v>3583</v>
      </c>
      <c r="N30" s="37">
        <f t="shared" si="8"/>
        <v>3583</v>
      </c>
      <c r="O30" s="37">
        <f t="shared" si="8"/>
        <v>3583</v>
      </c>
      <c r="P30" s="37">
        <f t="shared" si="8"/>
        <v>3583</v>
      </c>
      <c r="Q30" s="37">
        <f t="shared" si="6"/>
        <v>3587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21000</v>
      </c>
      <c r="E31" s="37" t="s">
        <v>525</v>
      </c>
      <c r="F31" s="37">
        <f t="shared" si="8"/>
        <v>1750</v>
      </c>
      <c r="G31" s="37">
        <f t="shared" si="8"/>
        <v>1750</v>
      </c>
      <c r="H31" s="37">
        <f t="shared" si="8"/>
        <v>1750</v>
      </c>
      <c r="I31" s="37">
        <f t="shared" si="8"/>
        <v>1750</v>
      </c>
      <c r="J31" s="37">
        <f t="shared" si="8"/>
        <v>1750</v>
      </c>
      <c r="K31" s="37">
        <f t="shared" si="8"/>
        <v>1750</v>
      </c>
      <c r="L31" s="37">
        <f t="shared" si="8"/>
        <v>1750</v>
      </c>
      <c r="M31" s="37">
        <f t="shared" si="8"/>
        <v>1750</v>
      </c>
      <c r="N31" s="37">
        <f t="shared" si="8"/>
        <v>1750</v>
      </c>
      <c r="O31" s="37">
        <f t="shared" si="8"/>
        <v>1750</v>
      </c>
      <c r="P31" s="37">
        <f t="shared" si="8"/>
        <v>1750</v>
      </c>
      <c r="Q31" s="37">
        <f t="shared" si="6"/>
        <v>1750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12000</v>
      </c>
      <c r="E32" s="37" t="s">
        <v>525</v>
      </c>
      <c r="F32" s="37">
        <f t="shared" si="8"/>
        <v>1000</v>
      </c>
      <c r="G32" s="37">
        <f t="shared" si="8"/>
        <v>1000</v>
      </c>
      <c r="H32" s="37">
        <f t="shared" si="8"/>
        <v>1000</v>
      </c>
      <c r="I32" s="37">
        <f t="shared" si="8"/>
        <v>1000</v>
      </c>
      <c r="J32" s="37">
        <f t="shared" si="8"/>
        <v>1000</v>
      </c>
      <c r="K32" s="37">
        <f t="shared" si="8"/>
        <v>1000</v>
      </c>
      <c r="L32" s="37">
        <f t="shared" si="8"/>
        <v>1000</v>
      </c>
      <c r="M32" s="37">
        <f t="shared" si="8"/>
        <v>1000</v>
      </c>
      <c r="N32" s="37">
        <f t="shared" si="8"/>
        <v>1000</v>
      </c>
      <c r="O32" s="37">
        <f t="shared" si="8"/>
        <v>1000</v>
      </c>
      <c r="P32" s="37">
        <f t="shared" si="8"/>
        <v>1000</v>
      </c>
      <c r="Q32" s="37">
        <f t="shared" si="6"/>
        <v>1000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8000</v>
      </c>
      <c r="E33" s="37" t="s">
        <v>525</v>
      </c>
      <c r="F33" s="37">
        <f t="shared" si="8"/>
        <v>667</v>
      </c>
      <c r="G33" s="37">
        <f t="shared" si="8"/>
        <v>667</v>
      </c>
      <c r="H33" s="37">
        <f t="shared" si="8"/>
        <v>667</v>
      </c>
      <c r="I33" s="37">
        <f t="shared" si="8"/>
        <v>667</v>
      </c>
      <c r="J33" s="37">
        <f t="shared" si="8"/>
        <v>667</v>
      </c>
      <c r="K33" s="37">
        <f t="shared" si="8"/>
        <v>667</v>
      </c>
      <c r="L33" s="37">
        <f t="shared" si="8"/>
        <v>667</v>
      </c>
      <c r="M33" s="37">
        <f t="shared" si="8"/>
        <v>667</v>
      </c>
      <c r="N33" s="37">
        <f t="shared" si="8"/>
        <v>667</v>
      </c>
      <c r="O33" s="37">
        <f t="shared" si="8"/>
        <v>667</v>
      </c>
      <c r="P33" s="37">
        <f t="shared" si="8"/>
        <v>667</v>
      </c>
      <c r="Q33" s="37">
        <f t="shared" si="6"/>
        <v>663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4000</v>
      </c>
      <c r="E36" s="37" t="s">
        <v>193</v>
      </c>
      <c r="F36" s="37">
        <f>ROUND($D36/2,-3)</f>
        <v>2000</v>
      </c>
      <c r="G36" s="37"/>
      <c r="H36" s="37"/>
      <c r="I36" s="37"/>
      <c r="J36" s="37"/>
      <c r="K36" s="37"/>
      <c r="L36" s="37">
        <f>D36-F36</f>
        <v>2000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425000</v>
      </c>
      <c r="E37" s="108"/>
      <c r="F37" s="108">
        <f t="shared" ref="F37:P37" si="9">ROUND(SUM(F26:F36),-3)</f>
        <v>37000</v>
      </c>
      <c r="G37" s="108">
        <f t="shared" si="9"/>
        <v>35000</v>
      </c>
      <c r="H37" s="108">
        <f t="shared" si="9"/>
        <v>35000</v>
      </c>
      <c r="I37" s="108">
        <f t="shared" si="9"/>
        <v>35000</v>
      </c>
      <c r="J37" s="108">
        <f t="shared" si="9"/>
        <v>35000</v>
      </c>
      <c r="K37" s="108">
        <f t="shared" si="9"/>
        <v>35000</v>
      </c>
      <c r="L37" s="108">
        <f t="shared" si="9"/>
        <v>37000</v>
      </c>
      <c r="M37" s="108">
        <f t="shared" si="9"/>
        <v>35000</v>
      </c>
      <c r="N37" s="108">
        <f t="shared" si="9"/>
        <v>35000</v>
      </c>
      <c r="O37" s="108">
        <f t="shared" si="9"/>
        <v>35000</v>
      </c>
      <c r="P37" s="108">
        <f t="shared" si="9"/>
        <v>35000</v>
      </c>
      <c r="Q37" s="108">
        <f>D37-SUM(F37:P37)</f>
        <v>36000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1379000</v>
      </c>
      <c r="E48" s="37"/>
      <c r="F48" s="115">
        <f>F25+F37+F45+F47</f>
        <v>148000</v>
      </c>
      <c r="G48" s="115">
        <f t="shared" ref="G48:R48" si="14">G25+G37+G45+G47</f>
        <v>108000</v>
      </c>
      <c r="H48" s="115">
        <f t="shared" si="14"/>
        <v>108000</v>
      </c>
      <c r="I48" s="115">
        <f t="shared" si="14"/>
        <v>108000</v>
      </c>
      <c r="J48" s="115">
        <f t="shared" si="14"/>
        <v>108000</v>
      </c>
      <c r="K48" s="115">
        <f t="shared" si="14"/>
        <v>110000</v>
      </c>
      <c r="L48" s="115">
        <f t="shared" si="14"/>
        <v>146000</v>
      </c>
      <c r="M48" s="115">
        <f t="shared" si="14"/>
        <v>108000</v>
      </c>
      <c r="N48" s="115">
        <f t="shared" si="14"/>
        <v>110000</v>
      </c>
      <c r="O48" s="115">
        <f t="shared" si="14"/>
        <v>108000</v>
      </c>
      <c r="P48" s="115">
        <f t="shared" si="14"/>
        <v>108000</v>
      </c>
      <c r="Q48" s="115">
        <f t="shared" si="14"/>
        <v>109000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24165000</v>
      </c>
      <c r="E49" s="114" t="s">
        <v>202</v>
      </c>
      <c r="F49" s="37">
        <f>ROUND($D49/12*3,-3)</f>
        <v>6041000</v>
      </c>
      <c r="G49" s="37">
        <f>ROUND($D49/12,-3)</f>
        <v>2014000</v>
      </c>
      <c r="H49" s="37">
        <f t="shared" ref="H49:N53" si="15">ROUND($D49/12,-3)</f>
        <v>2014000</v>
      </c>
      <c r="I49" s="37">
        <f t="shared" si="15"/>
        <v>2014000</v>
      </c>
      <c r="J49" s="37">
        <f t="shared" si="15"/>
        <v>2014000</v>
      </c>
      <c r="K49" s="37">
        <f t="shared" si="15"/>
        <v>2014000</v>
      </c>
      <c r="L49" s="37">
        <f t="shared" si="15"/>
        <v>2014000</v>
      </c>
      <c r="M49" s="37">
        <f t="shared" si="15"/>
        <v>2014000</v>
      </c>
      <c r="N49" s="37">
        <f t="shared" si="15"/>
        <v>2014000</v>
      </c>
      <c r="O49" s="37">
        <f>D49-SUM(F49:N49)</f>
        <v>2012000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3181000</v>
      </c>
      <c r="E51" s="114" t="s">
        <v>202</v>
      </c>
      <c r="F51" s="37">
        <f t="shared" si="16"/>
        <v>795000</v>
      </c>
      <c r="G51" s="37">
        <f t="shared" si="17"/>
        <v>265000</v>
      </c>
      <c r="H51" s="37">
        <f t="shared" si="15"/>
        <v>265000</v>
      </c>
      <c r="I51" s="37">
        <f t="shared" si="15"/>
        <v>265000</v>
      </c>
      <c r="J51" s="37">
        <f t="shared" si="15"/>
        <v>265000</v>
      </c>
      <c r="K51" s="37">
        <f t="shared" si="15"/>
        <v>265000</v>
      </c>
      <c r="L51" s="37">
        <f t="shared" si="15"/>
        <v>265000</v>
      </c>
      <c r="M51" s="37">
        <f t="shared" si="15"/>
        <v>265000</v>
      </c>
      <c r="N51" s="37">
        <f t="shared" si="15"/>
        <v>265000</v>
      </c>
      <c r="O51" s="37">
        <f t="shared" si="18"/>
        <v>266000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797000</v>
      </c>
      <c r="E52" s="114" t="s">
        <v>202</v>
      </c>
      <c r="F52" s="37">
        <f t="shared" si="16"/>
        <v>199000</v>
      </c>
      <c r="G52" s="37">
        <f t="shared" si="17"/>
        <v>66000</v>
      </c>
      <c r="H52" s="37">
        <f t="shared" si="15"/>
        <v>66000</v>
      </c>
      <c r="I52" s="37">
        <f t="shared" si="15"/>
        <v>66000</v>
      </c>
      <c r="J52" s="37">
        <f t="shared" si="15"/>
        <v>66000</v>
      </c>
      <c r="K52" s="37">
        <f t="shared" si="15"/>
        <v>66000</v>
      </c>
      <c r="L52" s="37">
        <f t="shared" si="15"/>
        <v>66000</v>
      </c>
      <c r="M52" s="37">
        <f t="shared" si="15"/>
        <v>66000</v>
      </c>
      <c r="N52" s="37">
        <f t="shared" si="15"/>
        <v>66000</v>
      </c>
      <c r="O52" s="37">
        <f t="shared" si="18"/>
        <v>70000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76000</v>
      </c>
      <c r="E54" s="37" t="s">
        <v>525</v>
      </c>
      <c r="F54" s="37">
        <f t="shared" ref="F54:P61" si="19">ROUND($D54/12,0)</f>
        <v>6333</v>
      </c>
      <c r="G54" s="37">
        <f t="shared" si="19"/>
        <v>6333</v>
      </c>
      <c r="H54" s="37">
        <f t="shared" si="19"/>
        <v>6333</v>
      </c>
      <c r="I54" s="37">
        <f t="shared" si="19"/>
        <v>6333</v>
      </c>
      <c r="J54" s="37">
        <f t="shared" si="19"/>
        <v>6333</v>
      </c>
      <c r="K54" s="37">
        <f t="shared" si="19"/>
        <v>6333</v>
      </c>
      <c r="L54" s="37">
        <f t="shared" si="19"/>
        <v>6333</v>
      </c>
      <c r="M54" s="37">
        <f t="shared" si="19"/>
        <v>6333</v>
      </c>
      <c r="N54" s="37">
        <f t="shared" si="19"/>
        <v>6333</v>
      </c>
      <c r="O54" s="37">
        <f t="shared" si="19"/>
        <v>6333</v>
      </c>
      <c r="P54" s="37">
        <f t="shared" si="19"/>
        <v>6333</v>
      </c>
      <c r="Q54" s="37">
        <f t="shared" ref="Q54:Q61" si="20">D54-SUM(F54:P54)</f>
        <v>6337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376000</v>
      </c>
      <c r="E60" s="37" t="s">
        <v>195</v>
      </c>
      <c r="F60" s="37">
        <f>D60</f>
        <v>376000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2612000</v>
      </c>
      <c r="E62" s="37" t="s">
        <v>197</v>
      </c>
      <c r="F62" s="37"/>
      <c r="G62" s="37"/>
      <c r="H62" s="37"/>
      <c r="I62" s="37">
        <f>ROUND($D62/5,-3)</f>
        <v>522000</v>
      </c>
      <c r="J62" s="37"/>
      <c r="K62" s="37"/>
      <c r="L62" s="37"/>
      <c r="M62" s="37"/>
      <c r="N62" s="37">
        <f>D62-I62</f>
        <v>2090000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2939000</v>
      </c>
      <c r="E63" s="37" t="s">
        <v>195</v>
      </c>
      <c r="F63" s="37">
        <f>D63</f>
        <v>2939000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2620000</v>
      </c>
      <c r="E64" s="114" t="s">
        <v>202</v>
      </c>
      <c r="F64" s="37">
        <f>ROUND($D64/12*3,-3)</f>
        <v>655000</v>
      </c>
      <c r="G64" s="37">
        <f>ROUND($D64/12,-3)</f>
        <v>218000</v>
      </c>
      <c r="H64" s="37">
        <f t="shared" ref="H64:N66" si="21">ROUND($D64/12,-3)</f>
        <v>218000</v>
      </c>
      <c r="I64" s="37">
        <f t="shared" si="21"/>
        <v>218000</v>
      </c>
      <c r="J64" s="37">
        <f t="shared" si="21"/>
        <v>218000</v>
      </c>
      <c r="K64" s="37">
        <f t="shared" si="21"/>
        <v>218000</v>
      </c>
      <c r="L64" s="37">
        <f t="shared" si="21"/>
        <v>218000</v>
      </c>
      <c r="M64" s="37">
        <f t="shared" si="21"/>
        <v>218000</v>
      </c>
      <c r="N64" s="37">
        <f t="shared" si="21"/>
        <v>218000</v>
      </c>
      <c r="O64" s="37">
        <f>D64-SUM(F64:N64)</f>
        <v>221000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621000</v>
      </c>
      <c r="E65" s="114" t="s">
        <v>202</v>
      </c>
      <c r="F65" s="37">
        <f t="shared" ref="F65:F66" si="22">ROUND($D65/12*3,-3)</f>
        <v>155000</v>
      </c>
      <c r="G65" s="37">
        <f t="shared" ref="G65:G66" si="23">ROUND($D65/12,-3)</f>
        <v>52000</v>
      </c>
      <c r="H65" s="37">
        <f t="shared" si="21"/>
        <v>52000</v>
      </c>
      <c r="I65" s="37">
        <f t="shared" si="21"/>
        <v>52000</v>
      </c>
      <c r="J65" s="37">
        <f t="shared" si="21"/>
        <v>52000</v>
      </c>
      <c r="K65" s="37">
        <f t="shared" si="21"/>
        <v>52000</v>
      </c>
      <c r="L65" s="37">
        <f t="shared" si="21"/>
        <v>52000</v>
      </c>
      <c r="M65" s="37">
        <f t="shared" si="21"/>
        <v>52000</v>
      </c>
      <c r="N65" s="37">
        <f t="shared" si="21"/>
        <v>52000</v>
      </c>
      <c r="O65" s="37">
        <f t="shared" ref="O65:O66" si="24">D65-SUM(F65:N65)</f>
        <v>50000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1686000</v>
      </c>
      <c r="E66" s="114" t="s">
        <v>202</v>
      </c>
      <c r="F66" s="37">
        <f t="shared" si="22"/>
        <v>422000</v>
      </c>
      <c r="G66" s="37">
        <f t="shared" si="23"/>
        <v>141000</v>
      </c>
      <c r="H66" s="37">
        <f t="shared" si="21"/>
        <v>141000</v>
      </c>
      <c r="I66" s="37">
        <f t="shared" si="21"/>
        <v>141000</v>
      </c>
      <c r="J66" s="37">
        <f t="shared" si="21"/>
        <v>141000</v>
      </c>
      <c r="K66" s="37">
        <f t="shared" si="21"/>
        <v>141000</v>
      </c>
      <c r="L66" s="37">
        <f t="shared" si="21"/>
        <v>141000</v>
      </c>
      <c r="M66" s="37">
        <f t="shared" si="21"/>
        <v>141000</v>
      </c>
      <c r="N66" s="37">
        <f t="shared" si="21"/>
        <v>141000</v>
      </c>
      <c r="O66" s="37">
        <f t="shared" si="24"/>
        <v>136000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54000</v>
      </c>
      <c r="E67" s="37" t="s">
        <v>196</v>
      </c>
      <c r="F67" s="37"/>
      <c r="G67" s="37"/>
      <c r="H67" s="37">
        <f>D67</f>
        <v>54000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112000</v>
      </c>
      <c r="E68" s="37" t="s">
        <v>195</v>
      </c>
      <c r="F68" s="37">
        <f>D68</f>
        <v>112000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39263000</v>
      </c>
      <c r="E70" s="108"/>
      <c r="F70" s="108">
        <f t="shared" ref="F70:P70" si="25">ROUND(SUM(F49:F69),-3)</f>
        <v>11702000</v>
      </c>
      <c r="G70" s="108">
        <f t="shared" si="25"/>
        <v>2764000</v>
      </c>
      <c r="H70" s="108">
        <f t="shared" si="25"/>
        <v>2818000</v>
      </c>
      <c r="I70" s="108">
        <f t="shared" si="25"/>
        <v>3286000</v>
      </c>
      <c r="J70" s="108">
        <f t="shared" si="25"/>
        <v>2764000</v>
      </c>
      <c r="K70" s="108">
        <f t="shared" si="25"/>
        <v>2764000</v>
      </c>
      <c r="L70" s="108">
        <f t="shared" si="25"/>
        <v>2764000</v>
      </c>
      <c r="M70" s="108">
        <f t="shared" si="25"/>
        <v>2764000</v>
      </c>
      <c r="N70" s="108">
        <f t="shared" si="25"/>
        <v>4854000</v>
      </c>
      <c r="O70" s="108">
        <f t="shared" si="25"/>
        <v>2763000</v>
      </c>
      <c r="P70" s="108">
        <f t="shared" si="25"/>
        <v>8000</v>
      </c>
      <c r="Q70" s="108">
        <f>D70-SUM(F70:P70)</f>
        <v>12000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12284000</v>
      </c>
      <c r="E72" s="114" t="s">
        <v>202</v>
      </c>
      <c r="F72" s="37">
        <f>ROUND($D72/12*3,-3)</f>
        <v>3071000</v>
      </c>
      <c r="G72" s="37">
        <f>ROUND($D72/12,-3)</f>
        <v>1024000</v>
      </c>
      <c r="H72" s="37">
        <f t="shared" ref="H72:N75" si="26">ROUND($D72/12,-3)</f>
        <v>1024000</v>
      </c>
      <c r="I72" s="37">
        <f t="shared" si="26"/>
        <v>1024000</v>
      </c>
      <c r="J72" s="37">
        <f t="shared" si="26"/>
        <v>1024000</v>
      </c>
      <c r="K72" s="37">
        <f t="shared" si="26"/>
        <v>1024000</v>
      </c>
      <c r="L72" s="37">
        <f t="shared" si="26"/>
        <v>1024000</v>
      </c>
      <c r="M72" s="37">
        <f t="shared" si="26"/>
        <v>1024000</v>
      </c>
      <c r="N72" s="37">
        <f t="shared" si="26"/>
        <v>1024000</v>
      </c>
      <c r="O72" s="37">
        <f>D72-SUM(F72:N72)</f>
        <v>1021000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1061000</v>
      </c>
      <c r="E75" s="114" t="s">
        <v>202</v>
      </c>
      <c r="F75" s="37">
        <f>ROUND($D75/12*3,-3)</f>
        <v>265000</v>
      </c>
      <c r="G75" s="37">
        <f>ROUND($D75/12,-3)</f>
        <v>88000</v>
      </c>
      <c r="H75" s="37">
        <f t="shared" si="26"/>
        <v>88000</v>
      </c>
      <c r="I75" s="37">
        <f t="shared" si="26"/>
        <v>88000</v>
      </c>
      <c r="J75" s="37">
        <f t="shared" si="26"/>
        <v>88000</v>
      </c>
      <c r="K75" s="37">
        <f t="shared" si="26"/>
        <v>88000</v>
      </c>
      <c r="L75" s="37">
        <f t="shared" si="26"/>
        <v>88000</v>
      </c>
      <c r="M75" s="37">
        <f t="shared" si="26"/>
        <v>88000</v>
      </c>
      <c r="N75" s="37">
        <f t="shared" si="26"/>
        <v>88000</v>
      </c>
      <c r="O75" s="37">
        <f>D75-SUM(F75:N75)</f>
        <v>92000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13345000</v>
      </c>
      <c r="E76" s="108"/>
      <c r="F76" s="108">
        <f>ROUND(SUM(F71:F75),-3)</f>
        <v>3336000</v>
      </c>
      <c r="G76" s="108">
        <f t="shared" ref="G76:N76" si="27">ROUND(SUM(G71:G75),-3)</f>
        <v>1112000</v>
      </c>
      <c r="H76" s="108">
        <f t="shared" si="27"/>
        <v>1112000</v>
      </c>
      <c r="I76" s="108">
        <f t="shared" si="27"/>
        <v>1112000</v>
      </c>
      <c r="J76" s="108">
        <f t="shared" si="27"/>
        <v>1112000</v>
      </c>
      <c r="K76" s="108">
        <f t="shared" si="27"/>
        <v>1112000</v>
      </c>
      <c r="L76" s="108">
        <f t="shared" si="27"/>
        <v>1112000</v>
      </c>
      <c r="M76" s="108">
        <f t="shared" si="27"/>
        <v>1112000</v>
      </c>
      <c r="N76" s="108">
        <f t="shared" si="27"/>
        <v>1112000</v>
      </c>
      <c r="O76" s="108">
        <f>D76-SUM(F76:N76)</f>
        <v>1113000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165000</v>
      </c>
      <c r="E77" s="37" t="s">
        <v>681</v>
      </c>
      <c r="F77" s="224"/>
      <c r="G77" s="224"/>
      <c r="H77" s="224">
        <f>ROUND($D77/2,-3)</f>
        <v>83000</v>
      </c>
      <c r="I77" s="224"/>
      <c r="J77" s="224"/>
      <c r="K77" s="224"/>
      <c r="L77" s="224"/>
      <c r="M77" s="224"/>
      <c r="N77" s="224">
        <f>D77-H77</f>
        <v>82000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52773000</v>
      </c>
      <c r="E78" s="227"/>
      <c r="F78" s="227">
        <f>F76+F70+F77</f>
        <v>15038000</v>
      </c>
      <c r="G78" s="227">
        <f t="shared" ref="G78:Q78" si="29">G76+G70+G77</f>
        <v>3876000</v>
      </c>
      <c r="H78" s="227">
        <f t="shared" si="29"/>
        <v>4013000</v>
      </c>
      <c r="I78" s="227">
        <f t="shared" si="29"/>
        <v>4398000</v>
      </c>
      <c r="J78" s="227">
        <f t="shared" si="29"/>
        <v>3876000</v>
      </c>
      <c r="K78" s="227">
        <f t="shared" si="29"/>
        <v>3876000</v>
      </c>
      <c r="L78" s="227">
        <f t="shared" si="29"/>
        <v>3876000</v>
      </c>
      <c r="M78" s="227">
        <f t="shared" si="29"/>
        <v>3876000</v>
      </c>
      <c r="N78" s="227">
        <f t="shared" si="29"/>
        <v>6048000</v>
      </c>
      <c r="O78" s="227">
        <f t="shared" si="29"/>
        <v>3876000</v>
      </c>
      <c r="P78" s="227">
        <f t="shared" si="29"/>
        <v>8000</v>
      </c>
      <c r="Q78" s="227">
        <f t="shared" si="29"/>
        <v>12000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500000</v>
      </c>
      <c r="E79" s="108" t="s">
        <v>195</v>
      </c>
      <c r="F79" s="108">
        <f>D79</f>
        <v>500000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75000</v>
      </c>
      <c r="E80" s="108" t="s">
        <v>195</v>
      </c>
      <c r="F80" s="108">
        <f t="shared" ref="F80:F82" si="30">D80</f>
        <v>75000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23000</v>
      </c>
      <c r="E81" s="108" t="s">
        <v>195</v>
      </c>
      <c r="F81" s="108">
        <f t="shared" si="30"/>
        <v>23000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598000</v>
      </c>
      <c r="E83" s="116"/>
      <c r="F83" s="116">
        <f>SUM(F79:F82)</f>
        <v>598000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-612000</v>
      </c>
      <c r="E86" s="37"/>
      <c r="F86" s="37">
        <f>D86</f>
        <v>-612000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54138000</v>
      </c>
      <c r="E87" s="37"/>
      <c r="F87" s="37">
        <f>F88+F89+F90+F91</f>
        <v>15172000</v>
      </c>
      <c r="G87" s="37">
        <f t="shared" ref="G87:Q87" si="32">G88+G89+G90+G91</f>
        <v>3984000</v>
      </c>
      <c r="H87" s="37">
        <f t="shared" si="32"/>
        <v>4121000</v>
      </c>
      <c r="I87" s="37">
        <f t="shared" si="32"/>
        <v>4506000</v>
      </c>
      <c r="J87" s="37">
        <f t="shared" si="32"/>
        <v>3984000</v>
      </c>
      <c r="K87" s="37">
        <f t="shared" si="32"/>
        <v>3986000</v>
      </c>
      <c r="L87" s="37">
        <f t="shared" si="32"/>
        <v>4022000</v>
      </c>
      <c r="M87" s="37">
        <f t="shared" si="32"/>
        <v>3984000</v>
      </c>
      <c r="N87" s="37">
        <f t="shared" si="32"/>
        <v>6158000</v>
      </c>
      <c r="O87" s="37">
        <f t="shared" si="32"/>
        <v>3984000</v>
      </c>
      <c r="P87" s="37">
        <f t="shared" si="32"/>
        <v>116000</v>
      </c>
      <c r="Q87" s="37">
        <f t="shared" si="32"/>
        <v>121000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4000</v>
      </c>
      <c r="E88" s="108" t="s">
        <v>193</v>
      </c>
      <c r="F88" s="108">
        <f>ROUND($D88/2,-3)</f>
        <v>2000</v>
      </c>
      <c r="G88" s="108"/>
      <c r="H88" s="108"/>
      <c r="I88" s="108"/>
      <c r="J88" s="108"/>
      <c r="K88" s="108"/>
      <c r="L88" s="108">
        <f>D88-F88</f>
        <v>2000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6000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3000</v>
      </c>
      <c r="M90" s="108"/>
      <c r="N90" s="108"/>
      <c r="O90" s="108"/>
      <c r="P90" s="108"/>
      <c r="Q90" s="108">
        <f>ROUND($D90/2,-3)</f>
        <v>3000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54128000</v>
      </c>
      <c r="E91" s="108"/>
      <c r="F91" s="108">
        <f>F92+F93+F94+F95</f>
        <v>15170000</v>
      </c>
      <c r="G91" s="108">
        <f t="shared" ref="G91:Q91" si="34">G92+G93+G94+G95</f>
        <v>3984000</v>
      </c>
      <c r="H91" s="108">
        <f t="shared" si="34"/>
        <v>4121000</v>
      </c>
      <c r="I91" s="108">
        <f t="shared" si="34"/>
        <v>4506000</v>
      </c>
      <c r="J91" s="108">
        <f t="shared" si="34"/>
        <v>3984000</v>
      </c>
      <c r="K91" s="108">
        <f t="shared" si="34"/>
        <v>3986000</v>
      </c>
      <c r="L91" s="108">
        <f t="shared" si="34"/>
        <v>4017000</v>
      </c>
      <c r="M91" s="108">
        <f t="shared" si="34"/>
        <v>3984000</v>
      </c>
      <c r="N91" s="108">
        <f t="shared" si="34"/>
        <v>6158000</v>
      </c>
      <c r="O91" s="108">
        <f t="shared" si="34"/>
        <v>3984000</v>
      </c>
      <c r="P91" s="108">
        <f t="shared" si="34"/>
        <v>116000</v>
      </c>
      <c r="Q91" s="108">
        <f t="shared" si="34"/>
        <v>118000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5179000</v>
      </c>
      <c r="E92" s="114" t="s">
        <v>537</v>
      </c>
      <c r="F92" s="37">
        <f>ROUND($D92/12*5,-3)</f>
        <v>2158000</v>
      </c>
      <c r="G92" s="37">
        <f>ROUND($D92/12,-3)</f>
        <v>432000</v>
      </c>
      <c r="H92" s="37">
        <f t="shared" ref="H92:L92" si="35">ROUND($D92/12,-3)</f>
        <v>432000</v>
      </c>
      <c r="I92" s="37">
        <f t="shared" si="35"/>
        <v>432000</v>
      </c>
      <c r="J92" s="37">
        <f t="shared" si="35"/>
        <v>432000</v>
      </c>
      <c r="K92" s="37">
        <f t="shared" si="35"/>
        <v>432000</v>
      </c>
      <c r="L92" s="37">
        <f t="shared" si="35"/>
        <v>432000</v>
      </c>
      <c r="M92" s="37">
        <f>D92-SUM(F92:L92)</f>
        <v>429000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254000</v>
      </c>
      <c r="E93" s="109" t="s">
        <v>227</v>
      </c>
      <c r="F93" s="37">
        <f>ROUND($D93/12,-3)</f>
        <v>21000</v>
      </c>
      <c r="G93" s="37">
        <f t="shared" ref="G93:P93" si="36">ROUND($D93/12,-3)</f>
        <v>21000</v>
      </c>
      <c r="H93" s="37">
        <f t="shared" si="36"/>
        <v>21000</v>
      </c>
      <c r="I93" s="37">
        <f t="shared" si="36"/>
        <v>21000</v>
      </c>
      <c r="J93" s="37">
        <f t="shared" si="36"/>
        <v>21000</v>
      </c>
      <c r="K93" s="37">
        <f t="shared" si="36"/>
        <v>21000</v>
      </c>
      <c r="L93" s="37">
        <f t="shared" si="36"/>
        <v>21000</v>
      </c>
      <c r="M93" s="37">
        <f t="shared" si="36"/>
        <v>21000</v>
      </c>
      <c r="N93" s="37">
        <f t="shared" si="36"/>
        <v>21000</v>
      </c>
      <c r="O93" s="37">
        <f t="shared" si="36"/>
        <v>21000</v>
      </c>
      <c r="P93" s="37">
        <f t="shared" si="36"/>
        <v>21000</v>
      </c>
      <c r="Q93" s="37">
        <f>D93-SUM(F93:P93)</f>
        <v>23000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392000</v>
      </c>
      <c r="E94" s="110" t="s">
        <v>229</v>
      </c>
      <c r="F94" s="37"/>
      <c r="G94" s="37"/>
      <c r="H94" s="37">
        <f>ROUND($D94/2,-3)</f>
        <v>196000</v>
      </c>
      <c r="I94" s="37"/>
      <c r="J94" s="37"/>
      <c r="K94" s="37"/>
      <c r="L94" s="37"/>
      <c r="M94" s="37"/>
      <c r="N94" s="37"/>
      <c r="O94" s="37">
        <f>D94-H94</f>
        <v>196000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48303000</v>
      </c>
      <c r="E95" s="37"/>
      <c r="F95" s="37">
        <f>F2+F86-F88-F89-F90-F92-F93-F94</f>
        <v>12991000</v>
      </c>
      <c r="G95" s="37">
        <f t="shared" ref="G95:Q95" si="37">G2-G88-G89-G90-G92-G93-G94</f>
        <v>3531000</v>
      </c>
      <c r="H95" s="37">
        <f t="shared" si="37"/>
        <v>3472000</v>
      </c>
      <c r="I95" s="37">
        <f t="shared" si="37"/>
        <v>4053000</v>
      </c>
      <c r="J95" s="37">
        <f t="shared" si="37"/>
        <v>3531000</v>
      </c>
      <c r="K95" s="37">
        <f t="shared" si="37"/>
        <v>3533000</v>
      </c>
      <c r="L95" s="37">
        <f t="shared" si="37"/>
        <v>3564000</v>
      </c>
      <c r="M95" s="37">
        <f t="shared" si="37"/>
        <v>3534000</v>
      </c>
      <c r="N95" s="37">
        <f t="shared" si="37"/>
        <v>6137000</v>
      </c>
      <c r="O95" s="37">
        <f t="shared" si="37"/>
        <v>3767000</v>
      </c>
      <c r="P95" s="37">
        <f t="shared" si="37"/>
        <v>95000</v>
      </c>
      <c r="Q95" s="37">
        <f t="shared" si="37"/>
        <v>95000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0</v>
      </c>
    </row>
    <row r="99" spans="2:17" ht="32.4">
      <c r="B99" s="72" t="s">
        <v>235</v>
      </c>
      <c r="D99" s="30">
        <f>HLOOKUP(D1,縣庫撥款收入明細表!H:DD,5,FALSE)</f>
        <v>3600000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1579000</v>
      </c>
    </row>
    <row r="102" spans="2:17" ht="32.4">
      <c r="B102" s="71" t="s">
        <v>238</v>
      </c>
      <c r="D102" s="30">
        <f>HLOOKUP(D1,縣庫撥款收入明細表!H:DD,16,FALSE)</f>
        <v>240000</v>
      </c>
    </row>
    <row r="103" spans="2:17" ht="32.4">
      <c r="B103" s="72" t="s">
        <v>239</v>
      </c>
      <c r="D103" s="30">
        <f>HLOOKUP(D1,縣庫撥款收入明細表!H:DD,17,FALSE)</f>
        <v>0</v>
      </c>
    </row>
    <row r="104" spans="2:17" ht="32.4">
      <c r="B104" s="76" t="s">
        <v>240</v>
      </c>
      <c r="D104" s="30">
        <f>HLOOKUP(D1,縣庫撥款收入明細表!H:DD,18,FALSE)</f>
        <v>392000</v>
      </c>
    </row>
    <row r="105" spans="2:17" ht="32.4">
      <c r="B105" s="72" t="s">
        <v>380</v>
      </c>
      <c r="D105" s="30">
        <f>HLOOKUP(D1,縣庫撥款收入明細表!H:DD,19,FALSE)</f>
        <v>0</v>
      </c>
    </row>
    <row r="106" spans="2:17" ht="32.4">
      <c r="B106" s="71" t="s">
        <v>241</v>
      </c>
      <c r="D106" s="30">
        <f>HLOOKUP(D1,縣庫撥款收入明細表!H:DD,20,FALSE)</f>
        <v>14000</v>
      </c>
    </row>
    <row r="107" spans="2:17" ht="32.4">
      <c r="B107" s="77" t="s">
        <v>242</v>
      </c>
      <c r="D107" s="30">
        <f>HLOOKUP(D1,縣庫撥款收入明細表!H:DD,21,FALSE)</f>
        <v>48303000</v>
      </c>
    </row>
    <row r="108" spans="2:17" ht="16.5" customHeight="1"/>
    <row r="109" spans="2:17" ht="16.5" customHeight="1">
      <c r="B109" s="4" t="s">
        <v>682</v>
      </c>
      <c r="D109" s="30">
        <f>D91-D76</f>
        <v>40783000</v>
      </c>
      <c r="F109" s="30">
        <f>F91-F76</f>
        <v>11834000</v>
      </c>
      <c r="G109" s="30">
        <f t="shared" ref="G109:Q109" si="38">G91-G76</f>
        <v>2872000</v>
      </c>
      <c r="H109" s="30">
        <f t="shared" si="38"/>
        <v>3009000</v>
      </c>
      <c r="I109" s="30">
        <f t="shared" si="38"/>
        <v>3394000</v>
      </c>
      <c r="J109" s="30">
        <f t="shared" si="38"/>
        <v>2872000</v>
      </c>
      <c r="K109" s="30">
        <f t="shared" si="38"/>
        <v>2874000</v>
      </c>
      <c r="L109" s="30">
        <f t="shared" si="38"/>
        <v>2905000</v>
      </c>
      <c r="M109" s="30">
        <f t="shared" si="38"/>
        <v>2872000</v>
      </c>
      <c r="N109" s="30">
        <f t="shared" si="38"/>
        <v>5046000</v>
      </c>
      <c r="O109" s="30">
        <f t="shared" si="38"/>
        <v>2871000</v>
      </c>
      <c r="P109" s="30">
        <f t="shared" si="38"/>
        <v>116000</v>
      </c>
      <c r="Q109" s="30">
        <f t="shared" si="38"/>
        <v>118000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8:C78"/>
    <mergeCell ref="A79:A83"/>
    <mergeCell ref="A1:B1"/>
    <mergeCell ref="A2:B2"/>
    <mergeCell ref="A3:A48"/>
    <mergeCell ref="A49:A70"/>
    <mergeCell ref="A71:A76"/>
  </mergeCells>
  <phoneticPr fontId="3" type="noConversion"/>
  <conditionalFormatting sqref="F95:Q95">
    <cfRule type="cellIs" dxfId="202" priority="1" operator="lessThan">
      <formula>0</formula>
    </cfRule>
  </conditionalFormatting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707</v>
      </c>
      <c r="D1" s="28" t="str">
        <f>VLOOKUP(C1,[1]學校編號!A:B,2,FALSE)</f>
        <v>707中原國小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74625000</v>
      </c>
      <c r="E2" s="37"/>
      <c r="F2" s="37">
        <f>F48+F70+F76+F77+F83</f>
        <v>21986000</v>
      </c>
      <c r="G2" s="37">
        <f t="shared" ref="G2:Q2" si="0">G48+G70+G76+G77+G83</f>
        <v>5199000</v>
      </c>
      <c r="H2" s="37">
        <f t="shared" si="0"/>
        <v>5506000</v>
      </c>
      <c r="I2" s="37">
        <f t="shared" si="0"/>
        <v>6178000</v>
      </c>
      <c r="J2" s="37">
        <f t="shared" si="0"/>
        <v>5205000</v>
      </c>
      <c r="K2" s="37">
        <f t="shared" si="0"/>
        <v>5205000</v>
      </c>
      <c r="L2" s="37">
        <f t="shared" si="0"/>
        <v>5361000</v>
      </c>
      <c r="M2" s="37">
        <f t="shared" si="0"/>
        <v>5205000</v>
      </c>
      <c r="N2" s="37">
        <f t="shared" si="0"/>
        <v>9283000</v>
      </c>
      <c r="O2" s="37">
        <f t="shared" si="0"/>
        <v>5204000</v>
      </c>
      <c r="P2" s="37">
        <f t="shared" si="0"/>
        <v>148000</v>
      </c>
      <c r="Q2" s="37">
        <f t="shared" si="0"/>
        <v>145000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381000</v>
      </c>
      <c r="E3" s="37" t="s">
        <v>525</v>
      </c>
      <c r="F3" s="37">
        <f t="shared" ref="F3:P17" si="1">ROUND($D3/12,0)</f>
        <v>31750</v>
      </c>
      <c r="G3" s="37">
        <f t="shared" si="1"/>
        <v>31750</v>
      </c>
      <c r="H3" s="37">
        <f t="shared" si="1"/>
        <v>31750</v>
      </c>
      <c r="I3" s="37">
        <f t="shared" si="1"/>
        <v>31750</v>
      </c>
      <c r="J3" s="37">
        <f t="shared" si="1"/>
        <v>31750</v>
      </c>
      <c r="K3" s="37">
        <f t="shared" si="1"/>
        <v>31750</v>
      </c>
      <c r="L3" s="37">
        <f t="shared" si="1"/>
        <v>31750</v>
      </c>
      <c r="M3" s="37">
        <f t="shared" si="1"/>
        <v>31750</v>
      </c>
      <c r="N3" s="37">
        <f t="shared" si="1"/>
        <v>31750</v>
      </c>
      <c r="O3" s="37">
        <f t="shared" si="1"/>
        <v>31750</v>
      </c>
      <c r="P3" s="37">
        <f t="shared" si="1"/>
        <v>31750</v>
      </c>
      <c r="Q3" s="37">
        <f t="shared" ref="Q3:Q10" si="2">D3-SUM(F3:P3)</f>
        <v>31750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164000</v>
      </c>
      <c r="E4" s="37" t="s">
        <v>525</v>
      </c>
      <c r="F4" s="37">
        <f t="shared" si="1"/>
        <v>13667</v>
      </c>
      <c r="G4" s="37">
        <f t="shared" si="1"/>
        <v>13667</v>
      </c>
      <c r="H4" s="37">
        <f t="shared" si="1"/>
        <v>13667</v>
      </c>
      <c r="I4" s="37">
        <f t="shared" si="1"/>
        <v>13667</v>
      </c>
      <c r="J4" s="37">
        <f t="shared" si="1"/>
        <v>13667</v>
      </c>
      <c r="K4" s="37">
        <f t="shared" si="1"/>
        <v>13667</v>
      </c>
      <c r="L4" s="37">
        <f t="shared" si="1"/>
        <v>13667</v>
      </c>
      <c r="M4" s="37">
        <f t="shared" si="1"/>
        <v>13667</v>
      </c>
      <c r="N4" s="37">
        <f t="shared" si="1"/>
        <v>13667</v>
      </c>
      <c r="O4" s="37">
        <f t="shared" si="1"/>
        <v>13667</v>
      </c>
      <c r="P4" s="37">
        <f t="shared" si="1"/>
        <v>13667</v>
      </c>
      <c r="Q4" s="37">
        <f t="shared" si="2"/>
        <v>13663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75000</v>
      </c>
      <c r="E7" s="37" t="s">
        <v>525</v>
      </c>
      <c r="F7" s="37">
        <f t="shared" si="1"/>
        <v>6250</v>
      </c>
      <c r="G7" s="37">
        <f t="shared" si="1"/>
        <v>6250</v>
      </c>
      <c r="H7" s="37">
        <f t="shared" si="1"/>
        <v>6250</v>
      </c>
      <c r="I7" s="37">
        <f t="shared" si="1"/>
        <v>6250</v>
      </c>
      <c r="J7" s="37">
        <f t="shared" si="1"/>
        <v>6250</v>
      </c>
      <c r="K7" s="37">
        <f t="shared" si="1"/>
        <v>6250</v>
      </c>
      <c r="L7" s="37">
        <f t="shared" si="1"/>
        <v>6250</v>
      </c>
      <c r="M7" s="37">
        <f t="shared" si="1"/>
        <v>6250</v>
      </c>
      <c r="N7" s="37">
        <f t="shared" si="1"/>
        <v>6250</v>
      </c>
      <c r="O7" s="37">
        <f t="shared" si="1"/>
        <v>6250</v>
      </c>
      <c r="P7" s="37">
        <f t="shared" si="1"/>
        <v>6250</v>
      </c>
      <c r="Q7" s="37">
        <f t="shared" si="2"/>
        <v>6250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90000</v>
      </c>
      <c r="E8" s="37" t="s">
        <v>525</v>
      </c>
      <c r="F8" s="37">
        <f t="shared" si="1"/>
        <v>7500</v>
      </c>
      <c r="G8" s="37">
        <f t="shared" si="1"/>
        <v>7500</v>
      </c>
      <c r="H8" s="37">
        <f t="shared" si="1"/>
        <v>7500</v>
      </c>
      <c r="I8" s="37">
        <f t="shared" si="1"/>
        <v>7500</v>
      </c>
      <c r="J8" s="37">
        <f t="shared" si="1"/>
        <v>7500</v>
      </c>
      <c r="K8" s="37">
        <f t="shared" si="1"/>
        <v>7500</v>
      </c>
      <c r="L8" s="37">
        <f t="shared" si="1"/>
        <v>7500</v>
      </c>
      <c r="M8" s="37">
        <f t="shared" si="1"/>
        <v>7500</v>
      </c>
      <c r="N8" s="37">
        <f t="shared" si="1"/>
        <v>7500</v>
      </c>
      <c r="O8" s="37">
        <f t="shared" si="1"/>
        <v>7500</v>
      </c>
      <c r="P8" s="37">
        <f t="shared" si="1"/>
        <v>7500</v>
      </c>
      <c r="Q8" s="37">
        <f t="shared" si="2"/>
        <v>7500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15000</v>
      </c>
      <c r="E9" s="37" t="s">
        <v>525</v>
      </c>
      <c r="F9" s="37">
        <f t="shared" si="1"/>
        <v>1250</v>
      </c>
      <c r="G9" s="37">
        <f t="shared" si="1"/>
        <v>1250</v>
      </c>
      <c r="H9" s="37">
        <f t="shared" si="1"/>
        <v>1250</v>
      </c>
      <c r="I9" s="37">
        <f t="shared" si="1"/>
        <v>1250</v>
      </c>
      <c r="J9" s="37">
        <f t="shared" si="1"/>
        <v>1250</v>
      </c>
      <c r="K9" s="37">
        <f t="shared" si="1"/>
        <v>1250</v>
      </c>
      <c r="L9" s="37">
        <f t="shared" si="1"/>
        <v>1250</v>
      </c>
      <c r="M9" s="37">
        <f t="shared" si="1"/>
        <v>1250</v>
      </c>
      <c r="N9" s="37">
        <f t="shared" si="1"/>
        <v>1250</v>
      </c>
      <c r="O9" s="37">
        <f t="shared" si="1"/>
        <v>1250</v>
      </c>
      <c r="P9" s="37">
        <f t="shared" si="1"/>
        <v>1250</v>
      </c>
      <c r="Q9" s="37">
        <f t="shared" si="2"/>
        <v>1250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26000</v>
      </c>
      <c r="E10" s="37" t="s">
        <v>525</v>
      </c>
      <c r="F10" s="37">
        <f t="shared" si="1"/>
        <v>2167</v>
      </c>
      <c r="G10" s="37">
        <f t="shared" si="1"/>
        <v>2167</v>
      </c>
      <c r="H10" s="37">
        <f t="shared" si="1"/>
        <v>2167</v>
      </c>
      <c r="I10" s="37">
        <f t="shared" si="1"/>
        <v>2167</v>
      </c>
      <c r="J10" s="37">
        <f t="shared" si="1"/>
        <v>2167</v>
      </c>
      <c r="K10" s="37">
        <f t="shared" si="1"/>
        <v>2167</v>
      </c>
      <c r="L10" s="37">
        <f t="shared" si="1"/>
        <v>2167</v>
      </c>
      <c r="M10" s="37">
        <f t="shared" si="1"/>
        <v>2167</v>
      </c>
      <c r="N10" s="37">
        <f t="shared" si="1"/>
        <v>2167</v>
      </c>
      <c r="O10" s="37">
        <f t="shared" si="1"/>
        <v>2167</v>
      </c>
      <c r="P10" s="37">
        <f t="shared" si="1"/>
        <v>2167</v>
      </c>
      <c r="Q10" s="37">
        <f t="shared" si="2"/>
        <v>2163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21000</v>
      </c>
      <c r="E11" s="37" t="s">
        <v>195</v>
      </c>
      <c r="F11" s="37">
        <f>D11</f>
        <v>21000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514000</v>
      </c>
      <c r="E12" s="113" t="s">
        <v>202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41000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89000</v>
      </c>
      <c r="E13" s="37" t="s">
        <v>525</v>
      </c>
      <c r="F13" s="37">
        <f>ROUND($D13/12,0)</f>
        <v>7417</v>
      </c>
      <c r="G13" s="37">
        <f t="shared" si="1"/>
        <v>7417</v>
      </c>
      <c r="H13" s="37">
        <f t="shared" si="1"/>
        <v>7417</v>
      </c>
      <c r="I13" s="37">
        <f t="shared" si="1"/>
        <v>7417</v>
      </c>
      <c r="J13" s="37">
        <f t="shared" si="1"/>
        <v>7417</v>
      </c>
      <c r="K13" s="37">
        <f t="shared" si="1"/>
        <v>7417</v>
      </c>
      <c r="L13" s="37">
        <f t="shared" si="1"/>
        <v>7417</v>
      </c>
      <c r="M13" s="37">
        <f t="shared" si="1"/>
        <v>7417</v>
      </c>
      <c r="N13" s="37">
        <f t="shared" si="1"/>
        <v>7417</v>
      </c>
      <c r="O13" s="37">
        <f t="shared" si="1"/>
        <v>7417</v>
      </c>
      <c r="P13" s="37">
        <f t="shared" si="1"/>
        <v>7417</v>
      </c>
      <c r="Q13" s="37">
        <f>D13-SUM(F13:P13)</f>
        <v>7413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102000</v>
      </c>
      <c r="E15" s="37" t="s">
        <v>193</v>
      </c>
      <c r="F15" s="37">
        <f>ROUND($D15/2,-3)</f>
        <v>51000</v>
      </c>
      <c r="G15" s="37"/>
      <c r="H15" s="37"/>
      <c r="I15" s="37"/>
      <c r="J15" s="37"/>
      <c r="K15" s="37"/>
      <c r="L15" s="37">
        <f>D15-F15</f>
        <v>51000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76000</v>
      </c>
      <c r="E16" s="37" t="s">
        <v>525</v>
      </c>
      <c r="F16" s="37">
        <f>ROUND($D16/12,0)</f>
        <v>6333</v>
      </c>
      <c r="G16" s="37">
        <f t="shared" si="1"/>
        <v>6333</v>
      </c>
      <c r="H16" s="37">
        <f t="shared" si="1"/>
        <v>6333</v>
      </c>
      <c r="I16" s="37">
        <f t="shared" si="1"/>
        <v>6333</v>
      </c>
      <c r="J16" s="37">
        <f t="shared" si="1"/>
        <v>6333</v>
      </c>
      <c r="K16" s="37">
        <f t="shared" si="1"/>
        <v>6333</v>
      </c>
      <c r="L16" s="37">
        <f t="shared" si="1"/>
        <v>6333</v>
      </c>
      <c r="M16" s="37">
        <f t="shared" si="1"/>
        <v>6333</v>
      </c>
      <c r="N16" s="37">
        <f t="shared" si="1"/>
        <v>6333</v>
      </c>
      <c r="O16" s="37">
        <f t="shared" si="1"/>
        <v>6333</v>
      </c>
      <c r="P16" s="37">
        <f t="shared" si="1"/>
        <v>6333</v>
      </c>
      <c r="Q16" s="37">
        <f>D16-SUM(F16:P16)</f>
        <v>6337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63000</v>
      </c>
      <c r="E17" s="37" t="s">
        <v>525</v>
      </c>
      <c r="F17" s="37">
        <f>ROUND($D17/12,0)</f>
        <v>5250</v>
      </c>
      <c r="G17" s="37">
        <f t="shared" si="1"/>
        <v>5250</v>
      </c>
      <c r="H17" s="37">
        <f t="shared" si="1"/>
        <v>5250</v>
      </c>
      <c r="I17" s="37">
        <f t="shared" si="1"/>
        <v>5250</v>
      </c>
      <c r="J17" s="37">
        <f t="shared" si="1"/>
        <v>5250</v>
      </c>
      <c r="K17" s="37">
        <f t="shared" si="1"/>
        <v>5250</v>
      </c>
      <c r="L17" s="37">
        <f t="shared" si="1"/>
        <v>5250</v>
      </c>
      <c r="M17" s="37">
        <f t="shared" si="1"/>
        <v>5250</v>
      </c>
      <c r="N17" s="37">
        <f t="shared" si="1"/>
        <v>5250</v>
      </c>
      <c r="O17" s="37">
        <f t="shared" si="1"/>
        <v>5250</v>
      </c>
      <c r="P17" s="37">
        <f t="shared" si="1"/>
        <v>5250</v>
      </c>
      <c r="Q17" s="37">
        <f>D17-SUM(F17:P17)</f>
        <v>5250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208000</v>
      </c>
      <c r="E24" s="37" t="s">
        <v>193</v>
      </c>
      <c r="F24" s="37">
        <f>ROUND($D24/2,-3)</f>
        <v>104000</v>
      </c>
      <c r="G24" s="37"/>
      <c r="H24" s="37"/>
      <c r="I24" s="37"/>
      <c r="J24" s="37"/>
      <c r="K24" s="37"/>
      <c r="L24" s="37">
        <f>D24-F24</f>
        <v>104000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1824000</v>
      </c>
      <c r="E25" s="108"/>
      <c r="F25" s="108">
        <f>ROUND(SUM(F3:F24),-3)</f>
        <v>387000</v>
      </c>
      <c r="G25" s="108">
        <f t="shared" ref="G25:P25" si="5">ROUND(SUM(G3:G24),-3)</f>
        <v>125000</v>
      </c>
      <c r="H25" s="108">
        <f t="shared" si="5"/>
        <v>125000</v>
      </c>
      <c r="I25" s="108">
        <f t="shared" si="5"/>
        <v>125000</v>
      </c>
      <c r="J25" s="108">
        <f t="shared" si="5"/>
        <v>125000</v>
      </c>
      <c r="K25" s="108">
        <f t="shared" si="5"/>
        <v>125000</v>
      </c>
      <c r="L25" s="108">
        <f t="shared" si="5"/>
        <v>280000</v>
      </c>
      <c r="M25" s="108">
        <f t="shared" si="5"/>
        <v>125000</v>
      </c>
      <c r="N25" s="108">
        <f t="shared" si="5"/>
        <v>125000</v>
      </c>
      <c r="O25" s="108">
        <f t="shared" si="5"/>
        <v>123000</v>
      </c>
      <c r="P25" s="108">
        <f t="shared" si="5"/>
        <v>82000</v>
      </c>
      <c r="Q25" s="108">
        <f t="shared" ref="Q25:Q33" si="6">D25-SUM(F25:P25)</f>
        <v>77000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58000</v>
      </c>
      <c r="E26" s="114" t="s">
        <v>204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4000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357000</v>
      </c>
      <c r="E27" s="37" t="s">
        <v>525</v>
      </c>
      <c r="F27" s="37">
        <f t="shared" ref="F27:P33" si="8">ROUND($D27/12,0)</f>
        <v>29750</v>
      </c>
      <c r="G27" s="37">
        <f t="shared" si="8"/>
        <v>29750</v>
      </c>
      <c r="H27" s="37">
        <f t="shared" si="8"/>
        <v>29750</v>
      </c>
      <c r="I27" s="37">
        <f t="shared" si="8"/>
        <v>29750</v>
      </c>
      <c r="J27" s="37">
        <f t="shared" si="8"/>
        <v>29750</v>
      </c>
      <c r="K27" s="37">
        <f t="shared" si="8"/>
        <v>29750</v>
      </c>
      <c r="L27" s="37">
        <f t="shared" si="8"/>
        <v>29750</v>
      </c>
      <c r="M27" s="37">
        <f t="shared" si="8"/>
        <v>29750</v>
      </c>
      <c r="N27" s="37">
        <f t="shared" si="8"/>
        <v>29750</v>
      </c>
      <c r="O27" s="37">
        <f t="shared" si="8"/>
        <v>29750</v>
      </c>
      <c r="P27" s="37">
        <f t="shared" si="8"/>
        <v>29750</v>
      </c>
      <c r="Q27" s="37">
        <f t="shared" si="6"/>
        <v>29750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37000</v>
      </c>
      <c r="E29" s="37" t="s">
        <v>525</v>
      </c>
      <c r="F29" s="37">
        <f t="shared" si="8"/>
        <v>3083</v>
      </c>
      <c r="G29" s="37">
        <f t="shared" si="8"/>
        <v>3083</v>
      </c>
      <c r="H29" s="37">
        <f t="shared" si="8"/>
        <v>3083</v>
      </c>
      <c r="I29" s="37">
        <f t="shared" si="8"/>
        <v>3083</v>
      </c>
      <c r="J29" s="37">
        <f t="shared" si="8"/>
        <v>3083</v>
      </c>
      <c r="K29" s="37">
        <f t="shared" si="8"/>
        <v>3083</v>
      </c>
      <c r="L29" s="37">
        <f t="shared" si="8"/>
        <v>3083</v>
      </c>
      <c r="M29" s="37">
        <f t="shared" si="8"/>
        <v>3083</v>
      </c>
      <c r="N29" s="37">
        <f t="shared" si="8"/>
        <v>3083</v>
      </c>
      <c r="O29" s="37">
        <f t="shared" si="8"/>
        <v>3083</v>
      </c>
      <c r="P29" s="37">
        <f t="shared" si="8"/>
        <v>3083</v>
      </c>
      <c r="Q29" s="37">
        <f t="shared" si="6"/>
        <v>3087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81000</v>
      </c>
      <c r="E30" s="37" t="s">
        <v>525</v>
      </c>
      <c r="F30" s="37">
        <f t="shared" si="8"/>
        <v>6750</v>
      </c>
      <c r="G30" s="37">
        <f t="shared" si="8"/>
        <v>6750</v>
      </c>
      <c r="H30" s="37">
        <f t="shared" si="8"/>
        <v>6750</v>
      </c>
      <c r="I30" s="37">
        <f t="shared" si="8"/>
        <v>6750</v>
      </c>
      <c r="J30" s="37">
        <f t="shared" si="8"/>
        <v>6750</v>
      </c>
      <c r="K30" s="37">
        <f t="shared" si="8"/>
        <v>6750</v>
      </c>
      <c r="L30" s="37">
        <f t="shared" si="8"/>
        <v>6750</v>
      </c>
      <c r="M30" s="37">
        <f t="shared" si="8"/>
        <v>6750</v>
      </c>
      <c r="N30" s="37">
        <f t="shared" si="8"/>
        <v>6750</v>
      </c>
      <c r="O30" s="37">
        <f t="shared" si="8"/>
        <v>6750</v>
      </c>
      <c r="P30" s="37">
        <f t="shared" si="8"/>
        <v>6750</v>
      </c>
      <c r="Q30" s="37">
        <f t="shared" si="6"/>
        <v>6750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41000</v>
      </c>
      <c r="E31" s="37" t="s">
        <v>525</v>
      </c>
      <c r="F31" s="37">
        <f t="shared" si="8"/>
        <v>3417</v>
      </c>
      <c r="G31" s="37">
        <f t="shared" si="8"/>
        <v>3417</v>
      </c>
      <c r="H31" s="37">
        <f t="shared" si="8"/>
        <v>3417</v>
      </c>
      <c r="I31" s="37">
        <f t="shared" si="8"/>
        <v>3417</v>
      </c>
      <c r="J31" s="37">
        <f t="shared" si="8"/>
        <v>3417</v>
      </c>
      <c r="K31" s="37">
        <f t="shared" si="8"/>
        <v>3417</v>
      </c>
      <c r="L31" s="37">
        <f t="shared" si="8"/>
        <v>3417</v>
      </c>
      <c r="M31" s="37">
        <f t="shared" si="8"/>
        <v>3417</v>
      </c>
      <c r="N31" s="37">
        <f t="shared" si="8"/>
        <v>3417</v>
      </c>
      <c r="O31" s="37">
        <f t="shared" si="8"/>
        <v>3417</v>
      </c>
      <c r="P31" s="37">
        <f t="shared" si="8"/>
        <v>3417</v>
      </c>
      <c r="Q31" s="37">
        <f t="shared" si="6"/>
        <v>3413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60000</v>
      </c>
      <c r="E32" s="37" t="s">
        <v>525</v>
      </c>
      <c r="F32" s="37">
        <f t="shared" si="8"/>
        <v>5000</v>
      </c>
      <c r="G32" s="37">
        <f t="shared" si="8"/>
        <v>5000</v>
      </c>
      <c r="H32" s="37">
        <f t="shared" si="8"/>
        <v>5000</v>
      </c>
      <c r="I32" s="37">
        <f t="shared" si="8"/>
        <v>5000</v>
      </c>
      <c r="J32" s="37">
        <f t="shared" si="8"/>
        <v>5000</v>
      </c>
      <c r="K32" s="37">
        <f t="shared" si="8"/>
        <v>5000</v>
      </c>
      <c r="L32" s="37">
        <f t="shared" si="8"/>
        <v>5000</v>
      </c>
      <c r="M32" s="37">
        <f t="shared" si="8"/>
        <v>5000</v>
      </c>
      <c r="N32" s="37">
        <f t="shared" si="8"/>
        <v>5000</v>
      </c>
      <c r="O32" s="37">
        <f t="shared" si="8"/>
        <v>5000</v>
      </c>
      <c r="P32" s="37">
        <f t="shared" si="8"/>
        <v>5000</v>
      </c>
      <c r="Q32" s="37">
        <f t="shared" si="6"/>
        <v>5000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36000</v>
      </c>
      <c r="E33" s="37" t="s">
        <v>525</v>
      </c>
      <c r="F33" s="37">
        <f t="shared" si="8"/>
        <v>3000</v>
      </c>
      <c r="G33" s="37">
        <f t="shared" si="8"/>
        <v>3000</v>
      </c>
      <c r="H33" s="37">
        <f t="shared" si="8"/>
        <v>3000</v>
      </c>
      <c r="I33" s="37">
        <f t="shared" si="8"/>
        <v>3000</v>
      </c>
      <c r="J33" s="37">
        <f t="shared" si="8"/>
        <v>3000</v>
      </c>
      <c r="K33" s="37">
        <f t="shared" si="8"/>
        <v>3000</v>
      </c>
      <c r="L33" s="37">
        <f t="shared" si="8"/>
        <v>3000</v>
      </c>
      <c r="M33" s="37">
        <f t="shared" si="8"/>
        <v>3000</v>
      </c>
      <c r="N33" s="37">
        <f t="shared" si="8"/>
        <v>3000</v>
      </c>
      <c r="O33" s="37">
        <f t="shared" si="8"/>
        <v>3000</v>
      </c>
      <c r="P33" s="37">
        <f t="shared" si="8"/>
        <v>3000</v>
      </c>
      <c r="Q33" s="37">
        <f t="shared" si="6"/>
        <v>3000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670000</v>
      </c>
      <c r="E37" s="108"/>
      <c r="F37" s="108">
        <f t="shared" ref="F37:P37" si="9">ROUND(SUM(F26:F36),-3)</f>
        <v>57000</v>
      </c>
      <c r="G37" s="108">
        <f t="shared" si="9"/>
        <v>51000</v>
      </c>
      <c r="H37" s="108">
        <f t="shared" si="9"/>
        <v>57000</v>
      </c>
      <c r="I37" s="108">
        <f t="shared" si="9"/>
        <v>57000</v>
      </c>
      <c r="J37" s="108">
        <f t="shared" si="9"/>
        <v>57000</v>
      </c>
      <c r="K37" s="108">
        <f t="shared" si="9"/>
        <v>57000</v>
      </c>
      <c r="L37" s="108">
        <f t="shared" si="9"/>
        <v>51000</v>
      </c>
      <c r="M37" s="108">
        <f t="shared" si="9"/>
        <v>57000</v>
      </c>
      <c r="N37" s="108">
        <f t="shared" si="9"/>
        <v>57000</v>
      </c>
      <c r="O37" s="108">
        <f t="shared" si="9"/>
        <v>57000</v>
      </c>
      <c r="P37" s="108">
        <f t="shared" si="9"/>
        <v>57000</v>
      </c>
      <c r="Q37" s="108">
        <f>D37-SUM(F37:P37)</f>
        <v>55000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6000</v>
      </c>
      <c r="E42" s="37" t="s">
        <v>199</v>
      </c>
      <c r="F42" s="37"/>
      <c r="G42" s="37"/>
      <c r="H42" s="37"/>
      <c r="I42" s="37">
        <f>D42</f>
        <v>6000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7000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7000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14000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6000</v>
      </c>
      <c r="J45" s="108">
        <f t="shared" si="12"/>
        <v>0</v>
      </c>
      <c r="K45" s="108">
        <f t="shared" si="12"/>
        <v>0</v>
      </c>
      <c r="L45" s="108">
        <f t="shared" si="12"/>
        <v>7000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2508000</v>
      </c>
      <c r="E48" s="37"/>
      <c r="F48" s="115">
        <f>F25+F37+F45+F47</f>
        <v>445000</v>
      </c>
      <c r="G48" s="115">
        <f t="shared" ref="G48:R48" si="14">G25+G37+G45+G47</f>
        <v>176000</v>
      </c>
      <c r="H48" s="115">
        <f t="shared" si="14"/>
        <v>182000</v>
      </c>
      <c r="I48" s="115">
        <f t="shared" si="14"/>
        <v>188000</v>
      </c>
      <c r="J48" s="115">
        <f t="shared" si="14"/>
        <v>182000</v>
      </c>
      <c r="K48" s="115">
        <f t="shared" si="14"/>
        <v>182000</v>
      </c>
      <c r="L48" s="115">
        <f t="shared" si="14"/>
        <v>338000</v>
      </c>
      <c r="M48" s="115">
        <f t="shared" si="14"/>
        <v>182000</v>
      </c>
      <c r="N48" s="115">
        <f t="shared" si="14"/>
        <v>182000</v>
      </c>
      <c r="O48" s="115">
        <f t="shared" si="14"/>
        <v>180000</v>
      </c>
      <c r="P48" s="115">
        <f t="shared" si="14"/>
        <v>139000</v>
      </c>
      <c r="Q48" s="115">
        <f t="shared" si="14"/>
        <v>132000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43234000</v>
      </c>
      <c r="E49" s="114" t="s">
        <v>202</v>
      </c>
      <c r="F49" s="37">
        <f>ROUND($D49/12*3,-3)</f>
        <v>10809000</v>
      </c>
      <c r="G49" s="37">
        <f>ROUND($D49/12,-3)</f>
        <v>3603000</v>
      </c>
      <c r="H49" s="37">
        <f t="shared" ref="H49:N53" si="15">ROUND($D49/12,-3)</f>
        <v>3603000</v>
      </c>
      <c r="I49" s="37">
        <f t="shared" si="15"/>
        <v>3603000</v>
      </c>
      <c r="J49" s="37">
        <f t="shared" si="15"/>
        <v>3603000</v>
      </c>
      <c r="K49" s="37">
        <f t="shared" si="15"/>
        <v>3603000</v>
      </c>
      <c r="L49" s="37">
        <f t="shared" si="15"/>
        <v>3603000</v>
      </c>
      <c r="M49" s="37">
        <f t="shared" si="15"/>
        <v>3603000</v>
      </c>
      <c r="N49" s="37">
        <f t="shared" si="15"/>
        <v>3603000</v>
      </c>
      <c r="O49" s="37">
        <f>D49-SUM(F49:N49)</f>
        <v>3601000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406000</v>
      </c>
      <c r="E50" s="114" t="s">
        <v>202</v>
      </c>
      <c r="F50" s="37">
        <f t="shared" ref="F50:F53" si="16">ROUND($D50/12*3,-3)</f>
        <v>102000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si="15"/>
        <v>34000</v>
      </c>
      <c r="N50" s="37">
        <f t="shared" si="15"/>
        <v>34000</v>
      </c>
      <c r="O50" s="37">
        <f t="shared" ref="O50:O53" si="18">D50-SUM(F50:N50)</f>
        <v>32000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2762000</v>
      </c>
      <c r="E51" s="114" t="s">
        <v>202</v>
      </c>
      <c r="F51" s="37">
        <f t="shared" si="16"/>
        <v>691000</v>
      </c>
      <c r="G51" s="37">
        <f t="shared" si="17"/>
        <v>230000</v>
      </c>
      <c r="H51" s="37">
        <f t="shared" si="15"/>
        <v>230000</v>
      </c>
      <c r="I51" s="37">
        <f t="shared" si="15"/>
        <v>230000</v>
      </c>
      <c r="J51" s="37">
        <f t="shared" si="15"/>
        <v>230000</v>
      </c>
      <c r="K51" s="37">
        <f t="shared" si="15"/>
        <v>230000</v>
      </c>
      <c r="L51" s="37">
        <f t="shared" si="15"/>
        <v>230000</v>
      </c>
      <c r="M51" s="37">
        <f t="shared" si="15"/>
        <v>230000</v>
      </c>
      <c r="N51" s="37">
        <f t="shared" si="15"/>
        <v>230000</v>
      </c>
      <c r="O51" s="37">
        <f t="shared" si="18"/>
        <v>231000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664000</v>
      </c>
      <c r="E52" s="114" t="s">
        <v>202</v>
      </c>
      <c r="F52" s="37">
        <f t="shared" si="16"/>
        <v>166000</v>
      </c>
      <c r="G52" s="37">
        <f t="shared" si="17"/>
        <v>55000</v>
      </c>
      <c r="H52" s="37">
        <f t="shared" si="15"/>
        <v>55000</v>
      </c>
      <c r="I52" s="37">
        <f t="shared" si="15"/>
        <v>55000</v>
      </c>
      <c r="J52" s="37">
        <f t="shared" si="15"/>
        <v>55000</v>
      </c>
      <c r="K52" s="37">
        <f t="shared" si="15"/>
        <v>55000</v>
      </c>
      <c r="L52" s="37">
        <f t="shared" si="15"/>
        <v>55000</v>
      </c>
      <c r="M52" s="37">
        <f t="shared" si="15"/>
        <v>55000</v>
      </c>
      <c r="N52" s="37">
        <f t="shared" si="15"/>
        <v>55000</v>
      </c>
      <c r="O52" s="37">
        <f t="shared" si="18"/>
        <v>58000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112000</v>
      </c>
      <c r="E54" s="37" t="s">
        <v>525</v>
      </c>
      <c r="F54" s="37">
        <f t="shared" ref="F54:P61" si="19">ROUND($D54/12,0)</f>
        <v>9333</v>
      </c>
      <c r="G54" s="37">
        <f t="shared" si="19"/>
        <v>9333</v>
      </c>
      <c r="H54" s="37">
        <f t="shared" si="19"/>
        <v>9333</v>
      </c>
      <c r="I54" s="37">
        <f t="shared" si="19"/>
        <v>9333</v>
      </c>
      <c r="J54" s="37">
        <f t="shared" si="19"/>
        <v>9333</v>
      </c>
      <c r="K54" s="37">
        <f t="shared" si="19"/>
        <v>9333</v>
      </c>
      <c r="L54" s="37">
        <f t="shared" si="19"/>
        <v>9333</v>
      </c>
      <c r="M54" s="37">
        <f t="shared" si="19"/>
        <v>9333</v>
      </c>
      <c r="N54" s="37">
        <f t="shared" si="19"/>
        <v>9333</v>
      </c>
      <c r="O54" s="37">
        <f t="shared" si="19"/>
        <v>9333</v>
      </c>
      <c r="P54" s="37">
        <f t="shared" si="19"/>
        <v>9333</v>
      </c>
      <c r="Q54" s="37">
        <f t="shared" ref="Q54:Q61" si="20">D54-SUM(F54:P54)</f>
        <v>9337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0</v>
      </c>
      <c r="E59" s="37" t="s">
        <v>525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886000</v>
      </c>
      <c r="E60" s="37" t="s">
        <v>195</v>
      </c>
      <c r="F60" s="37">
        <f>D60</f>
        <v>886000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4834000</v>
      </c>
      <c r="E62" s="37" t="s">
        <v>197</v>
      </c>
      <c r="F62" s="37"/>
      <c r="G62" s="37"/>
      <c r="H62" s="37"/>
      <c r="I62" s="37">
        <f>ROUND($D62/5,-3)</f>
        <v>967000</v>
      </c>
      <c r="J62" s="37"/>
      <c r="K62" s="37"/>
      <c r="L62" s="37"/>
      <c r="M62" s="37"/>
      <c r="N62" s="37">
        <f>D62-I62</f>
        <v>3867000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5286000</v>
      </c>
      <c r="E63" s="37" t="s">
        <v>195</v>
      </c>
      <c r="F63" s="37">
        <f>D63</f>
        <v>5286000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4624000</v>
      </c>
      <c r="E64" s="114" t="s">
        <v>202</v>
      </c>
      <c r="F64" s="37">
        <f>ROUND($D64/12*3,-3)</f>
        <v>1156000</v>
      </c>
      <c r="G64" s="37">
        <f>ROUND($D64/12,-3)</f>
        <v>385000</v>
      </c>
      <c r="H64" s="37">
        <f t="shared" ref="H64:N66" si="21">ROUND($D64/12,-3)</f>
        <v>385000</v>
      </c>
      <c r="I64" s="37">
        <f t="shared" si="21"/>
        <v>385000</v>
      </c>
      <c r="J64" s="37">
        <f t="shared" si="21"/>
        <v>385000</v>
      </c>
      <c r="K64" s="37">
        <f t="shared" si="21"/>
        <v>385000</v>
      </c>
      <c r="L64" s="37">
        <f t="shared" si="21"/>
        <v>385000</v>
      </c>
      <c r="M64" s="37">
        <f t="shared" si="21"/>
        <v>385000</v>
      </c>
      <c r="N64" s="37">
        <f t="shared" si="21"/>
        <v>385000</v>
      </c>
      <c r="O64" s="37">
        <f>D64-SUM(F64:N64)</f>
        <v>388000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1123000</v>
      </c>
      <c r="E65" s="114" t="s">
        <v>202</v>
      </c>
      <c r="F65" s="37">
        <f t="shared" ref="F65:F66" si="22">ROUND($D65/12*3,-3)</f>
        <v>281000</v>
      </c>
      <c r="G65" s="37">
        <f t="shared" ref="G65:G66" si="23">ROUND($D65/12,-3)</f>
        <v>94000</v>
      </c>
      <c r="H65" s="37">
        <f t="shared" si="21"/>
        <v>94000</v>
      </c>
      <c r="I65" s="37">
        <f t="shared" si="21"/>
        <v>94000</v>
      </c>
      <c r="J65" s="37">
        <f t="shared" si="21"/>
        <v>94000</v>
      </c>
      <c r="K65" s="37">
        <f t="shared" si="21"/>
        <v>94000</v>
      </c>
      <c r="L65" s="37">
        <f t="shared" si="21"/>
        <v>94000</v>
      </c>
      <c r="M65" s="37">
        <f t="shared" si="21"/>
        <v>94000</v>
      </c>
      <c r="N65" s="37">
        <f t="shared" si="21"/>
        <v>94000</v>
      </c>
      <c r="O65" s="37">
        <f t="shared" ref="O65:O66" si="24">D65-SUM(F65:N65)</f>
        <v>90000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2974000</v>
      </c>
      <c r="E66" s="114" t="s">
        <v>202</v>
      </c>
      <c r="F66" s="37">
        <f t="shared" si="22"/>
        <v>744000</v>
      </c>
      <c r="G66" s="37">
        <f t="shared" si="23"/>
        <v>248000</v>
      </c>
      <c r="H66" s="37">
        <f t="shared" si="21"/>
        <v>248000</v>
      </c>
      <c r="I66" s="37">
        <f t="shared" si="21"/>
        <v>248000</v>
      </c>
      <c r="J66" s="37">
        <f t="shared" si="21"/>
        <v>248000</v>
      </c>
      <c r="K66" s="37">
        <f t="shared" si="21"/>
        <v>248000</v>
      </c>
      <c r="L66" s="37">
        <f t="shared" si="21"/>
        <v>248000</v>
      </c>
      <c r="M66" s="37">
        <f t="shared" si="21"/>
        <v>248000</v>
      </c>
      <c r="N66" s="37">
        <f t="shared" si="21"/>
        <v>248000</v>
      </c>
      <c r="O66" s="37">
        <f t="shared" si="24"/>
        <v>246000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90000</v>
      </c>
      <c r="E67" s="37" t="s">
        <v>196</v>
      </c>
      <c r="F67" s="37"/>
      <c r="G67" s="37"/>
      <c r="H67" s="37">
        <f>D67</f>
        <v>90000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315000</v>
      </c>
      <c r="E68" s="37" t="s">
        <v>195</v>
      </c>
      <c r="F68" s="37">
        <f>D68</f>
        <v>315000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67310000</v>
      </c>
      <c r="E70" s="108"/>
      <c r="F70" s="108">
        <f t="shared" ref="F70:P70" si="25">ROUND(SUM(F49:F69),-3)</f>
        <v>20445000</v>
      </c>
      <c r="G70" s="108">
        <f t="shared" si="25"/>
        <v>4658000</v>
      </c>
      <c r="H70" s="108">
        <f t="shared" si="25"/>
        <v>4748000</v>
      </c>
      <c r="I70" s="108">
        <f t="shared" si="25"/>
        <v>5625000</v>
      </c>
      <c r="J70" s="108">
        <f t="shared" si="25"/>
        <v>4658000</v>
      </c>
      <c r="K70" s="108">
        <f t="shared" si="25"/>
        <v>4658000</v>
      </c>
      <c r="L70" s="108">
        <f t="shared" si="25"/>
        <v>4658000</v>
      </c>
      <c r="M70" s="108">
        <f t="shared" si="25"/>
        <v>4658000</v>
      </c>
      <c r="N70" s="108">
        <f t="shared" si="25"/>
        <v>8525000</v>
      </c>
      <c r="O70" s="108">
        <f t="shared" si="25"/>
        <v>4655000</v>
      </c>
      <c r="P70" s="108">
        <f t="shared" si="25"/>
        <v>9000</v>
      </c>
      <c r="Q70" s="108">
        <f>D70-SUM(F70:P70)</f>
        <v>13000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4385000</v>
      </c>
      <c r="E72" s="114" t="s">
        <v>202</v>
      </c>
      <c r="F72" s="37">
        <f>ROUND($D72/12*3,-3)</f>
        <v>1096000</v>
      </c>
      <c r="G72" s="37">
        <f>ROUND($D72/12,-3)</f>
        <v>365000</v>
      </c>
      <c r="H72" s="37">
        <f t="shared" ref="H72:N75" si="26">ROUND($D72/12,-3)</f>
        <v>365000</v>
      </c>
      <c r="I72" s="37">
        <f t="shared" si="26"/>
        <v>365000</v>
      </c>
      <c r="J72" s="37">
        <f t="shared" si="26"/>
        <v>365000</v>
      </c>
      <c r="K72" s="37">
        <f t="shared" si="26"/>
        <v>365000</v>
      </c>
      <c r="L72" s="37">
        <f t="shared" si="26"/>
        <v>365000</v>
      </c>
      <c r="M72" s="37">
        <f t="shared" si="26"/>
        <v>365000</v>
      </c>
      <c r="N72" s="37">
        <f t="shared" si="26"/>
        <v>365000</v>
      </c>
      <c r="O72" s="37">
        <f>D72-SUM(F72:N72)</f>
        <v>369000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4385000</v>
      </c>
      <c r="E76" s="108"/>
      <c r="F76" s="108">
        <f>ROUND(SUM(F71:F75),-3)</f>
        <v>1096000</v>
      </c>
      <c r="G76" s="108">
        <f t="shared" ref="G76:N76" si="27">ROUND(SUM(G71:G75),-3)</f>
        <v>365000</v>
      </c>
      <c r="H76" s="108">
        <f t="shared" si="27"/>
        <v>365000</v>
      </c>
      <c r="I76" s="108">
        <f t="shared" si="27"/>
        <v>365000</v>
      </c>
      <c r="J76" s="108">
        <f t="shared" si="27"/>
        <v>365000</v>
      </c>
      <c r="K76" s="108">
        <f t="shared" si="27"/>
        <v>365000</v>
      </c>
      <c r="L76" s="108">
        <f t="shared" si="27"/>
        <v>365000</v>
      </c>
      <c r="M76" s="108">
        <f t="shared" si="27"/>
        <v>365000</v>
      </c>
      <c r="N76" s="108">
        <f t="shared" si="27"/>
        <v>365000</v>
      </c>
      <c r="O76" s="108">
        <f>D76-SUM(F76:N76)</f>
        <v>369000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422000</v>
      </c>
      <c r="E77" s="37" t="s">
        <v>681</v>
      </c>
      <c r="F77" s="224"/>
      <c r="G77" s="224"/>
      <c r="H77" s="224">
        <f>ROUND($D77/2,-3)</f>
        <v>211000</v>
      </c>
      <c r="I77" s="224"/>
      <c r="J77" s="224"/>
      <c r="K77" s="224"/>
      <c r="L77" s="224"/>
      <c r="M77" s="224"/>
      <c r="N77" s="224">
        <f>D77-H77</f>
        <v>211000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72117000</v>
      </c>
      <c r="E78" s="227"/>
      <c r="F78" s="227">
        <f>F76+F70+F77</f>
        <v>21541000</v>
      </c>
      <c r="G78" s="227">
        <f t="shared" ref="G78:Q78" si="29">G76+G70+G77</f>
        <v>5023000</v>
      </c>
      <c r="H78" s="227">
        <f t="shared" si="29"/>
        <v>5324000</v>
      </c>
      <c r="I78" s="227">
        <f t="shared" si="29"/>
        <v>5990000</v>
      </c>
      <c r="J78" s="227">
        <f t="shared" si="29"/>
        <v>5023000</v>
      </c>
      <c r="K78" s="227">
        <f t="shared" si="29"/>
        <v>5023000</v>
      </c>
      <c r="L78" s="227">
        <f t="shared" si="29"/>
        <v>5023000</v>
      </c>
      <c r="M78" s="227">
        <f t="shared" si="29"/>
        <v>5023000</v>
      </c>
      <c r="N78" s="227">
        <f t="shared" si="29"/>
        <v>9101000</v>
      </c>
      <c r="O78" s="227">
        <f t="shared" si="29"/>
        <v>5024000</v>
      </c>
      <c r="P78" s="227">
        <f t="shared" si="29"/>
        <v>9000</v>
      </c>
      <c r="Q78" s="227">
        <f t="shared" si="29"/>
        <v>13000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74625000</v>
      </c>
      <c r="E87" s="37"/>
      <c r="F87" s="37">
        <f>F88+F89+F90+F91</f>
        <v>21986000</v>
      </c>
      <c r="G87" s="37">
        <f t="shared" ref="G87:Q87" si="32">G88+G89+G90+G91</f>
        <v>5199000</v>
      </c>
      <c r="H87" s="37">
        <f t="shared" si="32"/>
        <v>5506000</v>
      </c>
      <c r="I87" s="37">
        <f t="shared" si="32"/>
        <v>6178000</v>
      </c>
      <c r="J87" s="37">
        <f t="shared" si="32"/>
        <v>5205000</v>
      </c>
      <c r="K87" s="37">
        <f t="shared" si="32"/>
        <v>5205000</v>
      </c>
      <c r="L87" s="37">
        <f t="shared" si="32"/>
        <v>5361000</v>
      </c>
      <c r="M87" s="37">
        <f t="shared" si="32"/>
        <v>5205000</v>
      </c>
      <c r="N87" s="37">
        <f t="shared" si="32"/>
        <v>9283000</v>
      </c>
      <c r="O87" s="37">
        <f t="shared" si="32"/>
        <v>5204000</v>
      </c>
      <c r="P87" s="37">
        <f t="shared" si="32"/>
        <v>148000</v>
      </c>
      <c r="Q87" s="37">
        <f t="shared" si="32"/>
        <v>145000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208000</v>
      </c>
      <c r="E88" s="108" t="s">
        <v>193</v>
      </c>
      <c r="F88" s="108">
        <f>ROUND($D88/2,-3)</f>
        <v>104000</v>
      </c>
      <c r="G88" s="108"/>
      <c r="H88" s="108"/>
      <c r="I88" s="108"/>
      <c r="J88" s="108"/>
      <c r="K88" s="108"/>
      <c r="L88" s="108">
        <f>D88-F88</f>
        <v>104000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8000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4000</v>
      </c>
      <c r="M90" s="108"/>
      <c r="N90" s="108"/>
      <c r="O90" s="108"/>
      <c r="P90" s="108"/>
      <c r="Q90" s="108">
        <f>ROUND($D90/2,-3)</f>
        <v>4000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74409000</v>
      </c>
      <c r="E91" s="108"/>
      <c r="F91" s="108">
        <f>F92+F93+F94+F95</f>
        <v>21882000</v>
      </c>
      <c r="G91" s="108">
        <f t="shared" ref="G91:Q91" si="34">G92+G93+G94+G95</f>
        <v>5199000</v>
      </c>
      <c r="H91" s="108">
        <f t="shared" si="34"/>
        <v>5506000</v>
      </c>
      <c r="I91" s="108">
        <f t="shared" si="34"/>
        <v>6178000</v>
      </c>
      <c r="J91" s="108">
        <f t="shared" si="34"/>
        <v>5205000</v>
      </c>
      <c r="K91" s="108">
        <f t="shared" si="34"/>
        <v>5205000</v>
      </c>
      <c r="L91" s="108">
        <f t="shared" si="34"/>
        <v>5253000</v>
      </c>
      <c r="M91" s="108">
        <f t="shared" si="34"/>
        <v>5205000</v>
      </c>
      <c r="N91" s="108">
        <f t="shared" si="34"/>
        <v>9283000</v>
      </c>
      <c r="O91" s="108">
        <f t="shared" si="34"/>
        <v>5204000</v>
      </c>
      <c r="P91" s="108">
        <f t="shared" si="34"/>
        <v>148000</v>
      </c>
      <c r="Q91" s="108">
        <f t="shared" si="34"/>
        <v>141000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2895000</v>
      </c>
      <c r="E92" s="114" t="s">
        <v>537</v>
      </c>
      <c r="F92" s="37">
        <f>ROUND($D92/12*5,-3)</f>
        <v>1206000</v>
      </c>
      <c r="G92" s="37">
        <f>ROUND($D92/12,-3)</f>
        <v>241000</v>
      </c>
      <c r="H92" s="37">
        <f t="shared" ref="H92:L92" si="35">ROUND($D92/12,-3)</f>
        <v>241000</v>
      </c>
      <c r="I92" s="37">
        <f t="shared" si="35"/>
        <v>241000</v>
      </c>
      <c r="J92" s="37">
        <f t="shared" si="35"/>
        <v>241000</v>
      </c>
      <c r="K92" s="37">
        <f t="shared" si="35"/>
        <v>241000</v>
      </c>
      <c r="L92" s="37">
        <f t="shared" si="35"/>
        <v>241000</v>
      </c>
      <c r="M92" s="37">
        <f>D92-SUM(F92:L92)</f>
        <v>243000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465000</v>
      </c>
      <c r="E93" s="189" t="s">
        <v>227</v>
      </c>
      <c r="F93" s="37">
        <f>ROUND($D93/12,-3)</f>
        <v>39000</v>
      </c>
      <c r="G93" s="37">
        <f t="shared" ref="G93:P93" si="36">ROUND($D93/12,-3)</f>
        <v>39000</v>
      </c>
      <c r="H93" s="37">
        <f t="shared" si="36"/>
        <v>39000</v>
      </c>
      <c r="I93" s="37">
        <f t="shared" si="36"/>
        <v>39000</v>
      </c>
      <c r="J93" s="37">
        <f t="shared" si="36"/>
        <v>39000</v>
      </c>
      <c r="K93" s="37">
        <f t="shared" si="36"/>
        <v>39000</v>
      </c>
      <c r="L93" s="37">
        <f t="shared" si="36"/>
        <v>39000</v>
      </c>
      <c r="M93" s="37">
        <f t="shared" si="36"/>
        <v>39000</v>
      </c>
      <c r="N93" s="37">
        <f t="shared" si="36"/>
        <v>39000</v>
      </c>
      <c r="O93" s="37">
        <f t="shared" si="36"/>
        <v>39000</v>
      </c>
      <c r="P93" s="37">
        <f t="shared" si="36"/>
        <v>39000</v>
      </c>
      <c r="Q93" s="37">
        <f>D93-SUM(F93:P93)</f>
        <v>36000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1694000</v>
      </c>
      <c r="E94" s="190" t="s">
        <v>229</v>
      </c>
      <c r="F94" s="37"/>
      <c r="G94" s="37"/>
      <c r="H94" s="37">
        <f>ROUND($D94/2,-3)</f>
        <v>847000</v>
      </c>
      <c r="I94" s="37"/>
      <c r="J94" s="37"/>
      <c r="K94" s="37"/>
      <c r="L94" s="37"/>
      <c r="M94" s="37"/>
      <c r="N94" s="37"/>
      <c r="O94" s="37">
        <f>D94-H94</f>
        <v>847000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69355000</v>
      </c>
      <c r="E95" s="37"/>
      <c r="F95" s="37">
        <f>F2+F86-F88-F89-F90-F92-F93-F94</f>
        <v>20637000</v>
      </c>
      <c r="G95" s="37">
        <f t="shared" ref="G95:Q95" si="37">G2-G88-G89-G90-G92-G93-G94</f>
        <v>4919000</v>
      </c>
      <c r="H95" s="37">
        <f t="shared" si="37"/>
        <v>4379000</v>
      </c>
      <c r="I95" s="37">
        <f t="shared" si="37"/>
        <v>5898000</v>
      </c>
      <c r="J95" s="37">
        <f t="shared" si="37"/>
        <v>4925000</v>
      </c>
      <c r="K95" s="37">
        <f t="shared" si="37"/>
        <v>4925000</v>
      </c>
      <c r="L95" s="37">
        <f t="shared" si="37"/>
        <v>4973000</v>
      </c>
      <c r="M95" s="37">
        <f t="shared" si="37"/>
        <v>4923000</v>
      </c>
      <c r="N95" s="37">
        <f t="shared" si="37"/>
        <v>9244000</v>
      </c>
      <c r="O95" s="37">
        <f t="shared" si="37"/>
        <v>4318000</v>
      </c>
      <c r="P95" s="37">
        <f t="shared" si="37"/>
        <v>109000</v>
      </c>
      <c r="Q95" s="37">
        <f t="shared" si="37"/>
        <v>105000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800000</v>
      </c>
    </row>
    <row r="99" spans="2:17" ht="32.4">
      <c r="B99" s="72" t="s">
        <v>235</v>
      </c>
      <c r="D99" s="30">
        <f>HLOOKUP(D1,[1]縣庫撥款收入明細表!H:DD,5,FALSE)</f>
        <v>660000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1435000</v>
      </c>
    </row>
    <row r="102" spans="2:17" ht="32.4">
      <c r="B102" s="71" t="s">
        <v>238</v>
      </c>
      <c r="D102" s="30">
        <f>HLOOKUP(D1,[1]縣庫撥款收入明細表!H:DD,16,FALSE)</f>
        <v>444000</v>
      </c>
    </row>
    <row r="103" spans="2:17" ht="32.4">
      <c r="B103" s="72" t="s">
        <v>239</v>
      </c>
      <c r="D103" s="30">
        <f>HLOOKUP(D1,[1]縣庫撥款收入明細表!H:DD,17,FALSE)</f>
        <v>0</v>
      </c>
    </row>
    <row r="104" spans="2:17" ht="32.4">
      <c r="B104" s="76" t="s">
        <v>240</v>
      </c>
      <c r="D104" s="30">
        <f>HLOOKUP(D1,[1]縣庫撥款收入明細表!H:DD,18,FALSE)</f>
        <v>1694000</v>
      </c>
    </row>
    <row r="105" spans="2:17" ht="32.4">
      <c r="B105" s="72" t="s">
        <v>380</v>
      </c>
      <c r="D105" s="30">
        <f>HLOOKUP(D1,[1]縣庫撥款收入明細表!H:DD,19,FALSE)</f>
        <v>0</v>
      </c>
    </row>
    <row r="106" spans="2:17" ht="32.4">
      <c r="B106" s="71" t="s">
        <v>241</v>
      </c>
      <c r="D106" s="30">
        <f>HLOOKUP(D1,[1]縣庫撥款收入明細表!H:DD,20,FALSE)</f>
        <v>21000</v>
      </c>
    </row>
    <row r="107" spans="2:17" ht="32.4">
      <c r="B107" s="77" t="s">
        <v>242</v>
      </c>
      <c r="D107" s="30">
        <f>HLOOKUP(D1,[1]縣庫撥款收入明細表!H:DD,21,FALSE)</f>
        <v>69355000</v>
      </c>
    </row>
    <row r="108" spans="2:17" ht="16.5" customHeight="1"/>
    <row r="109" spans="2:17" ht="16.5" customHeight="1">
      <c r="B109" s="4" t="s">
        <v>682</v>
      </c>
      <c r="D109" s="30">
        <f>D91-D76</f>
        <v>70024000</v>
      </c>
      <c r="F109" s="30">
        <f>F91-F76</f>
        <v>20786000</v>
      </c>
      <c r="G109" s="30">
        <f t="shared" ref="G109:Q109" si="38">G91-G76</f>
        <v>4834000</v>
      </c>
      <c r="H109" s="30">
        <f t="shared" si="38"/>
        <v>5141000</v>
      </c>
      <c r="I109" s="30">
        <f t="shared" si="38"/>
        <v>5813000</v>
      </c>
      <c r="J109" s="30">
        <f t="shared" si="38"/>
        <v>4840000</v>
      </c>
      <c r="K109" s="30">
        <f t="shared" si="38"/>
        <v>4840000</v>
      </c>
      <c r="L109" s="30">
        <f t="shared" si="38"/>
        <v>4888000</v>
      </c>
      <c r="M109" s="30">
        <f t="shared" si="38"/>
        <v>4840000</v>
      </c>
      <c r="N109" s="30">
        <f t="shared" si="38"/>
        <v>8918000</v>
      </c>
      <c r="O109" s="30">
        <f t="shared" si="38"/>
        <v>4835000</v>
      </c>
      <c r="P109" s="30">
        <f t="shared" si="38"/>
        <v>148000</v>
      </c>
      <c r="Q109" s="30">
        <f t="shared" si="38"/>
        <v>141000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2" priority="1" operator="lessThan">
      <formula>0</formula>
    </cfRule>
  </conditionalFormatting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zoomScale="130" zoomScaleNormal="130"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708</v>
      </c>
      <c r="D1" s="28" t="str">
        <f>VLOOKUP(C1,[1]學校編號!A:B,2,FALSE)</f>
        <v>708西寶國小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20555000</v>
      </c>
      <c r="E2" s="37"/>
      <c r="F2" s="37">
        <f>F48+F70+F76+F77+F83</f>
        <v>6043000</v>
      </c>
      <c r="G2" s="37">
        <f t="shared" ref="G2:Q2" si="0">G48+G70+G76+G77+G83</f>
        <v>1479000</v>
      </c>
      <c r="H2" s="37">
        <f t="shared" si="0"/>
        <v>1513000</v>
      </c>
      <c r="I2" s="37">
        <f t="shared" si="0"/>
        <v>1677000</v>
      </c>
      <c r="J2" s="37">
        <f t="shared" si="0"/>
        <v>1486000</v>
      </c>
      <c r="K2" s="37">
        <f t="shared" si="0"/>
        <v>1486000</v>
      </c>
      <c r="L2" s="37">
        <f t="shared" si="0"/>
        <v>1533000</v>
      </c>
      <c r="M2" s="37">
        <f t="shared" si="0"/>
        <v>1486000</v>
      </c>
      <c r="N2" s="37">
        <f t="shared" si="0"/>
        <v>2220000</v>
      </c>
      <c r="O2" s="37">
        <f t="shared" si="0"/>
        <v>1481000</v>
      </c>
      <c r="P2" s="37">
        <f t="shared" si="0"/>
        <v>78000</v>
      </c>
      <c r="Q2" s="37">
        <f t="shared" si="0"/>
        <v>73000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120000</v>
      </c>
      <c r="E3" s="37" t="s">
        <v>525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51000</v>
      </c>
      <c r="E4" s="37" t="s">
        <v>525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63000</v>
      </c>
      <c r="E7" s="37" t="s">
        <v>525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25000</v>
      </c>
      <c r="E10" s="37" t="s">
        <v>525</v>
      </c>
      <c r="F10" s="37">
        <f t="shared" si="1"/>
        <v>2083</v>
      </c>
      <c r="G10" s="37">
        <f t="shared" si="1"/>
        <v>2083</v>
      </c>
      <c r="H10" s="37">
        <f t="shared" si="1"/>
        <v>2083</v>
      </c>
      <c r="I10" s="37">
        <f t="shared" si="1"/>
        <v>2083</v>
      </c>
      <c r="J10" s="37">
        <f t="shared" si="1"/>
        <v>2083</v>
      </c>
      <c r="K10" s="37">
        <f t="shared" si="1"/>
        <v>2083</v>
      </c>
      <c r="L10" s="37">
        <f t="shared" si="1"/>
        <v>2083</v>
      </c>
      <c r="M10" s="37">
        <f t="shared" si="1"/>
        <v>2083</v>
      </c>
      <c r="N10" s="37">
        <f t="shared" si="1"/>
        <v>2083</v>
      </c>
      <c r="O10" s="37">
        <f t="shared" si="1"/>
        <v>2083</v>
      </c>
      <c r="P10" s="37">
        <f t="shared" si="1"/>
        <v>2083</v>
      </c>
      <c r="Q10" s="37">
        <f t="shared" si="2"/>
        <v>2087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36000</v>
      </c>
      <c r="E11" s="37" t="s">
        <v>195</v>
      </c>
      <c r="F11" s="37">
        <f>D11</f>
        <v>36000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514000</v>
      </c>
      <c r="E12" s="113" t="s">
        <v>202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41000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164000</v>
      </c>
      <c r="E13" s="37" t="s">
        <v>525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34000</v>
      </c>
      <c r="E15" s="37" t="s">
        <v>193</v>
      </c>
      <c r="F15" s="37">
        <f>ROUND($D15/2,-3)</f>
        <v>17000</v>
      </c>
      <c r="G15" s="37"/>
      <c r="H15" s="37"/>
      <c r="I15" s="37"/>
      <c r="J15" s="37"/>
      <c r="K15" s="37"/>
      <c r="L15" s="37">
        <f>D15-F15</f>
        <v>17000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0</v>
      </c>
      <c r="E16" s="37" t="s">
        <v>525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42000</v>
      </c>
      <c r="E17" s="37" t="s">
        <v>525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45000</v>
      </c>
      <c r="E24" s="37" t="s">
        <v>193</v>
      </c>
      <c r="F24" s="37">
        <f>ROUND($D24/2,-3)</f>
        <v>23000</v>
      </c>
      <c r="G24" s="37"/>
      <c r="H24" s="37"/>
      <c r="I24" s="37"/>
      <c r="J24" s="37"/>
      <c r="K24" s="37"/>
      <c r="L24" s="37">
        <f>D24-F24</f>
        <v>22000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1154000</v>
      </c>
      <c r="E25" s="108"/>
      <c r="F25" s="108">
        <f>ROUND(SUM(F3:F24),-3)</f>
        <v>249000</v>
      </c>
      <c r="G25" s="108">
        <f t="shared" ref="G25:P25" si="5">ROUND(SUM(G3:G24),-3)</f>
        <v>87000</v>
      </c>
      <c r="H25" s="108">
        <f t="shared" si="5"/>
        <v>87000</v>
      </c>
      <c r="I25" s="108">
        <f t="shared" si="5"/>
        <v>87000</v>
      </c>
      <c r="J25" s="108">
        <f t="shared" si="5"/>
        <v>87000</v>
      </c>
      <c r="K25" s="108">
        <f t="shared" si="5"/>
        <v>87000</v>
      </c>
      <c r="L25" s="108">
        <f t="shared" si="5"/>
        <v>126000</v>
      </c>
      <c r="M25" s="108">
        <f t="shared" si="5"/>
        <v>87000</v>
      </c>
      <c r="N25" s="108">
        <f t="shared" si="5"/>
        <v>87000</v>
      </c>
      <c r="O25" s="108">
        <f t="shared" si="5"/>
        <v>85000</v>
      </c>
      <c r="P25" s="108">
        <f t="shared" si="5"/>
        <v>44000</v>
      </c>
      <c r="Q25" s="108">
        <f t="shared" ref="Q25:Q33" si="6">D25-SUM(F25:P25)</f>
        <v>41000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68000</v>
      </c>
      <c r="E26" s="114" t="s">
        <v>204</v>
      </c>
      <c r="F26" s="37">
        <f>ROUND($D26/10,-3)</f>
        <v>7000</v>
      </c>
      <c r="G26" s="37"/>
      <c r="H26" s="37">
        <f>ROUND($D26/10,-3)</f>
        <v>7000</v>
      </c>
      <c r="I26" s="37">
        <f>ROUND($D26/10,-3)</f>
        <v>7000</v>
      </c>
      <c r="J26" s="37">
        <f>ROUND($D26/10,-3)</f>
        <v>7000</v>
      </c>
      <c r="K26" s="37">
        <f>ROUND($D26/10,-3)</f>
        <v>7000</v>
      </c>
      <c r="L26" s="37"/>
      <c r="M26" s="37">
        <f>ROUND($D26/10,-3)</f>
        <v>7000</v>
      </c>
      <c r="N26" s="37">
        <f>ROUND($D26/10,-3)</f>
        <v>7000</v>
      </c>
      <c r="O26" s="37">
        <f>ROUND($D26/10,-3)</f>
        <v>7000</v>
      </c>
      <c r="P26" s="37">
        <f>ROUND($D26/10,-3)</f>
        <v>7000</v>
      </c>
      <c r="Q26" s="37">
        <f t="shared" si="6"/>
        <v>5000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241000</v>
      </c>
      <c r="E27" s="37" t="s">
        <v>525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18000</v>
      </c>
      <c r="E29" s="37" t="s">
        <v>525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10000</v>
      </c>
      <c r="E30" s="37" t="s">
        <v>525</v>
      </c>
      <c r="F30" s="37">
        <f t="shared" si="8"/>
        <v>833</v>
      </c>
      <c r="G30" s="37">
        <f t="shared" si="8"/>
        <v>833</v>
      </c>
      <c r="H30" s="37">
        <f t="shared" si="8"/>
        <v>833</v>
      </c>
      <c r="I30" s="37">
        <f t="shared" si="8"/>
        <v>833</v>
      </c>
      <c r="J30" s="37">
        <f t="shared" si="8"/>
        <v>833</v>
      </c>
      <c r="K30" s="37">
        <f t="shared" si="8"/>
        <v>833</v>
      </c>
      <c r="L30" s="37">
        <f t="shared" si="8"/>
        <v>833</v>
      </c>
      <c r="M30" s="37">
        <f t="shared" si="8"/>
        <v>833</v>
      </c>
      <c r="N30" s="37">
        <f t="shared" si="8"/>
        <v>833</v>
      </c>
      <c r="O30" s="37">
        <f t="shared" si="8"/>
        <v>833</v>
      </c>
      <c r="P30" s="37">
        <f t="shared" si="8"/>
        <v>833</v>
      </c>
      <c r="Q30" s="37">
        <f t="shared" si="6"/>
        <v>837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5000</v>
      </c>
      <c r="E31" s="37" t="s">
        <v>525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5000</v>
      </c>
      <c r="E36" s="37" t="s">
        <v>193</v>
      </c>
      <c r="F36" s="37">
        <f>ROUND($D36/2,-3)</f>
        <v>3000</v>
      </c>
      <c r="G36" s="37"/>
      <c r="H36" s="37"/>
      <c r="I36" s="37"/>
      <c r="J36" s="37"/>
      <c r="K36" s="37"/>
      <c r="L36" s="37">
        <f>D36-F36</f>
        <v>2000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347000</v>
      </c>
      <c r="E37" s="108"/>
      <c r="F37" s="108">
        <f t="shared" ref="F37:P37" si="9">ROUND(SUM(F26:F36),-3)</f>
        <v>33000</v>
      </c>
      <c r="G37" s="108">
        <f t="shared" si="9"/>
        <v>23000</v>
      </c>
      <c r="H37" s="108">
        <f t="shared" si="9"/>
        <v>30000</v>
      </c>
      <c r="I37" s="108">
        <f t="shared" si="9"/>
        <v>30000</v>
      </c>
      <c r="J37" s="108">
        <f t="shared" si="9"/>
        <v>30000</v>
      </c>
      <c r="K37" s="108">
        <f t="shared" si="9"/>
        <v>30000</v>
      </c>
      <c r="L37" s="108">
        <f t="shared" si="9"/>
        <v>25000</v>
      </c>
      <c r="M37" s="108">
        <f t="shared" si="9"/>
        <v>30000</v>
      </c>
      <c r="N37" s="108">
        <f t="shared" si="9"/>
        <v>30000</v>
      </c>
      <c r="O37" s="108">
        <f t="shared" si="9"/>
        <v>30000</v>
      </c>
      <c r="P37" s="108">
        <f t="shared" si="9"/>
        <v>30000</v>
      </c>
      <c r="Q37" s="108">
        <f>D37-SUM(F37:P37)</f>
        <v>26000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12000</v>
      </c>
      <c r="E42" s="37" t="s">
        <v>199</v>
      </c>
      <c r="F42" s="37"/>
      <c r="G42" s="37"/>
      <c r="H42" s="37"/>
      <c r="I42" s="37">
        <f>D42</f>
        <v>12000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11000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11000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24000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12000</v>
      </c>
      <c r="J45" s="108">
        <f t="shared" si="12"/>
        <v>0</v>
      </c>
      <c r="K45" s="108">
        <f t="shared" si="12"/>
        <v>0</v>
      </c>
      <c r="L45" s="108">
        <f t="shared" si="12"/>
        <v>11000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1525000</v>
      </c>
      <c r="E48" s="37"/>
      <c r="F48" s="115">
        <f>F25+F37+F45+F47</f>
        <v>283000</v>
      </c>
      <c r="G48" s="115">
        <f t="shared" ref="G48:R48" si="14">G25+G37+G45+G47</f>
        <v>110000</v>
      </c>
      <c r="H48" s="115">
        <f t="shared" si="14"/>
        <v>117000</v>
      </c>
      <c r="I48" s="115">
        <f t="shared" si="14"/>
        <v>129000</v>
      </c>
      <c r="J48" s="115">
        <f t="shared" si="14"/>
        <v>117000</v>
      </c>
      <c r="K48" s="115">
        <f t="shared" si="14"/>
        <v>117000</v>
      </c>
      <c r="L48" s="115">
        <f t="shared" si="14"/>
        <v>162000</v>
      </c>
      <c r="M48" s="115">
        <f t="shared" si="14"/>
        <v>117000</v>
      </c>
      <c r="N48" s="115">
        <f t="shared" si="14"/>
        <v>117000</v>
      </c>
      <c r="O48" s="115">
        <f t="shared" si="14"/>
        <v>115000</v>
      </c>
      <c r="P48" s="115">
        <f t="shared" si="14"/>
        <v>74000</v>
      </c>
      <c r="Q48" s="115">
        <f t="shared" si="14"/>
        <v>67000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12087000</v>
      </c>
      <c r="E49" s="114" t="s">
        <v>202</v>
      </c>
      <c r="F49" s="37">
        <f>ROUND($D49/12*3,-3)</f>
        <v>3022000</v>
      </c>
      <c r="G49" s="37">
        <f>ROUND($D49/12,-3)</f>
        <v>1007000</v>
      </c>
      <c r="H49" s="37">
        <f t="shared" ref="H49:N53" si="15">ROUND($D49/12,-3)</f>
        <v>1007000</v>
      </c>
      <c r="I49" s="37">
        <f t="shared" si="15"/>
        <v>1007000</v>
      </c>
      <c r="J49" s="37">
        <f t="shared" si="15"/>
        <v>1007000</v>
      </c>
      <c r="K49" s="37">
        <f t="shared" si="15"/>
        <v>1007000</v>
      </c>
      <c r="L49" s="37">
        <f t="shared" si="15"/>
        <v>1007000</v>
      </c>
      <c r="M49" s="37">
        <f t="shared" si="15"/>
        <v>1007000</v>
      </c>
      <c r="N49" s="37">
        <f t="shared" si="15"/>
        <v>1007000</v>
      </c>
      <c r="O49" s="37">
        <f>D49-SUM(F49:N49)</f>
        <v>1009000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0</v>
      </c>
      <c r="E51" s="114" t="s">
        <v>202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5"/>
        <v>0</v>
      </c>
      <c r="N51" s="37">
        <f t="shared" si="15"/>
        <v>0</v>
      </c>
      <c r="O51" s="37">
        <f t="shared" si="18"/>
        <v>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0</v>
      </c>
      <c r="E52" s="114" t="s">
        <v>202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5"/>
        <v>0</v>
      </c>
      <c r="N52" s="37">
        <f t="shared" si="15"/>
        <v>0</v>
      </c>
      <c r="O52" s="37">
        <f t="shared" si="18"/>
        <v>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26000</v>
      </c>
      <c r="E54" s="37" t="s">
        <v>525</v>
      </c>
      <c r="F54" s="37">
        <f t="shared" ref="F54:P61" si="19">ROUND($D54/12,0)</f>
        <v>2167</v>
      </c>
      <c r="G54" s="37">
        <f t="shared" si="19"/>
        <v>2167</v>
      </c>
      <c r="H54" s="37">
        <f t="shared" si="19"/>
        <v>2167</v>
      </c>
      <c r="I54" s="37">
        <f t="shared" si="19"/>
        <v>2167</v>
      </c>
      <c r="J54" s="37">
        <f t="shared" si="19"/>
        <v>2167</v>
      </c>
      <c r="K54" s="37">
        <f t="shared" si="19"/>
        <v>2167</v>
      </c>
      <c r="L54" s="37">
        <f t="shared" si="19"/>
        <v>2167</v>
      </c>
      <c r="M54" s="37">
        <f t="shared" si="19"/>
        <v>2167</v>
      </c>
      <c r="N54" s="37">
        <f t="shared" si="19"/>
        <v>2167</v>
      </c>
      <c r="O54" s="37">
        <f t="shared" si="19"/>
        <v>2167</v>
      </c>
      <c r="P54" s="37">
        <f t="shared" si="19"/>
        <v>2167</v>
      </c>
      <c r="Q54" s="37">
        <f t="shared" ref="Q54:Q61" si="20">D54-SUM(F54:P54)</f>
        <v>2163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189000</v>
      </c>
      <c r="E60" s="37" t="s">
        <v>195</v>
      </c>
      <c r="F60" s="37">
        <f>D60</f>
        <v>189000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896000</v>
      </c>
      <c r="E62" s="37" t="s">
        <v>197</v>
      </c>
      <c r="F62" s="37"/>
      <c r="G62" s="37"/>
      <c r="H62" s="37"/>
      <c r="I62" s="37">
        <f>ROUND($D62/5,-3)</f>
        <v>179000</v>
      </c>
      <c r="J62" s="37"/>
      <c r="K62" s="37"/>
      <c r="L62" s="37"/>
      <c r="M62" s="37"/>
      <c r="N62" s="37">
        <f>D62-I62</f>
        <v>717000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1368000</v>
      </c>
      <c r="E63" s="37" t="s">
        <v>195</v>
      </c>
      <c r="F63" s="37">
        <f>D63</f>
        <v>1368000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1056000</v>
      </c>
      <c r="E64" s="114" t="s">
        <v>202</v>
      </c>
      <c r="F64" s="37">
        <f>ROUND($D64/12*3,-3)</f>
        <v>264000</v>
      </c>
      <c r="G64" s="37">
        <f>ROUND($D64/12,-3)</f>
        <v>88000</v>
      </c>
      <c r="H64" s="37">
        <f t="shared" ref="H64:N66" si="21">ROUND($D64/12,-3)</f>
        <v>88000</v>
      </c>
      <c r="I64" s="37">
        <f t="shared" si="21"/>
        <v>88000</v>
      </c>
      <c r="J64" s="37">
        <f t="shared" si="21"/>
        <v>88000</v>
      </c>
      <c r="K64" s="37">
        <f t="shared" si="21"/>
        <v>88000</v>
      </c>
      <c r="L64" s="37">
        <f t="shared" si="21"/>
        <v>88000</v>
      </c>
      <c r="M64" s="37">
        <f t="shared" si="21"/>
        <v>88000</v>
      </c>
      <c r="N64" s="37">
        <f t="shared" si="21"/>
        <v>88000</v>
      </c>
      <c r="O64" s="37">
        <f>D64-SUM(F64:N64)</f>
        <v>88000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192000</v>
      </c>
      <c r="E65" s="114" t="s">
        <v>202</v>
      </c>
      <c r="F65" s="37">
        <f t="shared" ref="F65:F66" si="22">ROUND($D65/12*3,-3)</f>
        <v>48000</v>
      </c>
      <c r="G65" s="37">
        <f t="shared" ref="G65:G66" si="23">ROUND($D65/12,-3)</f>
        <v>16000</v>
      </c>
      <c r="H65" s="37">
        <f t="shared" si="21"/>
        <v>16000</v>
      </c>
      <c r="I65" s="37">
        <f t="shared" si="21"/>
        <v>16000</v>
      </c>
      <c r="J65" s="37">
        <f t="shared" si="21"/>
        <v>16000</v>
      </c>
      <c r="K65" s="37">
        <f t="shared" si="21"/>
        <v>16000</v>
      </c>
      <c r="L65" s="37">
        <f t="shared" si="21"/>
        <v>16000</v>
      </c>
      <c r="M65" s="37">
        <f t="shared" si="21"/>
        <v>16000</v>
      </c>
      <c r="N65" s="37">
        <f t="shared" si="21"/>
        <v>16000</v>
      </c>
      <c r="O65" s="37">
        <f t="shared" ref="O65:O66" si="24">D65-SUM(F65:N65)</f>
        <v>16000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1062000</v>
      </c>
      <c r="E66" s="114" t="s">
        <v>202</v>
      </c>
      <c r="F66" s="37">
        <f t="shared" si="22"/>
        <v>266000</v>
      </c>
      <c r="G66" s="37">
        <f t="shared" si="23"/>
        <v>89000</v>
      </c>
      <c r="H66" s="37">
        <f t="shared" si="21"/>
        <v>89000</v>
      </c>
      <c r="I66" s="37">
        <f t="shared" si="21"/>
        <v>89000</v>
      </c>
      <c r="J66" s="37">
        <f t="shared" si="21"/>
        <v>89000</v>
      </c>
      <c r="K66" s="37">
        <f t="shared" si="21"/>
        <v>89000</v>
      </c>
      <c r="L66" s="37">
        <f t="shared" si="21"/>
        <v>89000</v>
      </c>
      <c r="M66" s="37">
        <f t="shared" si="21"/>
        <v>89000</v>
      </c>
      <c r="N66" s="37">
        <f t="shared" si="21"/>
        <v>89000</v>
      </c>
      <c r="O66" s="37">
        <f t="shared" si="24"/>
        <v>84000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9000</v>
      </c>
      <c r="E67" s="37" t="s">
        <v>196</v>
      </c>
      <c r="F67" s="37"/>
      <c r="G67" s="37"/>
      <c r="H67" s="37">
        <f>D67</f>
        <v>9000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102000</v>
      </c>
      <c r="E68" s="37" t="s">
        <v>195</v>
      </c>
      <c r="F68" s="37">
        <f>D68</f>
        <v>102000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4000</v>
      </c>
      <c r="E69" s="37" t="s">
        <v>193</v>
      </c>
      <c r="F69" s="37">
        <f>ROUND($D69/2,-3)</f>
        <v>2000</v>
      </c>
      <c r="G69" s="37"/>
      <c r="H69" s="37"/>
      <c r="I69" s="37"/>
      <c r="J69" s="37"/>
      <c r="K69" s="37"/>
      <c r="L69" s="37">
        <f>D69-F69</f>
        <v>2000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17015000</v>
      </c>
      <c r="E70" s="108"/>
      <c r="F70" s="108">
        <f t="shared" ref="F70:P70" si="25">ROUND(SUM(F49:F69),-3)</f>
        <v>5265000</v>
      </c>
      <c r="G70" s="108">
        <f t="shared" si="25"/>
        <v>1204000</v>
      </c>
      <c r="H70" s="108">
        <f t="shared" si="25"/>
        <v>1213000</v>
      </c>
      <c r="I70" s="108">
        <f t="shared" si="25"/>
        <v>1383000</v>
      </c>
      <c r="J70" s="108">
        <f t="shared" si="25"/>
        <v>1204000</v>
      </c>
      <c r="K70" s="108">
        <f t="shared" si="25"/>
        <v>1204000</v>
      </c>
      <c r="L70" s="108">
        <f t="shared" si="25"/>
        <v>1206000</v>
      </c>
      <c r="M70" s="108">
        <f t="shared" si="25"/>
        <v>1204000</v>
      </c>
      <c r="N70" s="108">
        <f t="shared" si="25"/>
        <v>1921000</v>
      </c>
      <c r="O70" s="108">
        <f t="shared" si="25"/>
        <v>1201000</v>
      </c>
      <c r="P70" s="108">
        <f t="shared" si="25"/>
        <v>4000</v>
      </c>
      <c r="Q70" s="108">
        <f>D70-SUM(F70:P70)</f>
        <v>6000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1980000</v>
      </c>
      <c r="E72" s="114" t="s">
        <v>202</v>
      </c>
      <c r="F72" s="37">
        <f>ROUND($D72/12*3,-3)</f>
        <v>495000</v>
      </c>
      <c r="G72" s="37">
        <f>ROUND($D72/12,-3)</f>
        <v>165000</v>
      </c>
      <c r="H72" s="37">
        <f t="shared" ref="H72:N75" si="26">ROUND($D72/12,-3)</f>
        <v>165000</v>
      </c>
      <c r="I72" s="37">
        <f t="shared" si="26"/>
        <v>165000</v>
      </c>
      <c r="J72" s="37">
        <f t="shared" si="26"/>
        <v>165000</v>
      </c>
      <c r="K72" s="37">
        <f t="shared" si="26"/>
        <v>165000</v>
      </c>
      <c r="L72" s="37">
        <f t="shared" si="26"/>
        <v>165000</v>
      </c>
      <c r="M72" s="37">
        <f t="shared" si="26"/>
        <v>165000</v>
      </c>
      <c r="N72" s="37">
        <f t="shared" si="26"/>
        <v>165000</v>
      </c>
      <c r="O72" s="37">
        <f>D72-SUM(F72:N72)</f>
        <v>165000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1980000</v>
      </c>
      <c r="E76" s="108"/>
      <c r="F76" s="108">
        <f>ROUND(SUM(F71:F75),-3)</f>
        <v>495000</v>
      </c>
      <c r="G76" s="108">
        <f t="shared" ref="G76:N76" si="27">ROUND(SUM(G71:G75),-3)</f>
        <v>165000</v>
      </c>
      <c r="H76" s="108">
        <f t="shared" si="27"/>
        <v>165000</v>
      </c>
      <c r="I76" s="108">
        <f t="shared" si="27"/>
        <v>165000</v>
      </c>
      <c r="J76" s="108">
        <f t="shared" si="27"/>
        <v>165000</v>
      </c>
      <c r="K76" s="108">
        <f t="shared" si="27"/>
        <v>165000</v>
      </c>
      <c r="L76" s="108">
        <f t="shared" si="27"/>
        <v>165000</v>
      </c>
      <c r="M76" s="108">
        <f t="shared" si="27"/>
        <v>165000</v>
      </c>
      <c r="N76" s="108">
        <f t="shared" si="27"/>
        <v>165000</v>
      </c>
      <c r="O76" s="108">
        <f>D76-SUM(F76:N76)</f>
        <v>165000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35000</v>
      </c>
      <c r="E77" s="37" t="s">
        <v>681</v>
      </c>
      <c r="F77" s="224"/>
      <c r="G77" s="224"/>
      <c r="H77" s="224">
        <f>ROUND($D77/2,-3)</f>
        <v>18000</v>
      </c>
      <c r="I77" s="224"/>
      <c r="J77" s="224"/>
      <c r="K77" s="224"/>
      <c r="L77" s="224"/>
      <c r="M77" s="224"/>
      <c r="N77" s="224">
        <f>D77-H77</f>
        <v>17000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19030000</v>
      </c>
      <c r="E78" s="227"/>
      <c r="F78" s="227">
        <f>F76+F70+F77</f>
        <v>5760000</v>
      </c>
      <c r="G78" s="227">
        <f t="shared" ref="G78:Q78" si="29">G76+G70+G77</f>
        <v>1369000</v>
      </c>
      <c r="H78" s="227">
        <f t="shared" si="29"/>
        <v>1396000</v>
      </c>
      <c r="I78" s="227">
        <f t="shared" si="29"/>
        <v>1548000</v>
      </c>
      <c r="J78" s="227">
        <f t="shared" si="29"/>
        <v>1369000</v>
      </c>
      <c r="K78" s="227">
        <f t="shared" si="29"/>
        <v>1369000</v>
      </c>
      <c r="L78" s="227">
        <f t="shared" si="29"/>
        <v>1371000</v>
      </c>
      <c r="M78" s="227">
        <f t="shared" si="29"/>
        <v>1369000</v>
      </c>
      <c r="N78" s="227">
        <f t="shared" si="29"/>
        <v>2103000</v>
      </c>
      <c r="O78" s="227">
        <f t="shared" si="29"/>
        <v>1366000</v>
      </c>
      <c r="P78" s="227">
        <f t="shared" si="29"/>
        <v>4000</v>
      </c>
      <c r="Q78" s="227">
        <f t="shared" si="29"/>
        <v>6000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20555000</v>
      </c>
      <c r="E87" s="37"/>
      <c r="F87" s="37">
        <f>F88+F89+F90+F91</f>
        <v>6043000</v>
      </c>
      <c r="G87" s="37">
        <f t="shared" ref="G87:Q87" si="32">G88+G89+G90+G91</f>
        <v>1479000</v>
      </c>
      <c r="H87" s="37">
        <f t="shared" si="32"/>
        <v>1513000</v>
      </c>
      <c r="I87" s="37">
        <f t="shared" si="32"/>
        <v>1677000</v>
      </c>
      <c r="J87" s="37">
        <f t="shared" si="32"/>
        <v>1486000</v>
      </c>
      <c r="K87" s="37">
        <f t="shared" si="32"/>
        <v>1486000</v>
      </c>
      <c r="L87" s="37">
        <f t="shared" si="32"/>
        <v>1533000</v>
      </c>
      <c r="M87" s="37">
        <f t="shared" si="32"/>
        <v>1486000</v>
      </c>
      <c r="N87" s="37">
        <f t="shared" si="32"/>
        <v>2220000</v>
      </c>
      <c r="O87" s="37">
        <f t="shared" si="32"/>
        <v>1481000</v>
      </c>
      <c r="P87" s="37">
        <f t="shared" si="32"/>
        <v>78000</v>
      </c>
      <c r="Q87" s="37">
        <f t="shared" si="32"/>
        <v>73000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54000</v>
      </c>
      <c r="E88" s="108" t="s">
        <v>193</v>
      </c>
      <c r="F88" s="108">
        <f>ROUND($D88/2,-3)</f>
        <v>27000</v>
      </c>
      <c r="G88" s="108"/>
      <c r="H88" s="108"/>
      <c r="I88" s="108"/>
      <c r="J88" s="108"/>
      <c r="K88" s="108"/>
      <c r="L88" s="108">
        <f>D88-F88</f>
        <v>27000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20500000</v>
      </c>
      <c r="E91" s="108"/>
      <c r="F91" s="108">
        <f>F92+F93+F94+F95</f>
        <v>6016000</v>
      </c>
      <c r="G91" s="108">
        <f t="shared" ref="G91:Q91" si="34">G92+G93+G94+G95</f>
        <v>1479000</v>
      </c>
      <c r="H91" s="108">
        <f t="shared" si="34"/>
        <v>1513000</v>
      </c>
      <c r="I91" s="108">
        <f t="shared" si="34"/>
        <v>1677000</v>
      </c>
      <c r="J91" s="108">
        <f t="shared" si="34"/>
        <v>1486000</v>
      </c>
      <c r="K91" s="108">
        <f t="shared" si="34"/>
        <v>1486000</v>
      </c>
      <c r="L91" s="108">
        <f t="shared" si="34"/>
        <v>1506000</v>
      </c>
      <c r="M91" s="108">
        <f t="shared" si="34"/>
        <v>1486000</v>
      </c>
      <c r="N91" s="108">
        <f t="shared" si="34"/>
        <v>2220000</v>
      </c>
      <c r="O91" s="108">
        <f t="shared" si="34"/>
        <v>1481000</v>
      </c>
      <c r="P91" s="108">
        <f t="shared" si="34"/>
        <v>78000</v>
      </c>
      <c r="Q91" s="108">
        <f t="shared" si="34"/>
        <v>72000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1300000</v>
      </c>
      <c r="E92" s="114" t="s">
        <v>537</v>
      </c>
      <c r="F92" s="37">
        <f>ROUND($D92/12*5,-3)</f>
        <v>542000</v>
      </c>
      <c r="G92" s="37">
        <f>ROUND($D92/12,-3)</f>
        <v>108000</v>
      </c>
      <c r="H92" s="37">
        <f t="shared" ref="H92:L92" si="35">ROUND($D92/12,-3)</f>
        <v>108000</v>
      </c>
      <c r="I92" s="37">
        <f t="shared" si="35"/>
        <v>108000</v>
      </c>
      <c r="J92" s="37">
        <f t="shared" si="35"/>
        <v>108000</v>
      </c>
      <c r="K92" s="37">
        <f t="shared" si="35"/>
        <v>108000</v>
      </c>
      <c r="L92" s="37">
        <f t="shared" si="35"/>
        <v>108000</v>
      </c>
      <c r="M92" s="37">
        <f>D92-SUM(F92:L92)</f>
        <v>110000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77000</v>
      </c>
      <c r="E93" s="189" t="s">
        <v>227</v>
      </c>
      <c r="F93" s="37">
        <f>ROUND($D93/12,-3)</f>
        <v>6000</v>
      </c>
      <c r="G93" s="37">
        <f t="shared" ref="G93:P93" si="36">ROUND($D93/12,-3)</f>
        <v>6000</v>
      </c>
      <c r="H93" s="37">
        <f t="shared" si="36"/>
        <v>6000</v>
      </c>
      <c r="I93" s="37">
        <f t="shared" si="36"/>
        <v>6000</v>
      </c>
      <c r="J93" s="37">
        <f t="shared" si="36"/>
        <v>6000</v>
      </c>
      <c r="K93" s="37">
        <f t="shared" si="36"/>
        <v>6000</v>
      </c>
      <c r="L93" s="37">
        <f t="shared" si="36"/>
        <v>6000</v>
      </c>
      <c r="M93" s="37">
        <f t="shared" si="36"/>
        <v>6000</v>
      </c>
      <c r="N93" s="37">
        <f t="shared" si="36"/>
        <v>6000</v>
      </c>
      <c r="O93" s="37">
        <f t="shared" si="36"/>
        <v>6000</v>
      </c>
      <c r="P93" s="37">
        <f t="shared" si="36"/>
        <v>6000</v>
      </c>
      <c r="Q93" s="37">
        <f>D93-SUM(F93:P93)</f>
        <v>11000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19123000</v>
      </c>
      <c r="E95" s="37"/>
      <c r="F95" s="37">
        <f>F2+F86-F88-F89-F90-F92-F93-F94</f>
        <v>5468000</v>
      </c>
      <c r="G95" s="37">
        <f t="shared" ref="G95:Q95" si="37">G2-G88-G89-G90-G92-G93-G94</f>
        <v>1365000</v>
      </c>
      <c r="H95" s="37">
        <f t="shared" si="37"/>
        <v>1399000</v>
      </c>
      <c r="I95" s="37">
        <f t="shared" si="37"/>
        <v>1563000</v>
      </c>
      <c r="J95" s="37">
        <f t="shared" si="37"/>
        <v>1372000</v>
      </c>
      <c r="K95" s="37">
        <f t="shared" si="37"/>
        <v>1372000</v>
      </c>
      <c r="L95" s="37">
        <f t="shared" si="37"/>
        <v>1392000</v>
      </c>
      <c r="M95" s="37">
        <f t="shared" si="37"/>
        <v>1370000</v>
      </c>
      <c r="N95" s="37">
        <f t="shared" si="37"/>
        <v>2214000</v>
      </c>
      <c r="O95" s="37">
        <f t="shared" si="37"/>
        <v>1475000</v>
      </c>
      <c r="P95" s="37">
        <f t="shared" si="37"/>
        <v>72000</v>
      </c>
      <c r="Q95" s="37">
        <f t="shared" si="37"/>
        <v>61000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0</v>
      </c>
    </row>
    <row r="102" spans="2:17" ht="32.4">
      <c r="B102" s="71" t="s">
        <v>238</v>
      </c>
      <c r="D102" s="30">
        <f>HLOOKUP(D1,[1]縣庫撥款收入明細表!H:DD,16,FALSE)</f>
        <v>72000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650000</v>
      </c>
    </row>
    <row r="106" spans="2:17" ht="32.4">
      <c r="B106" s="71" t="s">
        <v>241</v>
      </c>
      <c r="D106" s="30">
        <f>HLOOKUP(D1,[1]縣庫撥款收入明細表!H:DD,20,FALSE)</f>
        <v>5000</v>
      </c>
    </row>
    <row r="107" spans="2:17" ht="32.4">
      <c r="B107" s="77" t="s">
        <v>242</v>
      </c>
      <c r="D107" s="30">
        <f>HLOOKUP(D1,[1]縣庫撥款收入明細表!H:DD,21,FALSE)</f>
        <v>19123000</v>
      </c>
    </row>
    <row r="108" spans="2:17" ht="16.5" customHeight="1"/>
    <row r="109" spans="2:17" ht="16.5" customHeight="1">
      <c r="B109" s="4" t="s">
        <v>682</v>
      </c>
      <c r="D109" s="30">
        <f>D91-D76</f>
        <v>18520000</v>
      </c>
      <c r="F109" s="30">
        <f>F91-F76</f>
        <v>5521000</v>
      </c>
      <c r="G109" s="30">
        <f t="shared" ref="G109:Q109" si="38">G91-G76</f>
        <v>1314000</v>
      </c>
      <c r="H109" s="30">
        <f t="shared" si="38"/>
        <v>1348000</v>
      </c>
      <c r="I109" s="30">
        <f t="shared" si="38"/>
        <v>1512000</v>
      </c>
      <c r="J109" s="30">
        <f t="shared" si="38"/>
        <v>1321000</v>
      </c>
      <c r="K109" s="30">
        <f t="shared" si="38"/>
        <v>1321000</v>
      </c>
      <c r="L109" s="30">
        <f t="shared" si="38"/>
        <v>1341000</v>
      </c>
      <c r="M109" s="30">
        <f t="shared" si="38"/>
        <v>1321000</v>
      </c>
      <c r="N109" s="30">
        <f t="shared" si="38"/>
        <v>2055000</v>
      </c>
      <c r="O109" s="30">
        <f t="shared" si="38"/>
        <v>1316000</v>
      </c>
      <c r="P109" s="30">
        <f t="shared" si="38"/>
        <v>78000</v>
      </c>
      <c r="Q109" s="30">
        <f t="shared" si="38"/>
        <v>72000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602</v>
      </c>
      <c r="D1" s="240" t="str">
        <f>VLOOKUP(C1,學校編號!A:B,2,FALSE)</f>
        <v>602明義國小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227328000</v>
      </c>
      <c r="E2" s="37"/>
      <c r="F2" s="37">
        <f>F48+F70+F76+F77+F83</f>
        <v>64263000</v>
      </c>
      <c r="G2" s="37">
        <f t="shared" ref="G2:Q2" si="0">G48+G70+G76+G77+G83</f>
        <v>16140000</v>
      </c>
      <c r="H2" s="37">
        <f t="shared" si="0"/>
        <v>17068000</v>
      </c>
      <c r="I2" s="37">
        <f t="shared" si="0"/>
        <v>19089000</v>
      </c>
      <c r="J2" s="37">
        <f t="shared" si="0"/>
        <v>16140000</v>
      </c>
      <c r="K2" s="37">
        <f t="shared" si="0"/>
        <v>16164000</v>
      </c>
      <c r="L2" s="37">
        <f t="shared" si="0"/>
        <v>16651000</v>
      </c>
      <c r="M2" s="37">
        <f t="shared" si="0"/>
        <v>16140000</v>
      </c>
      <c r="N2" s="37">
        <f t="shared" si="0"/>
        <v>28660000</v>
      </c>
      <c r="O2" s="37">
        <f t="shared" si="0"/>
        <v>16128000</v>
      </c>
      <c r="P2" s="37">
        <f t="shared" si="0"/>
        <v>444000</v>
      </c>
      <c r="Q2" s="37">
        <f t="shared" si="0"/>
        <v>441000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1035000</v>
      </c>
      <c r="E3" s="37" t="s">
        <v>525</v>
      </c>
      <c r="F3" s="37">
        <f t="shared" ref="F3:P17" si="1">ROUND($D3/12,0)</f>
        <v>86250</v>
      </c>
      <c r="G3" s="37">
        <f t="shared" si="1"/>
        <v>86250</v>
      </c>
      <c r="H3" s="37">
        <f t="shared" si="1"/>
        <v>86250</v>
      </c>
      <c r="I3" s="37">
        <f t="shared" si="1"/>
        <v>86250</v>
      </c>
      <c r="J3" s="37">
        <f t="shared" si="1"/>
        <v>86250</v>
      </c>
      <c r="K3" s="37">
        <f t="shared" si="1"/>
        <v>86250</v>
      </c>
      <c r="L3" s="37">
        <f t="shared" si="1"/>
        <v>86250</v>
      </c>
      <c r="M3" s="37">
        <f t="shared" si="1"/>
        <v>86250</v>
      </c>
      <c r="N3" s="37">
        <f t="shared" si="1"/>
        <v>86250</v>
      </c>
      <c r="O3" s="37">
        <f t="shared" si="1"/>
        <v>86250</v>
      </c>
      <c r="P3" s="37">
        <f t="shared" si="1"/>
        <v>86250</v>
      </c>
      <c r="Q3" s="37">
        <f t="shared" ref="Q3:Q10" si="2">D3-SUM(F3:P3)</f>
        <v>86250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443000</v>
      </c>
      <c r="E4" s="37" t="s">
        <v>525</v>
      </c>
      <c r="F4" s="37">
        <f t="shared" si="1"/>
        <v>36917</v>
      </c>
      <c r="G4" s="37">
        <f t="shared" si="1"/>
        <v>36917</v>
      </c>
      <c r="H4" s="37">
        <f t="shared" si="1"/>
        <v>36917</v>
      </c>
      <c r="I4" s="37">
        <f t="shared" si="1"/>
        <v>36917</v>
      </c>
      <c r="J4" s="37">
        <f t="shared" si="1"/>
        <v>36917</v>
      </c>
      <c r="K4" s="37">
        <f t="shared" si="1"/>
        <v>36917</v>
      </c>
      <c r="L4" s="37">
        <f t="shared" si="1"/>
        <v>36917</v>
      </c>
      <c r="M4" s="37">
        <f t="shared" si="1"/>
        <v>36917</v>
      </c>
      <c r="N4" s="37">
        <f t="shared" si="1"/>
        <v>36917</v>
      </c>
      <c r="O4" s="37">
        <f t="shared" si="1"/>
        <v>36917</v>
      </c>
      <c r="P4" s="37">
        <f t="shared" si="1"/>
        <v>36917</v>
      </c>
      <c r="Q4" s="37">
        <f t="shared" si="2"/>
        <v>36913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45000</v>
      </c>
      <c r="E5" s="37" t="s">
        <v>525</v>
      </c>
      <c r="F5" s="37">
        <f t="shared" si="1"/>
        <v>3750</v>
      </c>
      <c r="G5" s="37">
        <f t="shared" si="1"/>
        <v>3750</v>
      </c>
      <c r="H5" s="37">
        <f t="shared" si="1"/>
        <v>3750</v>
      </c>
      <c r="I5" s="37">
        <f t="shared" si="1"/>
        <v>3750</v>
      </c>
      <c r="J5" s="37">
        <f t="shared" si="1"/>
        <v>3750</v>
      </c>
      <c r="K5" s="37">
        <f t="shared" si="1"/>
        <v>3750</v>
      </c>
      <c r="L5" s="37">
        <f t="shared" si="1"/>
        <v>3750</v>
      </c>
      <c r="M5" s="37">
        <f t="shared" si="1"/>
        <v>3750</v>
      </c>
      <c r="N5" s="37">
        <f t="shared" si="1"/>
        <v>3750</v>
      </c>
      <c r="O5" s="37">
        <f t="shared" si="1"/>
        <v>3750</v>
      </c>
      <c r="P5" s="37">
        <f t="shared" si="1"/>
        <v>3750</v>
      </c>
      <c r="Q5" s="37">
        <f t="shared" si="2"/>
        <v>3750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182000</v>
      </c>
      <c r="E6" s="37" t="s">
        <v>525</v>
      </c>
      <c r="F6" s="37">
        <f t="shared" si="1"/>
        <v>15167</v>
      </c>
      <c r="G6" s="37">
        <f t="shared" si="1"/>
        <v>15167</v>
      </c>
      <c r="H6" s="37">
        <f t="shared" si="1"/>
        <v>15167</v>
      </c>
      <c r="I6" s="37">
        <f t="shared" si="1"/>
        <v>15167</v>
      </c>
      <c r="J6" s="37">
        <f t="shared" si="1"/>
        <v>15167</v>
      </c>
      <c r="K6" s="37">
        <f t="shared" si="1"/>
        <v>15167</v>
      </c>
      <c r="L6" s="37">
        <f t="shared" si="1"/>
        <v>15167</v>
      </c>
      <c r="M6" s="37">
        <f t="shared" si="1"/>
        <v>15167</v>
      </c>
      <c r="N6" s="37">
        <f t="shared" si="1"/>
        <v>15167</v>
      </c>
      <c r="O6" s="37">
        <f t="shared" si="1"/>
        <v>15167</v>
      </c>
      <c r="P6" s="37">
        <f t="shared" si="1"/>
        <v>15167</v>
      </c>
      <c r="Q6" s="37">
        <f t="shared" si="2"/>
        <v>15163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99000</v>
      </c>
      <c r="E7" s="37" t="s">
        <v>525</v>
      </c>
      <c r="F7" s="37">
        <f t="shared" si="1"/>
        <v>8250</v>
      </c>
      <c r="G7" s="37">
        <f t="shared" si="1"/>
        <v>8250</v>
      </c>
      <c r="H7" s="37">
        <f t="shared" si="1"/>
        <v>8250</v>
      </c>
      <c r="I7" s="37">
        <f t="shared" si="1"/>
        <v>8250</v>
      </c>
      <c r="J7" s="37">
        <f t="shared" si="1"/>
        <v>8250</v>
      </c>
      <c r="K7" s="37">
        <f t="shared" si="1"/>
        <v>8250</v>
      </c>
      <c r="L7" s="37">
        <f t="shared" si="1"/>
        <v>8250</v>
      </c>
      <c r="M7" s="37">
        <f t="shared" si="1"/>
        <v>8250</v>
      </c>
      <c r="N7" s="37">
        <f t="shared" si="1"/>
        <v>8250</v>
      </c>
      <c r="O7" s="37">
        <f t="shared" si="1"/>
        <v>8250</v>
      </c>
      <c r="P7" s="37">
        <f t="shared" si="1"/>
        <v>8250</v>
      </c>
      <c r="Q7" s="37">
        <f t="shared" si="2"/>
        <v>8250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120000</v>
      </c>
      <c r="E8" s="37" t="s">
        <v>525</v>
      </c>
      <c r="F8" s="37">
        <f t="shared" si="1"/>
        <v>10000</v>
      </c>
      <c r="G8" s="37">
        <f t="shared" si="1"/>
        <v>10000</v>
      </c>
      <c r="H8" s="37">
        <f t="shared" si="1"/>
        <v>10000</v>
      </c>
      <c r="I8" s="37">
        <f t="shared" si="1"/>
        <v>10000</v>
      </c>
      <c r="J8" s="37">
        <f t="shared" si="1"/>
        <v>10000</v>
      </c>
      <c r="K8" s="37">
        <f t="shared" si="1"/>
        <v>10000</v>
      </c>
      <c r="L8" s="37">
        <f t="shared" si="1"/>
        <v>10000</v>
      </c>
      <c r="M8" s="37">
        <f t="shared" si="1"/>
        <v>10000</v>
      </c>
      <c r="N8" s="37">
        <f t="shared" si="1"/>
        <v>10000</v>
      </c>
      <c r="O8" s="37">
        <f t="shared" si="1"/>
        <v>10000</v>
      </c>
      <c r="P8" s="37">
        <f t="shared" si="1"/>
        <v>10000</v>
      </c>
      <c r="Q8" s="37">
        <f t="shared" si="2"/>
        <v>10000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53000</v>
      </c>
      <c r="E9" s="37" t="s">
        <v>525</v>
      </c>
      <c r="F9" s="37">
        <f t="shared" si="1"/>
        <v>4417</v>
      </c>
      <c r="G9" s="37">
        <f t="shared" si="1"/>
        <v>4417</v>
      </c>
      <c r="H9" s="37">
        <f t="shared" si="1"/>
        <v>4417</v>
      </c>
      <c r="I9" s="37">
        <f t="shared" si="1"/>
        <v>4417</v>
      </c>
      <c r="J9" s="37">
        <f t="shared" si="1"/>
        <v>4417</v>
      </c>
      <c r="K9" s="37">
        <f t="shared" si="1"/>
        <v>4417</v>
      </c>
      <c r="L9" s="37">
        <f t="shared" si="1"/>
        <v>4417</v>
      </c>
      <c r="M9" s="37">
        <f t="shared" si="1"/>
        <v>4417</v>
      </c>
      <c r="N9" s="37">
        <f t="shared" si="1"/>
        <v>4417</v>
      </c>
      <c r="O9" s="37">
        <f t="shared" si="1"/>
        <v>4417</v>
      </c>
      <c r="P9" s="37">
        <f t="shared" si="1"/>
        <v>4417</v>
      </c>
      <c r="Q9" s="37">
        <f t="shared" si="2"/>
        <v>4413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138000</v>
      </c>
      <c r="E13" s="37" t="s">
        <v>525</v>
      </c>
      <c r="F13" s="37">
        <f>ROUND($D13/12,0)</f>
        <v>11500</v>
      </c>
      <c r="G13" s="37">
        <f t="shared" si="1"/>
        <v>11500</v>
      </c>
      <c r="H13" s="37">
        <f t="shared" si="1"/>
        <v>11500</v>
      </c>
      <c r="I13" s="37">
        <f t="shared" si="1"/>
        <v>11500</v>
      </c>
      <c r="J13" s="37">
        <f t="shared" si="1"/>
        <v>11500</v>
      </c>
      <c r="K13" s="37">
        <f t="shared" si="1"/>
        <v>11500</v>
      </c>
      <c r="L13" s="37">
        <f t="shared" si="1"/>
        <v>11500</v>
      </c>
      <c r="M13" s="37">
        <f t="shared" si="1"/>
        <v>11500</v>
      </c>
      <c r="N13" s="37">
        <f t="shared" si="1"/>
        <v>11500</v>
      </c>
      <c r="O13" s="37">
        <f t="shared" si="1"/>
        <v>11500</v>
      </c>
      <c r="P13" s="37">
        <f t="shared" si="1"/>
        <v>11500</v>
      </c>
      <c r="Q13" s="37">
        <f>D13-SUM(F13:P13)</f>
        <v>11500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252000</v>
      </c>
      <c r="E15" s="37" t="s">
        <v>193</v>
      </c>
      <c r="F15" s="37">
        <f>ROUND($D15/2,-3)</f>
        <v>126000</v>
      </c>
      <c r="G15" s="37"/>
      <c r="H15" s="37"/>
      <c r="I15" s="37"/>
      <c r="J15" s="37"/>
      <c r="K15" s="37"/>
      <c r="L15" s="37">
        <f>D15-F15</f>
        <v>126000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751000</v>
      </c>
      <c r="E16" s="37" t="s">
        <v>525</v>
      </c>
      <c r="F16" s="37">
        <f>ROUND($D16/12,0)</f>
        <v>62583</v>
      </c>
      <c r="G16" s="37">
        <f t="shared" si="1"/>
        <v>62583</v>
      </c>
      <c r="H16" s="37">
        <f t="shared" si="1"/>
        <v>62583</v>
      </c>
      <c r="I16" s="37">
        <f t="shared" si="1"/>
        <v>62583</v>
      </c>
      <c r="J16" s="37">
        <f t="shared" si="1"/>
        <v>62583</v>
      </c>
      <c r="K16" s="37">
        <f t="shared" si="1"/>
        <v>62583</v>
      </c>
      <c r="L16" s="37">
        <f t="shared" si="1"/>
        <v>62583</v>
      </c>
      <c r="M16" s="37">
        <f t="shared" si="1"/>
        <v>62583</v>
      </c>
      <c r="N16" s="37">
        <f t="shared" si="1"/>
        <v>62583</v>
      </c>
      <c r="O16" s="37">
        <f t="shared" si="1"/>
        <v>62583</v>
      </c>
      <c r="P16" s="37">
        <f t="shared" si="1"/>
        <v>62583</v>
      </c>
      <c r="Q16" s="37">
        <f>D16-SUM(F16:P16)</f>
        <v>62587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98000</v>
      </c>
      <c r="E17" s="37" t="s">
        <v>525</v>
      </c>
      <c r="F17" s="37">
        <f>ROUND($D17/12,0)</f>
        <v>8167</v>
      </c>
      <c r="G17" s="37">
        <f t="shared" si="1"/>
        <v>8167</v>
      </c>
      <c r="H17" s="37">
        <f t="shared" si="1"/>
        <v>8167</v>
      </c>
      <c r="I17" s="37">
        <f t="shared" si="1"/>
        <v>8167</v>
      </c>
      <c r="J17" s="37">
        <f t="shared" si="1"/>
        <v>8167</v>
      </c>
      <c r="K17" s="37">
        <f t="shared" si="1"/>
        <v>8167</v>
      </c>
      <c r="L17" s="37">
        <f t="shared" si="1"/>
        <v>8167</v>
      </c>
      <c r="M17" s="37">
        <f t="shared" si="1"/>
        <v>8167</v>
      </c>
      <c r="N17" s="37">
        <f t="shared" si="1"/>
        <v>8167</v>
      </c>
      <c r="O17" s="37">
        <f t="shared" si="1"/>
        <v>8167</v>
      </c>
      <c r="P17" s="37">
        <f t="shared" si="1"/>
        <v>8167</v>
      </c>
      <c r="Q17" s="37">
        <f>D17-SUM(F17:P17)</f>
        <v>8163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770000</v>
      </c>
      <c r="E24" s="37" t="s">
        <v>193</v>
      </c>
      <c r="F24" s="37">
        <f>ROUND($D24/2,-3)</f>
        <v>385000</v>
      </c>
      <c r="G24" s="37"/>
      <c r="H24" s="37"/>
      <c r="I24" s="37"/>
      <c r="J24" s="37"/>
      <c r="K24" s="37"/>
      <c r="L24" s="37">
        <f>D24-F24</f>
        <v>385000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3986000</v>
      </c>
      <c r="E25" s="108"/>
      <c r="F25" s="108">
        <f>ROUND(SUM(F3:F24),-3)</f>
        <v>758000</v>
      </c>
      <c r="G25" s="108">
        <f t="shared" ref="G25:P25" si="5">ROUND(SUM(G3:G24),-3)</f>
        <v>247000</v>
      </c>
      <c r="H25" s="108">
        <f t="shared" si="5"/>
        <v>247000</v>
      </c>
      <c r="I25" s="108">
        <f t="shared" si="5"/>
        <v>247000</v>
      </c>
      <c r="J25" s="108">
        <f t="shared" si="5"/>
        <v>247000</v>
      </c>
      <c r="K25" s="108">
        <f t="shared" si="5"/>
        <v>247000</v>
      </c>
      <c r="L25" s="108">
        <f t="shared" si="5"/>
        <v>758000</v>
      </c>
      <c r="M25" s="108">
        <f t="shared" si="5"/>
        <v>247000</v>
      </c>
      <c r="N25" s="108">
        <f t="shared" si="5"/>
        <v>247000</v>
      </c>
      <c r="O25" s="108">
        <f t="shared" si="5"/>
        <v>247000</v>
      </c>
      <c r="P25" s="108">
        <f t="shared" si="5"/>
        <v>247000</v>
      </c>
      <c r="Q25" s="108">
        <f t="shared" ref="Q25:Q33" si="6">D25-SUM(F25:P25)</f>
        <v>247000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730000</v>
      </c>
      <c r="E27" s="37" t="s">
        <v>525</v>
      </c>
      <c r="F27" s="37">
        <f t="shared" ref="F27:P33" si="8">ROUND($D27/12,0)</f>
        <v>60833</v>
      </c>
      <c r="G27" s="37">
        <f t="shared" si="8"/>
        <v>60833</v>
      </c>
      <c r="H27" s="37">
        <f t="shared" si="8"/>
        <v>60833</v>
      </c>
      <c r="I27" s="37">
        <f t="shared" si="8"/>
        <v>60833</v>
      </c>
      <c r="J27" s="37">
        <f t="shared" si="8"/>
        <v>60833</v>
      </c>
      <c r="K27" s="37">
        <f t="shared" si="8"/>
        <v>60833</v>
      </c>
      <c r="L27" s="37">
        <f t="shared" si="8"/>
        <v>60833</v>
      </c>
      <c r="M27" s="37">
        <f t="shared" si="8"/>
        <v>60833</v>
      </c>
      <c r="N27" s="37">
        <f t="shared" si="8"/>
        <v>60833</v>
      </c>
      <c r="O27" s="37">
        <f t="shared" si="8"/>
        <v>60833</v>
      </c>
      <c r="P27" s="37">
        <f t="shared" si="8"/>
        <v>60833</v>
      </c>
      <c r="Q27" s="37">
        <f t="shared" si="6"/>
        <v>60837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16000</v>
      </c>
      <c r="E28" s="37" t="s">
        <v>525</v>
      </c>
      <c r="F28" s="37">
        <f t="shared" si="8"/>
        <v>1333</v>
      </c>
      <c r="G28" s="37">
        <f t="shared" si="8"/>
        <v>1333</v>
      </c>
      <c r="H28" s="37">
        <f t="shared" si="8"/>
        <v>1333</v>
      </c>
      <c r="I28" s="37">
        <f t="shared" si="8"/>
        <v>1333</v>
      </c>
      <c r="J28" s="37">
        <f t="shared" si="8"/>
        <v>1333</v>
      </c>
      <c r="K28" s="37">
        <f t="shared" si="8"/>
        <v>1333</v>
      </c>
      <c r="L28" s="37">
        <f t="shared" si="8"/>
        <v>1333</v>
      </c>
      <c r="M28" s="37">
        <f t="shared" si="8"/>
        <v>1333</v>
      </c>
      <c r="N28" s="37">
        <f t="shared" si="8"/>
        <v>1333</v>
      </c>
      <c r="O28" s="37">
        <f t="shared" si="8"/>
        <v>1333</v>
      </c>
      <c r="P28" s="37">
        <f t="shared" si="8"/>
        <v>1333</v>
      </c>
      <c r="Q28" s="37">
        <f t="shared" si="6"/>
        <v>1337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69000</v>
      </c>
      <c r="E29" s="37" t="s">
        <v>525</v>
      </c>
      <c r="F29" s="37">
        <f t="shared" si="8"/>
        <v>5750</v>
      </c>
      <c r="G29" s="37">
        <f t="shared" si="8"/>
        <v>5750</v>
      </c>
      <c r="H29" s="37">
        <f t="shared" si="8"/>
        <v>5750</v>
      </c>
      <c r="I29" s="37">
        <f t="shared" si="8"/>
        <v>5750</v>
      </c>
      <c r="J29" s="37">
        <f t="shared" si="8"/>
        <v>5750</v>
      </c>
      <c r="K29" s="37">
        <f t="shared" si="8"/>
        <v>5750</v>
      </c>
      <c r="L29" s="37">
        <f t="shared" si="8"/>
        <v>5750</v>
      </c>
      <c r="M29" s="37">
        <f t="shared" si="8"/>
        <v>5750</v>
      </c>
      <c r="N29" s="37">
        <f t="shared" si="8"/>
        <v>5750</v>
      </c>
      <c r="O29" s="37">
        <f t="shared" si="8"/>
        <v>5750</v>
      </c>
      <c r="P29" s="37">
        <f t="shared" si="8"/>
        <v>5750</v>
      </c>
      <c r="Q29" s="37">
        <f t="shared" si="6"/>
        <v>5750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272000</v>
      </c>
      <c r="E30" s="37" t="s">
        <v>525</v>
      </c>
      <c r="F30" s="37">
        <f t="shared" si="8"/>
        <v>22667</v>
      </c>
      <c r="G30" s="37">
        <f t="shared" si="8"/>
        <v>22667</v>
      </c>
      <c r="H30" s="37">
        <f t="shared" si="8"/>
        <v>22667</v>
      </c>
      <c r="I30" s="37">
        <f t="shared" si="8"/>
        <v>22667</v>
      </c>
      <c r="J30" s="37">
        <f t="shared" si="8"/>
        <v>22667</v>
      </c>
      <c r="K30" s="37">
        <f t="shared" si="8"/>
        <v>22667</v>
      </c>
      <c r="L30" s="37">
        <f t="shared" si="8"/>
        <v>22667</v>
      </c>
      <c r="M30" s="37">
        <f t="shared" si="8"/>
        <v>22667</v>
      </c>
      <c r="N30" s="37">
        <f t="shared" si="8"/>
        <v>22667</v>
      </c>
      <c r="O30" s="37">
        <f t="shared" si="8"/>
        <v>22667</v>
      </c>
      <c r="P30" s="37">
        <f t="shared" si="8"/>
        <v>22667</v>
      </c>
      <c r="Q30" s="37">
        <f t="shared" si="6"/>
        <v>22663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136000</v>
      </c>
      <c r="E31" s="37" t="s">
        <v>525</v>
      </c>
      <c r="F31" s="37">
        <f t="shared" si="8"/>
        <v>11333</v>
      </c>
      <c r="G31" s="37">
        <f t="shared" si="8"/>
        <v>11333</v>
      </c>
      <c r="H31" s="37">
        <f t="shared" si="8"/>
        <v>11333</v>
      </c>
      <c r="I31" s="37">
        <f t="shared" si="8"/>
        <v>11333</v>
      </c>
      <c r="J31" s="37">
        <f t="shared" si="8"/>
        <v>11333</v>
      </c>
      <c r="K31" s="37">
        <f t="shared" si="8"/>
        <v>11333</v>
      </c>
      <c r="L31" s="37">
        <f t="shared" si="8"/>
        <v>11333</v>
      </c>
      <c r="M31" s="37">
        <f t="shared" si="8"/>
        <v>11333</v>
      </c>
      <c r="N31" s="37">
        <f t="shared" si="8"/>
        <v>11333</v>
      </c>
      <c r="O31" s="37">
        <f t="shared" si="8"/>
        <v>11333</v>
      </c>
      <c r="P31" s="37">
        <f t="shared" si="8"/>
        <v>11333</v>
      </c>
      <c r="Q31" s="37">
        <f t="shared" si="6"/>
        <v>11337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12000</v>
      </c>
      <c r="E32" s="37" t="s">
        <v>525</v>
      </c>
      <c r="F32" s="37">
        <f t="shared" si="8"/>
        <v>1000</v>
      </c>
      <c r="G32" s="37">
        <f t="shared" si="8"/>
        <v>1000</v>
      </c>
      <c r="H32" s="37">
        <f t="shared" si="8"/>
        <v>1000</v>
      </c>
      <c r="I32" s="37">
        <f t="shared" si="8"/>
        <v>1000</v>
      </c>
      <c r="J32" s="37">
        <f t="shared" si="8"/>
        <v>1000</v>
      </c>
      <c r="K32" s="37">
        <f t="shared" si="8"/>
        <v>1000</v>
      </c>
      <c r="L32" s="37">
        <f t="shared" si="8"/>
        <v>1000</v>
      </c>
      <c r="M32" s="37">
        <f t="shared" si="8"/>
        <v>1000</v>
      </c>
      <c r="N32" s="37">
        <f t="shared" si="8"/>
        <v>1000</v>
      </c>
      <c r="O32" s="37">
        <f t="shared" si="8"/>
        <v>1000</v>
      </c>
      <c r="P32" s="37">
        <f t="shared" si="8"/>
        <v>1000</v>
      </c>
      <c r="Q32" s="37">
        <f t="shared" si="6"/>
        <v>1000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8000</v>
      </c>
      <c r="E33" s="37" t="s">
        <v>525</v>
      </c>
      <c r="F33" s="37">
        <f t="shared" si="8"/>
        <v>667</v>
      </c>
      <c r="G33" s="37">
        <f t="shared" si="8"/>
        <v>667</v>
      </c>
      <c r="H33" s="37">
        <f t="shared" si="8"/>
        <v>667</v>
      </c>
      <c r="I33" s="37">
        <f t="shared" si="8"/>
        <v>667</v>
      </c>
      <c r="J33" s="37">
        <f t="shared" si="8"/>
        <v>667</v>
      </c>
      <c r="K33" s="37">
        <f t="shared" si="8"/>
        <v>667</v>
      </c>
      <c r="L33" s="37">
        <f t="shared" si="8"/>
        <v>667</v>
      </c>
      <c r="M33" s="37">
        <f t="shared" si="8"/>
        <v>667</v>
      </c>
      <c r="N33" s="37">
        <f t="shared" si="8"/>
        <v>667</v>
      </c>
      <c r="O33" s="37">
        <f t="shared" si="8"/>
        <v>667</v>
      </c>
      <c r="P33" s="37">
        <f t="shared" si="8"/>
        <v>667</v>
      </c>
      <c r="Q33" s="37">
        <f t="shared" si="6"/>
        <v>663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1243000</v>
      </c>
      <c r="E37" s="108"/>
      <c r="F37" s="108">
        <f t="shared" ref="F37:P37" si="9">ROUND(SUM(F26:F36),-3)</f>
        <v>104000</v>
      </c>
      <c r="G37" s="108">
        <f t="shared" si="9"/>
        <v>104000</v>
      </c>
      <c r="H37" s="108">
        <f t="shared" si="9"/>
        <v>104000</v>
      </c>
      <c r="I37" s="108">
        <f t="shared" si="9"/>
        <v>104000</v>
      </c>
      <c r="J37" s="108">
        <f t="shared" si="9"/>
        <v>104000</v>
      </c>
      <c r="K37" s="108">
        <f t="shared" si="9"/>
        <v>104000</v>
      </c>
      <c r="L37" s="108">
        <f t="shared" si="9"/>
        <v>104000</v>
      </c>
      <c r="M37" s="108">
        <f t="shared" si="9"/>
        <v>104000</v>
      </c>
      <c r="N37" s="108">
        <f t="shared" si="9"/>
        <v>104000</v>
      </c>
      <c r="O37" s="108">
        <f t="shared" si="9"/>
        <v>104000</v>
      </c>
      <c r="P37" s="108">
        <f t="shared" si="9"/>
        <v>104000</v>
      </c>
      <c r="Q37" s="108">
        <f>D37-SUM(F37:P37)</f>
        <v>99000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72000</v>
      </c>
      <c r="E46" s="37" t="s">
        <v>194</v>
      </c>
      <c r="F46" s="37">
        <f>ROUND($D46/3,0)</f>
        <v>24000</v>
      </c>
      <c r="G46" s="37"/>
      <c r="H46" s="37"/>
      <c r="I46" s="37"/>
      <c r="J46" s="37"/>
      <c r="K46" s="37">
        <f>ROUND($D46/3,0)</f>
        <v>24000</v>
      </c>
      <c r="L46" s="37"/>
      <c r="M46" s="37"/>
      <c r="N46" s="37">
        <f>ROUND($D46/3,0)</f>
        <v>24000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72000</v>
      </c>
      <c r="E47" s="108"/>
      <c r="F47" s="108">
        <f t="shared" ref="F47:P47" si="13">ROUND(SUM(F46),-3)</f>
        <v>24000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24000</v>
      </c>
      <c r="L47" s="108">
        <f t="shared" si="13"/>
        <v>0</v>
      </c>
      <c r="M47" s="108">
        <f t="shared" si="13"/>
        <v>0</v>
      </c>
      <c r="N47" s="108">
        <f t="shared" si="13"/>
        <v>24000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5301000</v>
      </c>
      <c r="E48" s="37"/>
      <c r="F48" s="115">
        <f>F25+F37+F45+F47</f>
        <v>886000</v>
      </c>
      <c r="G48" s="115">
        <f t="shared" ref="G48:R48" si="14">G25+G37+G45+G47</f>
        <v>351000</v>
      </c>
      <c r="H48" s="115">
        <f t="shared" si="14"/>
        <v>351000</v>
      </c>
      <c r="I48" s="115">
        <f t="shared" si="14"/>
        <v>351000</v>
      </c>
      <c r="J48" s="115">
        <f t="shared" si="14"/>
        <v>351000</v>
      </c>
      <c r="K48" s="115">
        <f t="shared" si="14"/>
        <v>375000</v>
      </c>
      <c r="L48" s="115">
        <f t="shared" si="14"/>
        <v>862000</v>
      </c>
      <c r="M48" s="115">
        <f t="shared" si="14"/>
        <v>351000</v>
      </c>
      <c r="N48" s="115">
        <f t="shared" si="14"/>
        <v>375000</v>
      </c>
      <c r="O48" s="115">
        <f t="shared" si="14"/>
        <v>351000</v>
      </c>
      <c r="P48" s="115">
        <f t="shared" si="14"/>
        <v>351000</v>
      </c>
      <c r="Q48" s="115">
        <f t="shared" si="14"/>
        <v>346000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114634000</v>
      </c>
      <c r="E49" s="114" t="s">
        <v>202</v>
      </c>
      <c r="F49" s="37">
        <f>ROUND($D49/12*3,-3)</f>
        <v>28659000</v>
      </c>
      <c r="G49" s="37">
        <f>ROUND($D49/12,-3)</f>
        <v>9553000</v>
      </c>
      <c r="H49" s="37">
        <f t="shared" ref="H49:N53" si="15">ROUND($D49/12,-3)</f>
        <v>9553000</v>
      </c>
      <c r="I49" s="37">
        <f t="shared" si="15"/>
        <v>9553000</v>
      </c>
      <c r="J49" s="37">
        <f t="shared" si="15"/>
        <v>9553000</v>
      </c>
      <c r="K49" s="37">
        <f t="shared" si="15"/>
        <v>9553000</v>
      </c>
      <c r="L49" s="37">
        <f t="shared" si="15"/>
        <v>9553000</v>
      </c>
      <c r="M49" s="37">
        <f t="shared" si="15"/>
        <v>9553000</v>
      </c>
      <c r="N49" s="37">
        <f t="shared" si="15"/>
        <v>9553000</v>
      </c>
      <c r="O49" s="37">
        <f>D49-SUM(F49:N49)</f>
        <v>9551000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812000</v>
      </c>
      <c r="E50" s="114" t="s">
        <v>202</v>
      </c>
      <c r="F50" s="37">
        <f t="shared" ref="F50:F53" si="16">ROUND($D50/12*3,-3)</f>
        <v>203000</v>
      </c>
      <c r="G50" s="37">
        <f t="shared" ref="G50:G53" si="17">ROUND($D50/12,-3)</f>
        <v>68000</v>
      </c>
      <c r="H50" s="37">
        <f t="shared" si="15"/>
        <v>68000</v>
      </c>
      <c r="I50" s="37">
        <f t="shared" si="15"/>
        <v>68000</v>
      </c>
      <c r="J50" s="37">
        <f t="shared" si="15"/>
        <v>68000</v>
      </c>
      <c r="K50" s="37">
        <f t="shared" si="15"/>
        <v>68000</v>
      </c>
      <c r="L50" s="37">
        <f t="shared" si="15"/>
        <v>68000</v>
      </c>
      <c r="M50" s="37">
        <f t="shared" si="15"/>
        <v>68000</v>
      </c>
      <c r="N50" s="37">
        <f t="shared" si="15"/>
        <v>68000</v>
      </c>
      <c r="O50" s="37">
        <f t="shared" ref="O50:O53" si="18">D50-SUM(F50:N50)</f>
        <v>65000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5397000</v>
      </c>
      <c r="E51" s="114" t="s">
        <v>202</v>
      </c>
      <c r="F51" s="37">
        <f t="shared" si="16"/>
        <v>1349000</v>
      </c>
      <c r="G51" s="37">
        <f t="shared" si="17"/>
        <v>450000</v>
      </c>
      <c r="H51" s="37">
        <f t="shared" si="15"/>
        <v>450000</v>
      </c>
      <c r="I51" s="37">
        <f t="shared" si="15"/>
        <v>450000</v>
      </c>
      <c r="J51" s="37">
        <f t="shared" si="15"/>
        <v>450000</v>
      </c>
      <c r="K51" s="37">
        <f t="shared" si="15"/>
        <v>450000</v>
      </c>
      <c r="L51" s="37">
        <f t="shared" si="15"/>
        <v>450000</v>
      </c>
      <c r="M51" s="37">
        <f t="shared" si="15"/>
        <v>450000</v>
      </c>
      <c r="N51" s="37">
        <f t="shared" si="15"/>
        <v>450000</v>
      </c>
      <c r="O51" s="37">
        <f t="shared" si="18"/>
        <v>448000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1196000</v>
      </c>
      <c r="E52" s="114" t="s">
        <v>202</v>
      </c>
      <c r="F52" s="37">
        <f t="shared" si="16"/>
        <v>299000</v>
      </c>
      <c r="G52" s="37">
        <f t="shared" si="17"/>
        <v>100000</v>
      </c>
      <c r="H52" s="37">
        <f t="shared" si="15"/>
        <v>100000</v>
      </c>
      <c r="I52" s="37">
        <f t="shared" si="15"/>
        <v>100000</v>
      </c>
      <c r="J52" s="37">
        <f t="shared" si="15"/>
        <v>100000</v>
      </c>
      <c r="K52" s="37">
        <f t="shared" si="15"/>
        <v>100000</v>
      </c>
      <c r="L52" s="37">
        <f t="shared" si="15"/>
        <v>100000</v>
      </c>
      <c r="M52" s="37">
        <f t="shared" si="15"/>
        <v>100000</v>
      </c>
      <c r="N52" s="37">
        <f t="shared" si="15"/>
        <v>100000</v>
      </c>
      <c r="O52" s="37">
        <f t="shared" si="18"/>
        <v>97000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742000</v>
      </c>
      <c r="E53" s="114" t="s">
        <v>202</v>
      </c>
      <c r="F53" s="37">
        <f t="shared" si="16"/>
        <v>186000</v>
      </c>
      <c r="G53" s="37">
        <f t="shared" si="17"/>
        <v>62000</v>
      </c>
      <c r="H53" s="37">
        <f t="shared" si="15"/>
        <v>62000</v>
      </c>
      <c r="I53" s="37">
        <f t="shared" si="15"/>
        <v>62000</v>
      </c>
      <c r="J53" s="37">
        <f t="shared" si="15"/>
        <v>62000</v>
      </c>
      <c r="K53" s="37">
        <f t="shared" si="15"/>
        <v>62000</v>
      </c>
      <c r="L53" s="37">
        <f t="shared" si="15"/>
        <v>62000</v>
      </c>
      <c r="M53" s="37">
        <f t="shared" si="15"/>
        <v>62000</v>
      </c>
      <c r="N53" s="37">
        <f t="shared" si="15"/>
        <v>62000</v>
      </c>
      <c r="O53" s="37">
        <f t="shared" si="18"/>
        <v>60000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416000</v>
      </c>
      <c r="E54" s="37" t="s">
        <v>525</v>
      </c>
      <c r="F54" s="37">
        <f t="shared" ref="F54:P61" si="19">ROUND($D54/12,0)</f>
        <v>34667</v>
      </c>
      <c r="G54" s="37">
        <f t="shared" si="19"/>
        <v>34667</v>
      </c>
      <c r="H54" s="37">
        <f t="shared" si="19"/>
        <v>34667</v>
      </c>
      <c r="I54" s="37">
        <f t="shared" si="19"/>
        <v>34667</v>
      </c>
      <c r="J54" s="37">
        <f t="shared" si="19"/>
        <v>34667</v>
      </c>
      <c r="K54" s="37">
        <f t="shared" si="19"/>
        <v>34667</v>
      </c>
      <c r="L54" s="37">
        <f t="shared" si="19"/>
        <v>34667</v>
      </c>
      <c r="M54" s="37">
        <f t="shared" si="19"/>
        <v>34667</v>
      </c>
      <c r="N54" s="37">
        <f t="shared" si="19"/>
        <v>34667</v>
      </c>
      <c r="O54" s="37">
        <f t="shared" si="19"/>
        <v>34667</v>
      </c>
      <c r="P54" s="37">
        <f t="shared" si="19"/>
        <v>34667</v>
      </c>
      <c r="Q54" s="37">
        <f t="shared" ref="Q54:Q61" si="20">D54-SUM(F54:P54)</f>
        <v>34663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414000</v>
      </c>
      <c r="E55" s="37" t="s">
        <v>525</v>
      </c>
      <c r="F55" s="37">
        <f t="shared" si="19"/>
        <v>34500</v>
      </c>
      <c r="G55" s="37">
        <f t="shared" si="19"/>
        <v>34500</v>
      </c>
      <c r="H55" s="37">
        <f t="shared" si="19"/>
        <v>34500</v>
      </c>
      <c r="I55" s="37">
        <f t="shared" si="19"/>
        <v>34500</v>
      </c>
      <c r="J55" s="37">
        <f t="shared" si="19"/>
        <v>34500</v>
      </c>
      <c r="K55" s="37">
        <f t="shared" si="19"/>
        <v>34500</v>
      </c>
      <c r="L55" s="37">
        <f t="shared" si="19"/>
        <v>34500</v>
      </c>
      <c r="M55" s="37">
        <f t="shared" si="19"/>
        <v>34500</v>
      </c>
      <c r="N55" s="37">
        <f t="shared" si="19"/>
        <v>34500</v>
      </c>
      <c r="O55" s="37">
        <f t="shared" si="19"/>
        <v>34500</v>
      </c>
      <c r="P55" s="37">
        <f t="shared" si="19"/>
        <v>34500</v>
      </c>
      <c r="Q55" s="37">
        <f t="shared" si="20"/>
        <v>34500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72000</v>
      </c>
      <c r="E56" s="37" t="s">
        <v>525</v>
      </c>
      <c r="F56" s="37">
        <f t="shared" si="19"/>
        <v>6000</v>
      </c>
      <c r="G56" s="37">
        <f t="shared" si="19"/>
        <v>6000</v>
      </c>
      <c r="H56" s="37">
        <f t="shared" si="19"/>
        <v>6000</v>
      </c>
      <c r="I56" s="37">
        <f t="shared" si="19"/>
        <v>6000</v>
      </c>
      <c r="J56" s="37">
        <f t="shared" si="19"/>
        <v>6000</v>
      </c>
      <c r="K56" s="37">
        <f t="shared" si="19"/>
        <v>6000</v>
      </c>
      <c r="L56" s="37">
        <f t="shared" si="19"/>
        <v>6000</v>
      </c>
      <c r="M56" s="37">
        <f t="shared" si="19"/>
        <v>6000</v>
      </c>
      <c r="N56" s="37">
        <f t="shared" si="19"/>
        <v>6000</v>
      </c>
      <c r="O56" s="37">
        <f t="shared" si="19"/>
        <v>6000</v>
      </c>
      <c r="P56" s="37">
        <f t="shared" si="19"/>
        <v>6000</v>
      </c>
      <c r="Q56" s="37">
        <f t="shared" si="20"/>
        <v>6000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66000</v>
      </c>
      <c r="E57" s="37" t="s">
        <v>525</v>
      </c>
      <c r="F57" s="37">
        <f t="shared" si="19"/>
        <v>5500</v>
      </c>
      <c r="G57" s="37">
        <f t="shared" si="19"/>
        <v>5500</v>
      </c>
      <c r="H57" s="37">
        <f t="shared" si="19"/>
        <v>5500</v>
      </c>
      <c r="I57" s="37">
        <f t="shared" si="19"/>
        <v>5500</v>
      </c>
      <c r="J57" s="37">
        <f t="shared" si="19"/>
        <v>5500</v>
      </c>
      <c r="K57" s="37">
        <f t="shared" si="19"/>
        <v>5500</v>
      </c>
      <c r="L57" s="37">
        <f t="shared" si="19"/>
        <v>5500</v>
      </c>
      <c r="M57" s="37">
        <f t="shared" si="19"/>
        <v>5500</v>
      </c>
      <c r="N57" s="37">
        <f t="shared" si="19"/>
        <v>5500</v>
      </c>
      <c r="O57" s="37">
        <f t="shared" si="19"/>
        <v>5500</v>
      </c>
      <c r="P57" s="37">
        <f t="shared" si="19"/>
        <v>5500</v>
      </c>
      <c r="Q57" s="37">
        <f t="shared" si="20"/>
        <v>5500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150000</v>
      </c>
      <c r="E58" s="37" t="s">
        <v>525</v>
      </c>
      <c r="F58" s="37">
        <f t="shared" si="19"/>
        <v>12500</v>
      </c>
      <c r="G58" s="37">
        <f t="shared" si="19"/>
        <v>12500</v>
      </c>
      <c r="H58" s="37">
        <f t="shared" si="19"/>
        <v>12500</v>
      </c>
      <c r="I58" s="37">
        <f t="shared" si="19"/>
        <v>12500</v>
      </c>
      <c r="J58" s="37">
        <f t="shared" si="19"/>
        <v>12500</v>
      </c>
      <c r="K58" s="37">
        <f t="shared" si="19"/>
        <v>12500</v>
      </c>
      <c r="L58" s="37">
        <f t="shared" si="19"/>
        <v>12500</v>
      </c>
      <c r="M58" s="37">
        <f t="shared" si="19"/>
        <v>12500</v>
      </c>
      <c r="N58" s="37">
        <f t="shared" si="19"/>
        <v>12500</v>
      </c>
      <c r="O58" s="37">
        <f t="shared" si="19"/>
        <v>12500</v>
      </c>
      <c r="P58" s="37">
        <f t="shared" si="19"/>
        <v>12500</v>
      </c>
      <c r="Q58" s="37">
        <f t="shared" si="20"/>
        <v>12500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0</v>
      </c>
      <c r="E59" s="37" t="s">
        <v>525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1505000</v>
      </c>
      <c r="E60" s="37" t="s">
        <v>195</v>
      </c>
      <c r="F60" s="37">
        <f>D60</f>
        <v>1505000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14743000</v>
      </c>
      <c r="E62" s="37" t="s">
        <v>197</v>
      </c>
      <c r="F62" s="37"/>
      <c r="G62" s="37"/>
      <c r="H62" s="37"/>
      <c r="I62" s="37">
        <f>ROUND($D62/5,-3)</f>
        <v>2949000</v>
      </c>
      <c r="J62" s="37"/>
      <c r="K62" s="37"/>
      <c r="L62" s="37"/>
      <c r="M62" s="37"/>
      <c r="N62" s="37">
        <f>D62-I62</f>
        <v>11794000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14106000</v>
      </c>
      <c r="E63" s="37" t="s">
        <v>195</v>
      </c>
      <c r="F63" s="37">
        <f>D63</f>
        <v>14106000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12667000</v>
      </c>
      <c r="E64" s="114" t="s">
        <v>202</v>
      </c>
      <c r="F64" s="37">
        <f>ROUND($D64/12*3,-3)</f>
        <v>3167000</v>
      </c>
      <c r="G64" s="37">
        <f>ROUND($D64/12,-3)</f>
        <v>1056000</v>
      </c>
      <c r="H64" s="37">
        <f t="shared" ref="H64:N66" si="21">ROUND($D64/12,-3)</f>
        <v>1056000</v>
      </c>
      <c r="I64" s="37">
        <f t="shared" si="21"/>
        <v>1056000</v>
      </c>
      <c r="J64" s="37">
        <f t="shared" si="21"/>
        <v>1056000</v>
      </c>
      <c r="K64" s="37">
        <f t="shared" si="21"/>
        <v>1056000</v>
      </c>
      <c r="L64" s="37">
        <f t="shared" si="21"/>
        <v>1056000</v>
      </c>
      <c r="M64" s="37">
        <f t="shared" si="21"/>
        <v>1056000</v>
      </c>
      <c r="N64" s="37">
        <f t="shared" si="21"/>
        <v>1056000</v>
      </c>
      <c r="O64" s="37">
        <f>D64-SUM(F64:N64)</f>
        <v>1052000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3108000</v>
      </c>
      <c r="E65" s="114" t="s">
        <v>202</v>
      </c>
      <c r="F65" s="37">
        <f t="shared" ref="F65:F66" si="22">ROUND($D65/12*3,-3)</f>
        <v>777000</v>
      </c>
      <c r="G65" s="37">
        <f t="shared" ref="G65:G66" si="23">ROUND($D65/12,-3)</f>
        <v>259000</v>
      </c>
      <c r="H65" s="37">
        <f t="shared" si="21"/>
        <v>259000</v>
      </c>
      <c r="I65" s="37">
        <f t="shared" si="21"/>
        <v>259000</v>
      </c>
      <c r="J65" s="37">
        <f t="shared" si="21"/>
        <v>259000</v>
      </c>
      <c r="K65" s="37">
        <f t="shared" si="21"/>
        <v>259000</v>
      </c>
      <c r="L65" s="37">
        <f t="shared" si="21"/>
        <v>259000</v>
      </c>
      <c r="M65" s="37">
        <f t="shared" si="21"/>
        <v>259000</v>
      </c>
      <c r="N65" s="37">
        <f t="shared" si="21"/>
        <v>259000</v>
      </c>
      <c r="O65" s="37">
        <f t="shared" ref="O65:O66" si="24">D65-SUM(F65:N65)</f>
        <v>259000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7729000</v>
      </c>
      <c r="E66" s="114" t="s">
        <v>202</v>
      </c>
      <c r="F66" s="37">
        <f t="shared" si="22"/>
        <v>1932000</v>
      </c>
      <c r="G66" s="37">
        <f t="shared" si="23"/>
        <v>644000</v>
      </c>
      <c r="H66" s="37">
        <f t="shared" si="21"/>
        <v>644000</v>
      </c>
      <c r="I66" s="37">
        <f t="shared" si="21"/>
        <v>644000</v>
      </c>
      <c r="J66" s="37">
        <f t="shared" si="21"/>
        <v>644000</v>
      </c>
      <c r="K66" s="37">
        <f t="shared" si="21"/>
        <v>644000</v>
      </c>
      <c r="L66" s="37">
        <f t="shared" si="21"/>
        <v>644000</v>
      </c>
      <c r="M66" s="37">
        <f t="shared" si="21"/>
        <v>644000</v>
      </c>
      <c r="N66" s="37">
        <f t="shared" si="21"/>
        <v>644000</v>
      </c>
      <c r="O66" s="37">
        <f t="shared" si="24"/>
        <v>645000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225000</v>
      </c>
      <c r="E67" s="37" t="s">
        <v>196</v>
      </c>
      <c r="F67" s="37"/>
      <c r="G67" s="37"/>
      <c r="H67" s="37">
        <f>D67</f>
        <v>225000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496000</v>
      </c>
      <c r="E68" s="37" t="s">
        <v>195</v>
      </c>
      <c r="F68" s="37">
        <f>D68</f>
        <v>496000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178478000</v>
      </c>
      <c r="E70" s="108"/>
      <c r="F70" s="108">
        <f t="shared" ref="F70:P70" si="25">ROUND(SUM(F49:F69),-3)</f>
        <v>52772000</v>
      </c>
      <c r="G70" s="108">
        <f t="shared" si="25"/>
        <v>12285000</v>
      </c>
      <c r="H70" s="108">
        <f t="shared" si="25"/>
        <v>12510000</v>
      </c>
      <c r="I70" s="108">
        <f t="shared" si="25"/>
        <v>15234000</v>
      </c>
      <c r="J70" s="108">
        <f t="shared" si="25"/>
        <v>12285000</v>
      </c>
      <c r="K70" s="108">
        <f t="shared" si="25"/>
        <v>12285000</v>
      </c>
      <c r="L70" s="108">
        <f t="shared" si="25"/>
        <v>12285000</v>
      </c>
      <c r="M70" s="108">
        <f t="shared" si="25"/>
        <v>12285000</v>
      </c>
      <c r="N70" s="108">
        <f t="shared" si="25"/>
        <v>24079000</v>
      </c>
      <c r="O70" s="108">
        <f t="shared" si="25"/>
        <v>12270000</v>
      </c>
      <c r="P70" s="108">
        <f t="shared" si="25"/>
        <v>93000</v>
      </c>
      <c r="Q70" s="108">
        <f>D70-SUM(F70:P70)</f>
        <v>95000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91000</v>
      </c>
      <c r="E71" s="37" t="s">
        <v>195</v>
      </c>
      <c r="F71" s="37">
        <f>D71</f>
        <v>91000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39218000</v>
      </c>
      <c r="E72" s="114" t="s">
        <v>202</v>
      </c>
      <c r="F72" s="37">
        <f>ROUND($D72/12*3,-3)</f>
        <v>9805000</v>
      </c>
      <c r="G72" s="37">
        <f>ROUND($D72/12,-3)</f>
        <v>3268000</v>
      </c>
      <c r="H72" s="37">
        <f t="shared" ref="H72:N75" si="26">ROUND($D72/12,-3)</f>
        <v>3268000</v>
      </c>
      <c r="I72" s="37">
        <f t="shared" si="26"/>
        <v>3268000</v>
      </c>
      <c r="J72" s="37">
        <f t="shared" si="26"/>
        <v>3268000</v>
      </c>
      <c r="K72" s="37">
        <f t="shared" si="26"/>
        <v>3268000</v>
      </c>
      <c r="L72" s="37">
        <f t="shared" si="26"/>
        <v>3268000</v>
      </c>
      <c r="M72" s="37">
        <f t="shared" si="26"/>
        <v>3268000</v>
      </c>
      <c r="N72" s="37">
        <f t="shared" si="26"/>
        <v>3268000</v>
      </c>
      <c r="O72" s="37">
        <f>D72-SUM(F72:N72)</f>
        <v>3269000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53000</v>
      </c>
      <c r="E74" s="114" t="s">
        <v>202</v>
      </c>
      <c r="F74" s="37">
        <f>ROUND($D74/12*3,-3)</f>
        <v>13000</v>
      </c>
      <c r="G74" s="37">
        <f>ROUND($D74/12,-3)</f>
        <v>4000</v>
      </c>
      <c r="H74" s="37">
        <f t="shared" si="26"/>
        <v>4000</v>
      </c>
      <c r="I74" s="37">
        <f t="shared" si="26"/>
        <v>4000</v>
      </c>
      <c r="J74" s="37">
        <f t="shared" si="26"/>
        <v>4000</v>
      </c>
      <c r="K74" s="37">
        <f t="shared" si="26"/>
        <v>4000</v>
      </c>
      <c r="L74" s="37">
        <f t="shared" si="26"/>
        <v>4000</v>
      </c>
      <c r="M74" s="37">
        <f t="shared" si="26"/>
        <v>4000</v>
      </c>
      <c r="N74" s="37">
        <f t="shared" si="26"/>
        <v>4000</v>
      </c>
      <c r="O74" s="37">
        <f>D74-SUM(F74:N74)</f>
        <v>8000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2782000</v>
      </c>
      <c r="E75" s="114" t="s">
        <v>202</v>
      </c>
      <c r="F75" s="37">
        <f>ROUND($D75/12*3,-3)</f>
        <v>696000</v>
      </c>
      <c r="G75" s="37">
        <f>ROUND($D75/12,-3)</f>
        <v>232000</v>
      </c>
      <c r="H75" s="37">
        <f t="shared" si="26"/>
        <v>232000</v>
      </c>
      <c r="I75" s="37">
        <f t="shared" si="26"/>
        <v>232000</v>
      </c>
      <c r="J75" s="37">
        <f t="shared" si="26"/>
        <v>232000</v>
      </c>
      <c r="K75" s="37">
        <f t="shared" si="26"/>
        <v>232000</v>
      </c>
      <c r="L75" s="37">
        <f t="shared" si="26"/>
        <v>232000</v>
      </c>
      <c r="M75" s="37">
        <f t="shared" si="26"/>
        <v>232000</v>
      </c>
      <c r="N75" s="37">
        <f t="shared" si="26"/>
        <v>232000</v>
      </c>
      <c r="O75" s="37">
        <f>D75-SUM(F75:N75)</f>
        <v>230000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42144000</v>
      </c>
      <c r="E76" s="108"/>
      <c r="F76" s="108">
        <f>ROUND(SUM(F71:F75),-3)</f>
        <v>10605000</v>
      </c>
      <c r="G76" s="108">
        <f t="shared" ref="G76:N76" si="27">ROUND(SUM(G71:G75),-3)</f>
        <v>3504000</v>
      </c>
      <c r="H76" s="108">
        <f t="shared" si="27"/>
        <v>3504000</v>
      </c>
      <c r="I76" s="108">
        <f t="shared" si="27"/>
        <v>3504000</v>
      </c>
      <c r="J76" s="108">
        <f t="shared" si="27"/>
        <v>3504000</v>
      </c>
      <c r="K76" s="108">
        <f t="shared" si="27"/>
        <v>3504000</v>
      </c>
      <c r="L76" s="108">
        <f t="shared" si="27"/>
        <v>3504000</v>
      </c>
      <c r="M76" s="108">
        <f t="shared" si="27"/>
        <v>3504000</v>
      </c>
      <c r="N76" s="108">
        <f t="shared" si="27"/>
        <v>3504000</v>
      </c>
      <c r="O76" s="108">
        <f>D76-SUM(F76:N76)</f>
        <v>3507000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1405000</v>
      </c>
      <c r="E77" s="37" t="s">
        <v>681</v>
      </c>
      <c r="F77" s="224"/>
      <c r="G77" s="224"/>
      <c r="H77" s="224">
        <f>ROUND($D77/2,-3)</f>
        <v>703000</v>
      </c>
      <c r="I77" s="224"/>
      <c r="J77" s="224"/>
      <c r="K77" s="224"/>
      <c r="L77" s="224"/>
      <c r="M77" s="224"/>
      <c r="N77" s="224">
        <f>D77-H77</f>
        <v>702000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222027000</v>
      </c>
      <c r="E78" s="227"/>
      <c r="F78" s="227">
        <f>F76+F70+F77</f>
        <v>63377000</v>
      </c>
      <c r="G78" s="227">
        <f t="shared" ref="G78:Q78" si="29">G76+G70+G77</f>
        <v>15789000</v>
      </c>
      <c r="H78" s="227">
        <f t="shared" si="29"/>
        <v>16717000</v>
      </c>
      <c r="I78" s="227">
        <f t="shared" si="29"/>
        <v>18738000</v>
      </c>
      <c r="J78" s="227">
        <f t="shared" si="29"/>
        <v>15789000</v>
      </c>
      <c r="K78" s="227">
        <f t="shared" si="29"/>
        <v>15789000</v>
      </c>
      <c r="L78" s="227">
        <f t="shared" si="29"/>
        <v>15789000</v>
      </c>
      <c r="M78" s="227">
        <f t="shared" si="29"/>
        <v>15789000</v>
      </c>
      <c r="N78" s="227">
        <f t="shared" si="29"/>
        <v>28285000</v>
      </c>
      <c r="O78" s="227">
        <f t="shared" si="29"/>
        <v>15777000</v>
      </c>
      <c r="P78" s="227">
        <f t="shared" si="29"/>
        <v>93000</v>
      </c>
      <c r="Q78" s="227">
        <f t="shared" si="29"/>
        <v>95000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227328000</v>
      </c>
      <c r="E87" s="37"/>
      <c r="F87" s="37">
        <f>F88+F89+F90+F91</f>
        <v>64263000</v>
      </c>
      <c r="G87" s="37">
        <f t="shared" ref="G87:Q87" si="32">G88+G89+G90+G91</f>
        <v>16140000</v>
      </c>
      <c r="H87" s="37">
        <f t="shared" si="32"/>
        <v>17068000</v>
      </c>
      <c r="I87" s="37">
        <f t="shared" si="32"/>
        <v>19089000</v>
      </c>
      <c r="J87" s="37">
        <f t="shared" si="32"/>
        <v>16140000</v>
      </c>
      <c r="K87" s="37">
        <f t="shared" si="32"/>
        <v>16164000</v>
      </c>
      <c r="L87" s="37">
        <f t="shared" si="32"/>
        <v>16651000</v>
      </c>
      <c r="M87" s="37">
        <f t="shared" si="32"/>
        <v>16140000</v>
      </c>
      <c r="N87" s="37">
        <f t="shared" si="32"/>
        <v>28660000</v>
      </c>
      <c r="O87" s="37">
        <f t="shared" si="32"/>
        <v>16128000</v>
      </c>
      <c r="P87" s="37">
        <f t="shared" si="32"/>
        <v>444000</v>
      </c>
      <c r="Q87" s="37">
        <f t="shared" si="32"/>
        <v>441000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791000</v>
      </c>
      <c r="E88" s="108" t="s">
        <v>193</v>
      </c>
      <c r="F88" s="108">
        <f>ROUND($D88/2,-3)</f>
        <v>396000</v>
      </c>
      <c r="G88" s="108"/>
      <c r="H88" s="108"/>
      <c r="I88" s="108"/>
      <c r="J88" s="108"/>
      <c r="K88" s="108"/>
      <c r="L88" s="108">
        <f>D88-F88</f>
        <v>395000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26000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13000</v>
      </c>
      <c r="M90" s="108"/>
      <c r="N90" s="108"/>
      <c r="O90" s="108"/>
      <c r="P90" s="108"/>
      <c r="Q90" s="108">
        <f>ROUND($D90/2,-3)</f>
        <v>13000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226511000</v>
      </c>
      <c r="E91" s="108"/>
      <c r="F91" s="108">
        <f>F92+F93+F94+F95</f>
        <v>63867000</v>
      </c>
      <c r="G91" s="108">
        <f t="shared" ref="G91:Q91" si="34">G92+G93+G94+G95</f>
        <v>16140000</v>
      </c>
      <c r="H91" s="108">
        <f t="shared" si="34"/>
        <v>17068000</v>
      </c>
      <c r="I91" s="108">
        <f t="shared" si="34"/>
        <v>19089000</v>
      </c>
      <c r="J91" s="108">
        <f t="shared" si="34"/>
        <v>16140000</v>
      </c>
      <c r="K91" s="108">
        <f t="shared" si="34"/>
        <v>16164000</v>
      </c>
      <c r="L91" s="108">
        <f t="shared" si="34"/>
        <v>16243000</v>
      </c>
      <c r="M91" s="108">
        <f t="shared" si="34"/>
        <v>16140000</v>
      </c>
      <c r="N91" s="108">
        <f t="shared" si="34"/>
        <v>28660000</v>
      </c>
      <c r="O91" s="108">
        <f t="shared" si="34"/>
        <v>16128000</v>
      </c>
      <c r="P91" s="108">
        <f t="shared" si="34"/>
        <v>444000</v>
      </c>
      <c r="Q91" s="108">
        <f t="shared" si="34"/>
        <v>428000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7369000</v>
      </c>
      <c r="E92" s="114" t="s">
        <v>537</v>
      </c>
      <c r="F92" s="37">
        <f>ROUND($D92/12*5,-3)</f>
        <v>3070000</v>
      </c>
      <c r="G92" s="37">
        <f>ROUND($D92/12,-3)</f>
        <v>614000</v>
      </c>
      <c r="H92" s="37">
        <f t="shared" ref="H92:L92" si="35">ROUND($D92/12,-3)</f>
        <v>614000</v>
      </c>
      <c r="I92" s="37">
        <f t="shared" si="35"/>
        <v>614000</v>
      </c>
      <c r="J92" s="37">
        <f t="shared" si="35"/>
        <v>614000</v>
      </c>
      <c r="K92" s="37">
        <f t="shared" si="35"/>
        <v>614000</v>
      </c>
      <c r="L92" s="37">
        <f t="shared" si="35"/>
        <v>614000</v>
      </c>
      <c r="M92" s="37">
        <f>D92-SUM(F92:L92)</f>
        <v>615000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870000</v>
      </c>
      <c r="E93" s="109" t="s">
        <v>227</v>
      </c>
      <c r="F93" s="37">
        <f>ROUND($D93/12,-3)</f>
        <v>73000</v>
      </c>
      <c r="G93" s="37">
        <f t="shared" ref="G93:P93" si="36">ROUND($D93/12,-3)</f>
        <v>73000</v>
      </c>
      <c r="H93" s="37">
        <f t="shared" si="36"/>
        <v>73000</v>
      </c>
      <c r="I93" s="37">
        <f t="shared" si="36"/>
        <v>73000</v>
      </c>
      <c r="J93" s="37">
        <f t="shared" si="36"/>
        <v>73000</v>
      </c>
      <c r="K93" s="37">
        <f t="shared" si="36"/>
        <v>73000</v>
      </c>
      <c r="L93" s="37">
        <f t="shared" si="36"/>
        <v>73000</v>
      </c>
      <c r="M93" s="37">
        <f t="shared" si="36"/>
        <v>73000</v>
      </c>
      <c r="N93" s="37">
        <f t="shared" si="36"/>
        <v>73000</v>
      </c>
      <c r="O93" s="37">
        <f t="shared" si="36"/>
        <v>73000</v>
      </c>
      <c r="P93" s="37">
        <f t="shared" si="36"/>
        <v>73000</v>
      </c>
      <c r="Q93" s="37">
        <f>D93-SUM(F93:P93)</f>
        <v>67000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2408000</v>
      </c>
      <c r="E94" s="110" t="s">
        <v>229</v>
      </c>
      <c r="F94" s="37"/>
      <c r="G94" s="37"/>
      <c r="H94" s="37">
        <f>ROUND($D94/2,-3)</f>
        <v>1204000</v>
      </c>
      <c r="I94" s="37"/>
      <c r="J94" s="37"/>
      <c r="K94" s="37"/>
      <c r="L94" s="37"/>
      <c r="M94" s="37"/>
      <c r="N94" s="37"/>
      <c r="O94" s="37">
        <f>D94-H94</f>
        <v>1204000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215864000</v>
      </c>
      <c r="E95" s="37"/>
      <c r="F95" s="37">
        <f>F2+F86-F88-F89-F90-F92-F93-F94</f>
        <v>60724000</v>
      </c>
      <c r="G95" s="37">
        <f t="shared" ref="G95:Q95" si="37">G2-G88-G89-G90-G92-G93-G94</f>
        <v>15453000</v>
      </c>
      <c r="H95" s="37">
        <f t="shared" si="37"/>
        <v>15177000</v>
      </c>
      <c r="I95" s="37">
        <f t="shared" si="37"/>
        <v>18402000</v>
      </c>
      <c r="J95" s="37">
        <f t="shared" si="37"/>
        <v>15453000</v>
      </c>
      <c r="K95" s="37">
        <f t="shared" si="37"/>
        <v>15477000</v>
      </c>
      <c r="L95" s="37">
        <f t="shared" si="37"/>
        <v>15556000</v>
      </c>
      <c r="M95" s="37">
        <f t="shared" si="37"/>
        <v>15452000</v>
      </c>
      <c r="N95" s="37">
        <f t="shared" si="37"/>
        <v>28587000</v>
      </c>
      <c r="O95" s="37">
        <f t="shared" si="37"/>
        <v>14851000</v>
      </c>
      <c r="P95" s="37">
        <f t="shared" si="37"/>
        <v>371000</v>
      </c>
      <c r="Q95" s="37">
        <f t="shared" si="37"/>
        <v>361000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840000</v>
      </c>
    </row>
    <row r="98" spans="2:17" ht="33" customHeight="1">
      <c r="B98" s="72" t="s">
        <v>234</v>
      </c>
      <c r="D98" s="30">
        <f>HLOOKUP(D1,縣庫撥款收入明細表!H:DD,4,FALSE)</f>
        <v>1600000</v>
      </c>
    </row>
    <row r="99" spans="2:17" ht="32.4">
      <c r="B99" s="72" t="s">
        <v>235</v>
      </c>
      <c r="D99" s="30">
        <f>HLOOKUP(D1,縣庫撥款收入明細表!H:DD,5,FALSE)</f>
        <v>1450000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3479000</v>
      </c>
    </row>
    <row r="102" spans="2:17" ht="32.4">
      <c r="B102" s="71" t="s">
        <v>238</v>
      </c>
      <c r="D102" s="30">
        <f>HLOOKUP(D1,縣庫撥款收入明細表!H:DD,16,FALSE)</f>
        <v>792000</v>
      </c>
    </row>
    <row r="103" spans="2:17" ht="32.4">
      <c r="B103" s="72" t="s">
        <v>239</v>
      </c>
      <c r="D103" s="30">
        <f>HLOOKUP(D1,縣庫撥款收入明細表!H:DD,17,FALSE)</f>
        <v>0</v>
      </c>
    </row>
    <row r="104" spans="2:17" ht="32.4">
      <c r="B104" s="76" t="s">
        <v>240</v>
      </c>
      <c r="D104" s="30">
        <f>HLOOKUP(D1,縣庫撥款收入明細表!H:DD,18,FALSE)</f>
        <v>2408000</v>
      </c>
    </row>
    <row r="105" spans="2:17" ht="32.4">
      <c r="B105" s="72" t="s">
        <v>380</v>
      </c>
      <c r="D105" s="30">
        <f>HLOOKUP(D1,縣庫撥款收入明細表!H:DD,19,FALSE)</f>
        <v>0</v>
      </c>
    </row>
    <row r="106" spans="2:17" ht="32.4">
      <c r="B106" s="71" t="s">
        <v>241</v>
      </c>
      <c r="D106" s="30">
        <f>HLOOKUP(D1,縣庫撥款收入明細表!H:DD,20,FALSE)</f>
        <v>78000</v>
      </c>
    </row>
    <row r="107" spans="2:17" ht="32.4">
      <c r="B107" s="77" t="s">
        <v>242</v>
      </c>
      <c r="D107" s="30">
        <f>HLOOKUP(D1,縣庫撥款收入明細表!H:DD,21,FALSE)</f>
        <v>215864000</v>
      </c>
    </row>
    <row r="108" spans="2:17" ht="16.5" customHeight="1"/>
    <row r="109" spans="2:17" ht="16.5" customHeight="1">
      <c r="B109" s="4" t="s">
        <v>682</v>
      </c>
      <c r="D109" s="30">
        <f>D91-D76</f>
        <v>184367000</v>
      </c>
      <c r="F109" s="30">
        <f>F91-F76</f>
        <v>53262000</v>
      </c>
      <c r="G109" s="30">
        <f t="shared" ref="G109:Q109" si="38">G91-G76</f>
        <v>12636000</v>
      </c>
      <c r="H109" s="30">
        <f t="shared" si="38"/>
        <v>13564000</v>
      </c>
      <c r="I109" s="30">
        <f t="shared" si="38"/>
        <v>15585000</v>
      </c>
      <c r="J109" s="30">
        <f t="shared" si="38"/>
        <v>12636000</v>
      </c>
      <c r="K109" s="30">
        <f t="shared" si="38"/>
        <v>12660000</v>
      </c>
      <c r="L109" s="30">
        <f t="shared" si="38"/>
        <v>12739000</v>
      </c>
      <c r="M109" s="30">
        <f t="shared" si="38"/>
        <v>12636000</v>
      </c>
      <c r="N109" s="30">
        <f t="shared" si="38"/>
        <v>25156000</v>
      </c>
      <c r="O109" s="30">
        <f t="shared" si="38"/>
        <v>12621000</v>
      </c>
      <c r="P109" s="30">
        <f t="shared" si="38"/>
        <v>444000</v>
      </c>
      <c r="Q109" s="30">
        <f t="shared" si="38"/>
        <v>428000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8:C78"/>
    <mergeCell ref="A79:A83"/>
    <mergeCell ref="A1:B1"/>
    <mergeCell ref="A2:B2"/>
    <mergeCell ref="A3:A48"/>
    <mergeCell ref="A49:A70"/>
    <mergeCell ref="A71:A76"/>
  </mergeCells>
  <phoneticPr fontId="3" type="noConversion"/>
  <conditionalFormatting sqref="F95:Q95">
    <cfRule type="cellIs" dxfId="200" priority="1" operator="lessThan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603</v>
      </c>
      <c r="D1" s="240" t="str">
        <f>VLOOKUP(C1,學校編號!A:B,2,FALSE)</f>
        <v>603明廉國小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96069000</v>
      </c>
      <c r="E2" s="37"/>
      <c r="F2" s="37">
        <f>F48+F70+F76+F77+F83</f>
        <v>26696000</v>
      </c>
      <c r="G2" s="37">
        <f t="shared" ref="G2:Q2" si="0">G48+G70+G76+G77+G83</f>
        <v>6832000</v>
      </c>
      <c r="H2" s="37">
        <f t="shared" si="0"/>
        <v>7611000</v>
      </c>
      <c r="I2" s="37">
        <f t="shared" si="0"/>
        <v>8030000</v>
      </c>
      <c r="J2" s="37">
        <f t="shared" si="0"/>
        <v>6832000</v>
      </c>
      <c r="K2" s="37">
        <f t="shared" si="0"/>
        <v>6838000</v>
      </c>
      <c r="L2" s="37">
        <f t="shared" si="0"/>
        <v>6967000</v>
      </c>
      <c r="M2" s="37">
        <f t="shared" si="0"/>
        <v>6832000</v>
      </c>
      <c r="N2" s="37">
        <f t="shared" si="0"/>
        <v>12319000</v>
      </c>
      <c r="O2" s="37">
        <f t="shared" si="0"/>
        <v>6829000</v>
      </c>
      <c r="P2" s="37">
        <f t="shared" si="0"/>
        <v>143000</v>
      </c>
      <c r="Q2" s="37">
        <f t="shared" si="0"/>
        <v>140000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391000</v>
      </c>
      <c r="E3" s="37" t="s">
        <v>525</v>
      </c>
      <c r="F3" s="37">
        <f t="shared" ref="F3:P17" si="1">ROUND($D3/12,0)</f>
        <v>32583</v>
      </c>
      <c r="G3" s="37">
        <f t="shared" si="1"/>
        <v>32583</v>
      </c>
      <c r="H3" s="37">
        <f t="shared" si="1"/>
        <v>32583</v>
      </c>
      <c r="I3" s="37">
        <f t="shared" si="1"/>
        <v>32583</v>
      </c>
      <c r="J3" s="37">
        <f t="shared" si="1"/>
        <v>32583</v>
      </c>
      <c r="K3" s="37">
        <f t="shared" si="1"/>
        <v>32583</v>
      </c>
      <c r="L3" s="37">
        <f t="shared" si="1"/>
        <v>32583</v>
      </c>
      <c r="M3" s="37">
        <f t="shared" si="1"/>
        <v>32583</v>
      </c>
      <c r="N3" s="37">
        <f t="shared" si="1"/>
        <v>32583</v>
      </c>
      <c r="O3" s="37">
        <f t="shared" si="1"/>
        <v>32583</v>
      </c>
      <c r="P3" s="37">
        <f t="shared" si="1"/>
        <v>32583</v>
      </c>
      <c r="Q3" s="37">
        <f t="shared" ref="Q3:Q10" si="2">D3-SUM(F3:P3)</f>
        <v>32587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168000</v>
      </c>
      <c r="E4" s="37" t="s">
        <v>525</v>
      </c>
      <c r="F4" s="37">
        <f t="shared" si="1"/>
        <v>14000</v>
      </c>
      <c r="G4" s="37">
        <f t="shared" si="1"/>
        <v>14000</v>
      </c>
      <c r="H4" s="37">
        <f t="shared" si="1"/>
        <v>14000</v>
      </c>
      <c r="I4" s="37">
        <f t="shared" si="1"/>
        <v>14000</v>
      </c>
      <c r="J4" s="37">
        <f t="shared" si="1"/>
        <v>14000</v>
      </c>
      <c r="K4" s="37">
        <f t="shared" si="1"/>
        <v>14000</v>
      </c>
      <c r="L4" s="37">
        <f t="shared" si="1"/>
        <v>14000</v>
      </c>
      <c r="M4" s="37">
        <f t="shared" si="1"/>
        <v>14000</v>
      </c>
      <c r="N4" s="37">
        <f t="shared" si="1"/>
        <v>14000</v>
      </c>
      <c r="O4" s="37">
        <f t="shared" si="1"/>
        <v>14000</v>
      </c>
      <c r="P4" s="37">
        <f t="shared" si="1"/>
        <v>14000</v>
      </c>
      <c r="Q4" s="37">
        <f t="shared" si="2"/>
        <v>14000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76000</v>
      </c>
      <c r="E7" s="37" t="s">
        <v>525</v>
      </c>
      <c r="F7" s="37">
        <f t="shared" si="1"/>
        <v>6333</v>
      </c>
      <c r="G7" s="37">
        <f t="shared" si="1"/>
        <v>6333</v>
      </c>
      <c r="H7" s="37">
        <f t="shared" si="1"/>
        <v>6333</v>
      </c>
      <c r="I7" s="37">
        <f t="shared" si="1"/>
        <v>6333</v>
      </c>
      <c r="J7" s="37">
        <f t="shared" si="1"/>
        <v>6333</v>
      </c>
      <c r="K7" s="37">
        <f t="shared" si="1"/>
        <v>6333</v>
      </c>
      <c r="L7" s="37">
        <f t="shared" si="1"/>
        <v>6333</v>
      </c>
      <c r="M7" s="37">
        <f t="shared" si="1"/>
        <v>6333</v>
      </c>
      <c r="N7" s="37">
        <f t="shared" si="1"/>
        <v>6333</v>
      </c>
      <c r="O7" s="37">
        <f t="shared" si="1"/>
        <v>6333</v>
      </c>
      <c r="P7" s="37">
        <f t="shared" si="1"/>
        <v>6333</v>
      </c>
      <c r="Q7" s="37">
        <f t="shared" si="2"/>
        <v>6337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90000</v>
      </c>
      <c r="E8" s="37" t="s">
        <v>525</v>
      </c>
      <c r="F8" s="37">
        <f t="shared" si="1"/>
        <v>7500</v>
      </c>
      <c r="G8" s="37">
        <f t="shared" si="1"/>
        <v>7500</v>
      </c>
      <c r="H8" s="37">
        <f t="shared" si="1"/>
        <v>7500</v>
      </c>
      <c r="I8" s="37">
        <f t="shared" si="1"/>
        <v>7500</v>
      </c>
      <c r="J8" s="37">
        <f t="shared" si="1"/>
        <v>7500</v>
      </c>
      <c r="K8" s="37">
        <f t="shared" si="1"/>
        <v>7500</v>
      </c>
      <c r="L8" s="37">
        <f t="shared" si="1"/>
        <v>7500</v>
      </c>
      <c r="M8" s="37">
        <f t="shared" si="1"/>
        <v>7500</v>
      </c>
      <c r="N8" s="37">
        <f t="shared" si="1"/>
        <v>7500</v>
      </c>
      <c r="O8" s="37">
        <f t="shared" si="1"/>
        <v>7500</v>
      </c>
      <c r="P8" s="37">
        <f t="shared" si="1"/>
        <v>7500</v>
      </c>
      <c r="Q8" s="37">
        <f t="shared" si="2"/>
        <v>7500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9000</v>
      </c>
      <c r="E9" s="37" t="s">
        <v>525</v>
      </c>
      <c r="F9" s="37">
        <f t="shared" si="1"/>
        <v>750</v>
      </c>
      <c r="G9" s="37">
        <f t="shared" si="1"/>
        <v>750</v>
      </c>
      <c r="H9" s="37">
        <f t="shared" si="1"/>
        <v>750</v>
      </c>
      <c r="I9" s="37">
        <f t="shared" si="1"/>
        <v>750</v>
      </c>
      <c r="J9" s="37">
        <f t="shared" si="1"/>
        <v>750</v>
      </c>
      <c r="K9" s="37">
        <f t="shared" si="1"/>
        <v>750</v>
      </c>
      <c r="L9" s="37">
        <f t="shared" si="1"/>
        <v>750</v>
      </c>
      <c r="M9" s="37">
        <f t="shared" si="1"/>
        <v>750</v>
      </c>
      <c r="N9" s="37">
        <f t="shared" si="1"/>
        <v>750</v>
      </c>
      <c r="O9" s="37">
        <f t="shared" si="1"/>
        <v>750</v>
      </c>
      <c r="P9" s="37">
        <f t="shared" si="1"/>
        <v>750</v>
      </c>
      <c r="Q9" s="37">
        <f t="shared" si="2"/>
        <v>750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164000</v>
      </c>
      <c r="E13" s="37" t="s">
        <v>525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98000</v>
      </c>
      <c r="E15" s="37" t="s">
        <v>193</v>
      </c>
      <c r="F15" s="37">
        <f>ROUND($D15/2,-3)</f>
        <v>49000</v>
      </c>
      <c r="G15" s="37"/>
      <c r="H15" s="37"/>
      <c r="I15" s="37"/>
      <c r="J15" s="37"/>
      <c r="K15" s="37"/>
      <c r="L15" s="37">
        <f>D15-F15</f>
        <v>49000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0</v>
      </c>
      <c r="E16" s="37" t="s">
        <v>525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64000</v>
      </c>
      <c r="E17" s="37" t="s">
        <v>525</v>
      </c>
      <c r="F17" s="37">
        <f>ROUND($D17/12,0)</f>
        <v>5333</v>
      </c>
      <c r="G17" s="37">
        <f t="shared" si="1"/>
        <v>5333</v>
      </c>
      <c r="H17" s="37">
        <f t="shared" si="1"/>
        <v>5333</v>
      </c>
      <c r="I17" s="37">
        <f t="shared" si="1"/>
        <v>5333</v>
      </c>
      <c r="J17" s="37">
        <f t="shared" si="1"/>
        <v>5333</v>
      </c>
      <c r="K17" s="37">
        <f t="shared" si="1"/>
        <v>5333</v>
      </c>
      <c r="L17" s="37">
        <f t="shared" si="1"/>
        <v>5333</v>
      </c>
      <c r="M17" s="37">
        <f t="shared" si="1"/>
        <v>5333</v>
      </c>
      <c r="N17" s="37">
        <f t="shared" si="1"/>
        <v>5333</v>
      </c>
      <c r="O17" s="37">
        <f t="shared" si="1"/>
        <v>5333</v>
      </c>
      <c r="P17" s="37">
        <f t="shared" si="1"/>
        <v>5333</v>
      </c>
      <c r="Q17" s="37">
        <f>D17-SUM(F17:P17)</f>
        <v>5337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163000</v>
      </c>
      <c r="E24" s="37" t="s">
        <v>193</v>
      </c>
      <c r="F24" s="37">
        <f>ROUND($D24/2,-3)</f>
        <v>82000</v>
      </c>
      <c r="G24" s="37"/>
      <c r="H24" s="37"/>
      <c r="I24" s="37"/>
      <c r="J24" s="37"/>
      <c r="K24" s="37"/>
      <c r="L24" s="37">
        <f>D24-F24</f>
        <v>81000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1223000</v>
      </c>
      <c r="E25" s="108"/>
      <c r="F25" s="108">
        <f>ROUND(SUM(F3:F24),-3)</f>
        <v>211000</v>
      </c>
      <c r="G25" s="108">
        <f t="shared" ref="G25:P25" si="5">ROUND(SUM(G3:G24),-3)</f>
        <v>80000</v>
      </c>
      <c r="H25" s="108">
        <f t="shared" si="5"/>
        <v>80000</v>
      </c>
      <c r="I25" s="108">
        <f t="shared" si="5"/>
        <v>80000</v>
      </c>
      <c r="J25" s="108">
        <f t="shared" si="5"/>
        <v>80000</v>
      </c>
      <c r="K25" s="108">
        <f t="shared" si="5"/>
        <v>80000</v>
      </c>
      <c r="L25" s="108">
        <f t="shared" si="5"/>
        <v>210000</v>
      </c>
      <c r="M25" s="108">
        <f t="shared" si="5"/>
        <v>80000</v>
      </c>
      <c r="N25" s="108">
        <f t="shared" si="5"/>
        <v>80000</v>
      </c>
      <c r="O25" s="108">
        <f t="shared" si="5"/>
        <v>80000</v>
      </c>
      <c r="P25" s="108">
        <f t="shared" si="5"/>
        <v>80000</v>
      </c>
      <c r="Q25" s="108">
        <f t="shared" ref="Q25:Q33" si="6">D25-SUM(F25:P25)</f>
        <v>82000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363000</v>
      </c>
      <c r="E27" s="37" t="s">
        <v>525</v>
      </c>
      <c r="F27" s="37">
        <f t="shared" ref="F27:P33" si="8">ROUND($D27/12,0)</f>
        <v>30250</v>
      </c>
      <c r="G27" s="37">
        <f t="shared" si="8"/>
        <v>30250</v>
      </c>
      <c r="H27" s="37">
        <f t="shared" si="8"/>
        <v>30250</v>
      </c>
      <c r="I27" s="37">
        <f t="shared" si="8"/>
        <v>30250</v>
      </c>
      <c r="J27" s="37">
        <f t="shared" si="8"/>
        <v>30250</v>
      </c>
      <c r="K27" s="37">
        <f t="shared" si="8"/>
        <v>30250</v>
      </c>
      <c r="L27" s="37">
        <f t="shared" si="8"/>
        <v>30250</v>
      </c>
      <c r="M27" s="37">
        <f t="shared" si="8"/>
        <v>30250</v>
      </c>
      <c r="N27" s="37">
        <f t="shared" si="8"/>
        <v>30250</v>
      </c>
      <c r="O27" s="37">
        <f t="shared" si="8"/>
        <v>30250</v>
      </c>
      <c r="P27" s="37">
        <f t="shared" si="8"/>
        <v>30250</v>
      </c>
      <c r="Q27" s="37">
        <f t="shared" si="6"/>
        <v>30250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39000</v>
      </c>
      <c r="E29" s="37" t="s">
        <v>525</v>
      </c>
      <c r="F29" s="37">
        <f t="shared" si="8"/>
        <v>3250</v>
      </c>
      <c r="G29" s="37">
        <f t="shared" si="8"/>
        <v>3250</v>
      </c>
      <c r="H29" s="37">
        <f t="shared" si="8"/>
        <v>3250</v>
      </c>
      <c r="I29" s="37">
        <f t="shared" si="8"/>
        <v>3250</v>
      </c>
      <c r="J29" s="37">
        <f t="shared" si="8"/>
        <v>3250</v>
      </c>
      <c r="K29" s="37">
        <f t="shared" si="8"/>
        <v>3250</v>
      </c>
      <c r="L29" s="37">
        <f t="shared" si="8"/>
        <v>3250</v>
      </c>
      <c r="M29" s="37">
        <f t="shared" si="8"/>
        <v>3250</v>
      </c>
      <c r="N29" s="37">
        <f t="shared" si="8"/>
        <v>3250</v>
      </c>
      <c r="O29" s="37">
        <f t="shared" si="8"/>
        <v>3250</v>
      </c>
      <c r="P29" s="37">
        <f t="shared" si="8"/>
        <v>3250</v>
      </c>
      <c r="Q29" s="37">
        <f t="shared" si="6"/>
        <v>3250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97000</v>
      </c>
      <c r="E30" s="37" t="s">
        <v>525</v>
      </c>
      <c r="F30" s="37">
        <f t="shared" si="8"/>
        <v>8083</v>
      </c>
      <c r="G30" s="37">
        <f t="shared" si="8"/>
        <v>8083</v>
      </c>
      <c r="H30" s="37">
        <f t="shared" si="8"/>
        <v>8083</v>
      </c>
      <c r="I30" s="37">
        <f t="shared" si="8"/>
        <v>8083</v>
      </c>
      <c r="J30" s="37">
        <f t="shared" si="8"/>
        <v>8083</v>
      </c>
      <c r="K30" s="37">
        <f t="shared" si="8"/>
        <v>8083</v>
      </c>
      <c r="L30" s="37">
        <f t="shared" si="8"/>
        <v>8083</v>
      </c>
      <c r="M30" s="37">
        <f t="shared" si="8"/>
        <v>8083</v>
      </c>
      <c r="N30" s="37">
        <f t="shared" si="8"/>
        <v>8083</v>
      </c>
      <c r="O30" s="37">
        <f t="shared" si="8"/>
        <v>8083</v>
      </c>
      <c r="P30" s="37">
        <f t="shared" si="8"/>
        <v>8083</v>
      </c>
      <c r="Q30" s="37">
        <f t="shared" si="6"/>
        <v>8087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48000</v>
      </c>
      <c r="E31" s="37" t="s">
        <v>525</v>
      </c>
      <c r="F31" s="37">
        <f t="shared" si="8"/>
        <v>4000</v>
      </c>
      <c r="G31" s="37">
        <f t="shared" si="8"/>
        <v>4000</v>
      </c>
      <c r="H31" s="37">
        <f t="shared" si="8"/>
        <v>4000</v>
      </c>
      <c r="I31" s="37">
        <f t="shared" si="8"/>
        <v>4000</v>
      </c>
      <c r="J31" s="37">
        <f t="shared" si="8"/>
        <v>4000</v>
      </c>
      <c r="K31" s="37">
        <f t="shared" si="8"/>
        <v>4000</v>
      </c>
      <c r="L31" s="37">
        <f t="shared" si="8"/>
        <v>4000</v>
      </c>
      <c r="M31" s="37">
        <f t="shared" si="8"/>
        <v>4000</v>
      </c>
      <c r="N31" s="37">
        <f t="shared" si="8"/>
        <v>4000</v>
      </c>
      <c r="O31" s="37">
        <f t="shared" si="8"/>
        <v>4000</v>
      </c>
      <c r="P31" s="37">
        <f t="shared" si="8"/>
        <v>4000</v>
      </c>
      <c r="Q31" s="37">
        <f t="shared" si="6"/>
        <v>4000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24000</v>
      </c>
      <c r="E32" s="37" t="s">
        <v>525</v>
      </c>
      <c r="F32" s="37">
        <f t="shared" si="8"/>
        <v>2000</v>
      </c>
      <c r="G32" s="37">
        <f t="shared" si="8"/>
        <v>2000</v>
      </c>
      <c r="H32" s="37">
        <f t="shared" si="8"/>
        <v>2000</v>
      </c>
      <c r="I32" s="37">
        <f t="shared" si="8"/>
        <v>2000</v>
      </c>
      <c r="J32" s="37">
        <f t="shared" si="8"/>
        <v>2000</v>
      </c>
      <c r="K32" s="37">
        <f t="shared" si="8"/>
        <v>2000</v>
      </c>
      <c r="L32" s="37">
        <f t="shared" si="8"/>
        <v>2000</v>
      </c>
      <c r="M32" s="37">
        <f t="shared" si="8"/>
        <v>2000</v>
      </c>
      <c r="N32" s="37">
        <f t="shared" si="8"/>
        <v>2000</v>
      </c>
      <c r="O32" s="37">
        <f t="shared" si="8"/>
        <v>2000</v>
      </c>
      <c r="P32" s="37">
        <f t="shared" si="8"/>
        <v>2000</v>
      </c>
      <c r="Q32" s="37">
        <f t="shared" si="6"/>
        <v>2000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14000</v>
      </c>
      <c r="E33" s="37" t="s">
        <v>525</v>
      </c>
      <c r="F33" s="37">
        <f t="shared" si="8"/>
        <v>1167</v>
      </c>
      <c r="G33" s="37">
        <f t="shared" si="8"/>
        <v>1167</v>
      </c>
      <c r="H33" s="37">
        <f t="shared" si="8"/>
        <v>1167</v>
      </c>
      <c r="I33" s="37">
        <f t="shared" si="8"/>
        <v>1167</v>
      </c>
      <c r="J33" s="37">
        <f t="shared" si="8"/>
        <v>1167</v>
      </c>
      <c r="K33" s="37">
        <f t="shared" si="8"/>
        <v>1167</v>
      </c>
      <c r="L33" s="37">
        <f t="shared" si="8"/>
        <v>1167</v>
      </c>
      <c r="M33" s="37">
        <f t="shared" si="8"/>
        <v>1167</v>
      </c>
      <c r="N33" s="37">
        <f t="shared" si="8"/>
        <v>1167</v>
      </c>
      <c r="O33" s="37">
        <f t="shared" si="8"/>
        <v>1167</v>
      </c>
      <c r="P33" s="37">
        <f t="shared" si="8"/>
        <v>1167</v>
      </c>
      <c r="Q33" s="37">
        <f t="shared" si="6"/>
        <v>1163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585000</v>
      </c>
      <c r="E37" s="108"/>
      <c r="F37" s="108">
        <f t="shared" ref="F37:P37" si="9">ROUND(SUM(F26:F36),-3)</f>
        <v>49000</v>
      </c>
      <c r="G37" s="108">
        <f t="shared" si="9"/>
        <v>49000</v>
      </c>
      <c r="H37" s="108">
        <f t="shared" si="9"/>
        <v>49000</v>
      </c>
      <c r="I37" s="108">
        <f t="shared" si="9"/>
        <v>49000</v>
      </c>
      <c r="J37" s="108">
        <f t="shared" si="9"/>
        <v>49000</v>
      </c>
      <c r="K37" s="108">
        <f t="shared" si="9"/>
        <v>49000</v>
      </c>
      <c r="L37" s="108">
        <f t="shared" si="9"/>
        <v>49000</v>
      </c>
      <c r="M37" s="108">
        <f t="shared" si="9"/>
        <v>49000</v>
      </c>
      <c r="N37" s="108">
        <f t="shared" si="9"/>
        <v>49000</v>
      </c>
      <c r="O37" s="108">
        <f t="shared" si="9"/>
        <v>49000</v>
      </c>
      <c r="P37" s="108">
        <f t="shared" si="9"/>
        <v>49000</v>
      </c>
      <c r="Q37" s="108">
        <f>D37-SUM(F37:P37)</f>
        <v>46000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18000</v>
      </c>
      <c r="E46" s="37" t="s">
        <v>194</v>
      </c>
      <c r="F46" s="37">
        <f>ROUND($D46/3,0)</f>
        <v>6000</v>
      </c>
      <c r="G46" s="37"/>
      <c r="H46" s="37"/>
      <c r="I46" s="37"/>
      <c r="J46" s="37"/>
      <c r="K46" s="37">
        <f>ROUND($D46/3,0)</f>
        <v>6000</v>
      </c>
      <c r="L46" s="37"/>
      <c r="M46" s="37"/>
      <c r="N46" s="37">
        <f>ROUND($D46/3,0)</f>
        <v>6000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18000</v>
      </c>
      <c r="E47" s="108"/>
      <c r="F47" s="108">
        <f t="shared" ref="F47:P47" si="13">ROUND(SUM(F46),-3)</f>
        <v>6000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6000</v>
      </c>
      <c r="L47" s="108">
        <f t="shared" si="13"/>
        <v>0</v>
      </c>
      <c r="M47" s="108">
        <f t="shared" si="13"/>
        <v>0</v>
      </c>
      <c r="N47" s="108">
        <f t="shared" si="13"/>
        <v>6000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1826000</v>
      </c>
      <c r="E48" s="37"/>
      <c r="F48" s="115">
        <f>F25+F37+F45+F47</f>
        <v>266000</v>
      </c>
      <c r="G48" s="115">
        <f t="shared" ref="G48:R48" si="14">G25+G37+G45+G47</f>
        <v>129000</v>
      </c>
      <c r="H48" s="115">
        <f t="shared" si="14"/>
        <v>129000</v>
      </c>
      <c r="I48" s="115">
        <f t="shared" si="14"/>
        <v>129000</v>
      </c>
      <c r="J48" s="115">
        <f t="shared" si="14"/>
        <v>129000</v>
      </c>
      <c r="K48" s="115">
        <f t="shared" si="14"/>
        <v>135000</v>
      </c>
      <c r="L48" s="115">
        <f t="shared" si="14"/>
        <v>259000</v>
      </c>
      <c r="M48" s="115">
        <f t="shared" si="14"/>
        <v>129000</v>
      </c>
      <c r="N48" s="115">
        <f t="shared" si="14"/>
        <v>135000</v>
      </c>
      <c r="O48" s="115">
        <f t="shared" si="14"/>
        <v>129000</v>
      </c>
      <c r="P48" s="115">
        <f t="shared" si="14"/>
        <v>129000</v>
      </c>
      <c r="Q48" s="115">
        <f t="shared" si="14"/>
        <v>128000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42148000</v>
      </c>
      <c r="E49" s="114" t="s">
        <v>202</v>
      </c>
      <c r="F49" s="37">
        <f>ROUND($D49/12*3,-3)</f>
        <v>10537000</v>
      </c>
      <c r="G49" s="37">
        <f>ROUND($D49/12,-3)</f>
        <v>3512000</v>
      </c>
      <c r="H49" s="37">
        <f t="shared" ref="H49:N53" si="15">ROUND($D49/12,-3)</f>
        <v>3512000</v>
      </c>
      <c r="I49" s="37">
        <f t="shared" si="15"/>
        <v>3512000</v>
      </c>
      <c r="J49" s="37">
        <f t="shared" si="15"/>
        <v>3512000</v>
      </c>
      <c r="K49" s="37">
        <f t="shared" si="15"/>
        <v>3512000</v>
      </c>
      <c r="L49" s="37">
        <f t="shared" si="15"/>
        <v>3512000</v>
      </c>
      <c r="M49" s="37">
        <f t="shared" si="15"/>
        <v>3512000</v>
      </c>
      <c r="N49" s="37">
        <f t="shared" si="15"/>
        <v>3512000</v>
      </c>
      <c r="O49" s="37">
        <f>D49-SUM(F49:N49)</f>
        <v>3515000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405000</v>
      </c>
      <c r="E50" s="114" t="s">
        <v>202</v>
      </c>
      <c r="F50" s="37">
        <f t="shared" ref="F50:F53" si="16">ROUND($D50/12*3,-3)</f>
        <v>101000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si="15"/>
        <v>34000</v>
      </c>
      <c r="N50" s="37">
        <f t="shared" si="15"/>
        <v>34000</v>
      </c>
      <c r="O50" s="37">
        <f t="shared" ref="O50:O53" si="18">D50-SUM(F50:N50)</f>
        <v>32000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4403000</v>
      </c>
      <c r="E51" s="114" t="s">
        <v>202</v>
      </c>
      <c r="F51" s="37">
        <f t="shared" si="16"/>
        <v>1101000</v>
      </c>
      <c r="G51" s="37">
        <f t="shared" si="17"/>
        <v>367000</v>
      </c>
      <c r="H51" s="37">
        <f t="shared" si="15"/>
        <v>367000</v>
      </c>
      <c r="I51" s="37">
        <f t="shared" si="15"/>
        <v>367000</v>
      </c>
      <c r="J51" s="37">
        <f t="shared" si="15"/>
        <v>367000</v>
      </c>
      <c r="K51" s="37">
        <f t="shared" si="15"/>
        <v>367000</v>
      </c>
      <c r="L51" s="37">
        <f t="shared" si="15"/>
        <v>367000</v>
      </c>
      <c r="M51" s="37">
        <f t="shared" si="15"/>
        <v>367000</v>
      </c>
      <c r="N51" s="37">
        <f t="shared" si="15"/>
        <v>367000</v>
      </c>
      <c r="O51" s="37">
        <f t="shared" si="18"/>
        <v>366000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664000</v>
      </c>
      <c r="E52" s="114" t="s">
        <v>202</v>
      </c>
      <c r="F52" s="37">
        <f t="shared" si="16"/>
        <v>166000</v>
      </c>
      <c r="G52" s="37">
        <f t="shared" si="17"/>
        <v>55000</v>
      </c>
      <c r="H52" s="37">
        <f t="shared" si="15"/>
        <v>55000</v>
      </c>
      <c r="I52" s="37">
        <f t="shared" si="15"/>
        <v>55000</v>
      </c>
      <c r="J52" s="37">
        <f t="shared" si="15"/>
        <v>55000</v>
      </c>
      <c r="K52" s="37">
        <f t="shared" si="15"/>
        <v>55000</v>
      </c>
      <c r="L52" s="37">
        <f t="shared" si="15"/>
        <v>55000</v>
      </c>
      <c r="M52" s="37">
        <f t="shared" si="15"/>
        <v>55000</v>
      </c>
      <c r="N52" s="37">
        <f t="shared" si="15"/>
        <v>55000</v>
      </c>
      <c r="O52" s="37">
        <f t="shared" si="18"/>
        <v>58000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166000</v>
      </c>
      <c r="E54" s="37" t="s">
        <v>525</v>
      </c>
      <c r="F54" s="37">
        <f t="shared" ref="F54:P61" si="19">ROUND($D54/12,0)</f>
        <v>13833</v>
      </c>
      <c r="G54" s="37">
        <f t="shared" si="19"/>
        <v>13833</v>
      </c>
      <c r="H54" s="37">
        <f t="shared" si="19"/>
        <v>13833</v>
      </c>
      <c r="I54" s="37">
        <f t="shared" si="19"/>
        <v>13833</v>
      </c>
      <c r="J54" s="37">
        <f t="shared" si="19"/>
        <v>13833</v>
      </c>
      <c r="K54" s="37">
        <f t="shared" si="19"/>
        <v>13833</v>
      </c>
      <c r="L54" s="37">
        <f t="shared" si="19"/>
        <v>13833</v>
      </c>
      <c r="M54" s="37">
        <f t="shared" si="19"/>
        <v>13833</v>
      </c>
      <c r="N54" s="37">
        <f t="shared" si="19"/>
        <v>13833</v>
      </c>
      <c r="O54" s="37">
        <f t="shared" si="19"/>
        <v>13833</v>
      </c>
      <c r="P54" s="37">
        <f t="shared" si="19"/>
        <v>13833</v>
      </c>
      <c r="Q54" s="37">
        <f t="shared" ref="Q54:Q61" si="20">D54-SUM(F54:P54)</f>
        <v>13837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0</v>
      </c>
      <c r="E59" s="37" t="s">
        <v>525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861000</v>
      </c>
      <c r="E60" s="37" t="s">
        <v>195</v>
      </c>
      <c r="F60" s="37">
        <f>D60</f>
        <v>861000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5990000</v>
      </c>
      <c r="E62" s="37" t="s">
        <v>197</v>
      </c>
      <c r="F62" s="37"/>
      <c r="G62" s="37"/>
      <c r="H62" s="37"/>
      <c r="I62" s="37">
        <f>ROUND($D62/5,-3)</f>
        <v>1198000</v>
      </c>
      <c r="J62" s="37"/>
      <c r="K62" s="37"/>
      <c r="L62" s="37"/>
      <c r="M62" s="37"/>
      <c r="N62" s="37">
        <f>D62-I62</f>
        <v>4792000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5196000</v>
      </c>
      <c r="E63" s="37" t="s">
        <v>195</v>
      </c>
      <c r="F63" s="37">
        <f>D63</f>
        <v>5196000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4676000</v>
      </c>
      <c r="E64" s="114" t="s">
        <v>202</v>
      </c>
      <c r="F64" s="37">
        <f>ROUND($D64/12*3,-3)</f>
        <v>1169000</v>
      </c>
      <c r="G64" s="37">
        <f>ROUND($D64/12,-3)</f>
        <v>390000</v>
      </c>
      <c r="H64" s="37">
        <f t="shared" ref="H64:N66" si="21">ROUND($D64/12,-3)</f>
        <v>390000</v>
      </c>
      <c r="I64" s="37">
        <f t="shared" si="21"/>
        <v>390000</v>
      </c>
      <c r="J64" s="37">
        <f t="shared" si="21"/>
        <v>390000</v>
      </c>
      <c r="K64" s="37">
        <f t="shared" si="21"/>
        <v>390000</v>
      </c>
      <c r="L64" s="37">
        <f t="shared" si="21"/>
        <v>390000</v>
      </c>
      <c r="M64" s="37">
        <f t="shared" si="21"/>
        <v>390000</v>
      </c>
      <c r="N64" s="37">
        <f t="shared" si="21"/>
        <v>390000</v>
      </c>
      <c r="O64" s="37">
        <f>D64-SUM(F64:N64)</f>
        <v>387000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1162000</v>
      </c>
      <c r="E65" s="114" t="s">
        <v>202</v>
      </c>
      <c r="F65" s="37">
        <f t="shared" ref="F65:F66" si="22">ROUND($D65/12*3,-3)</f>
        <v>291000</v>
      </c>
      <c r="G65" s="37">
        <f t="shared" ref="G65:G66" si="23">ROUND($D65/12,-3)</f>
        <v>97000</v>
      </c>
      <c r="H65" s="37">
        <f t="shared" si="21"/>
        <v>97000</v>
      </c>
      <c r="I65" s="37">
        <f t="shared" si="21"/>
        <v>97000</v>
      </c>
      <c r="J65" s="37">
        <f t="shared" si="21"/>
        <v>97000</v>
      </c>
      <c r="K65" s="37">
        <f t="shared" si="21"/>
        <v>97000</v>
      </c>
      <c r="L65" s="37">
        <f t="shared" si="21"/>
        <v>97000</v>
      </c>
      <c r="M65" s="37">
        <f t="shared" si="21"/>
        <v>97000</v>
      </c>
      <c r="N65" s="37">
        <f t="shared" si="21"/>
        <v>97000</v>
      </c>
      <c r="O65" s="37">
        <f t="shared" ref="O65:O66" si="24">D65-SUM(F65:N65)</f>
        <v>95000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2797000</v>
      </c>
      <c r="E66" s="114" t="s">
        <v>202</v>
      </c>
      <c r="F66" s="37">
        <f t="shared" si="22"/>
        <v>699000</v>
      </c>
      <c r="G66" s="37">
        <f t="shared" si="23"/>
        <v>233000</v>
      </c>
      <c r="H66" s="37">
        <f t="shared" si="21"/>
        <v>233000</v>
      </c>
      <c r="I66" s="37">
        <f t="shared" si="21"/>
        <v>233000</v>
      </c>
      <c r="J66" s="37">
        <f t="shared" si="21"/>
        <v>233000</v>
      </c>
      <c r="K66" s="37">
        <f t="shared" si="21"/>
        <v>233000</v>
      </c>
      <c r="L66" s="37">
        <f t="shared" si="21"/>
        <v>233000</v>
      </c>
      <c r="M66" s="37">
        <f t="shared" si="21"/>
        <v>233000</v>
      </c>
      <c r="N66" s="37">
        <f t="shared" si="21"/>
        <v>233000</v>
      </c>
      <c r="O66" s="37">
        <f t="shared" si="24"/>
        <v>234000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90000</v>
      </c>
      <c r="E67" s="37" t="s">
        <v>196</v>
      </c>
      <c r="F67" s="37"/>
      <c r="G67" s="37"/>
      <c r="H67" s="37">
        <f>D67</f>
        <v>90000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288000</v>
      </c>
      <c r="E68" s="37" t="s">
        <v>195</v>
      </c>
      <c r="F68" s="37">
        <f>D68</f>
        <v>288000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10000</v>
      </c>
      <c r="E69" s="37" t="s">
        <v>193</v>
      </c>
      <c r="F69" s="37">
        <f>ROUND($D69/2,-3)</f>
        <v>5000</v>
      </c>
      <c r="G69" s="37"/>
      <c r="H69" s="37"/>
      <c r="I69" s="37"/>
      <c r="J69" s="37"/>
      <c r="K69" s="37"/>
      <c r="L69" s="37">
        <f>D69-F69</f>
        <v>5000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68856000</v>
      </c>
      <c r="E70" s="108"/>
      <c r="F70" s="108">
        <f t="shared" ref="F70:P70" si="25">ROUND(SUM(F49:F69),-3)</f>
        <v>20428000</v>
      </c>
      <c r="G70" s="108">
        <f t="shared" si="25"/>
        <v>4702000</v>
      </c>
      <c r="H70" s="108">
        <f t="shared" si="25"/>
        <v>4792000</v>
      </c>
      <c r="I70" s="108">
        <f t="shared" si="25"/>
        <v>5900000</v>
      </c>
      <c r="J70" s="108">
        <f t="shared" si="25"/>
        <v>4702000</v>
      </c>
      <c r="K70" s="108">
        <f t="shared" si="25"/>
        <v>4702000</v>
      </c>
      <c r="L70" s="108">
        <f t="shared" si="25"/>
        <v>4707000</v>
      </c>
      <c r="M70" s="108">
        <f t="shared" si="25"/>
        <v>4702000</v>
      </c>
      <c r="N70" s="108">
        <f t="shared" si="25"/>
        <v>9494000</v>
      </c>
      <c r="O70" s="108">
        <f t="shared" si="25"/>
        <v>4701000</v>
      </c>
      <c r="P70" s="108">
        <f t="shared" si="25"/>
        <v>14000</v>
      </c>
      <c r="Q70" s="108">
        <f>D70-SUM(F70:P70)</f>
        <v>12000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22357000</v>
      </c>
      <c r="E72" s="114" t="s">
        <v>202</v>
      </c>
      <c r="F72" s="37">
        <f>ROUND($D72/12*3,-3)</f>
        <v>5589000</v>
      </c>
      <c r="G72" s="37">
        <f>ROUND($D72/12,-3)</f>
        <v>1863000</v>
      </c>
      <c r="H72" s="37">
        <f t="shared" ref="H72:N75" si="26">ROUND($D72/12,-3)</f>
        <v>1863000</v>
      </c>
      <c r="I72" s="37">
        <f t="shared" si="26"/>
        <v>1863000</v>
      </c>
      <c r="J72" s="37">
        <f t="shared" si="26"/>
        <v>1863000</v>
      </c>
      <c r="K72" s="37">
        <f t="shared" si="26"/>
        <v>1863000</v>
      </c>
      <c r="L72" s="37">
        <f t="shared" si="26"/>
        <v>1863000</v>
      </c>
      <c r="M72" s="37">
        <f t="shared" si="26"/>
        <v>1863000</v>
      </c>
      <c r="N72" s="37">
        <f t="shared" si="26"/>
        <v>1863000</v>
      </c>
      <c r="O72" s="37">
        <f>D72-SUM(F72:N72)</f>
        <v>1864000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1652000</v>
      </c>
      <c r="E75" s="114" t="s">
        <v>202</v>
      </c>
      <c r="F75" s="37">
        <f>ROUND($D75/12*3,-3)</f>
        <v>413000</v>
      </c>
      <c r="G75" s="37">
        <f>ROUND($D75/12,-3)</f>
        <v>138000</v>
      </c>
      <c r="H75" s="37">
        <f t="shared" si="26"/>
        <v>138000</v>
      </c>
      <c r="I75" s="37">
        <f t="shared" si="26"/>
        <v>138000</v>
      </c>
      <c r="J75" s="37">
        <f t="shared" si="26"/>
        <v>138000</v>
      </c>
      <c r="K75" s="37">
        <f t="shared" si="26"/>
        <v>138000</v>
      </c>
      <c r="L75" s="37">
        <f t="shared" si="26"/>
        <v>138000</v>
      </c>
      <c r="M75" s="37">
        <f t="shared" si="26"/>
        <v>138000</v>
      </c>
      <c r="N75" s="37">
        <f t="shared" si="26"/>
        <v>138000</v>
      </c>
      <c r="O75" s="37">
        <f>D75-SUM(F75:N75)</f>
        <v>135000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24009000</v>
      </c>
      <c r="E76" s="108"/>
      <c r="F76" s="108">
        <f>ROUND(SUM(F71:F75),-3)</f>
        <v>6002000</v>
      </c>
      <c r="G76" s="108">
        <f t="shared" ref="G76:N76" si="27">ROUND(SUM(G71:G75),-3)</f>
        <v>2001000</v>
      </c>
      <c r="H76" s="108">
        <f t="shared" si="27"/>
        <v>2001000</v>
      </c>
      <c r="I76" s="108">
        <f t="shared" si="27"/>
        <v>2001000</v>
      </c>
      <c r="J76" s="108">
        <f t="shared" si="27"/>
        <v>2001000</v>
      </c>
      <c r="K76" s="108">
        <f t="shared" si="27"/>
        <v>2001000</v>
      </c>
      <c r="L76" s="108">
        <f t="shared" si="27"/>
        <v>2001000</v>
      </c>
      <c r="M76" s="108">
        <f t="shared" si="27"/>
        <v>2001000</v>
      </c>
      <c r="N76" s="108">
        <f t="shared" si="27"/>
        <v>2001000</v>
      </c>
      <c r="O76" s="108">
        <f>D76-SUM(F76:N76)</f>
        <v>1999000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1378000</v>
      </c>
      <c r="E77" s="37" t="s">
        <v>681</v>
      </c>
      <c r="F77" s="224"/>
      <c r="G77" s="224"/>
      <c r="H77" s="224">
        <f>ROUND($D77/2,-3)</f>
        <v>689000</v>
      </c>
      <c r="I77" s="224"/>
      <c r="J77" s="224"/>
      <c r="K77" s="224"/>
      <c r="L77" s="224"/>
      <c r="M77" s="224"/>
      <c r="N77" s="224">
        <f>D77-H77</f>
        <v>689000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94243000</v>
      </c>
      <c r="E78" s="227"/>
      <c r="F78" s="227">
        <f>F76+F70+F77</f>
        <v>26430000</v>
      </c>
      <c r="G78" s="227">
        <f t="shared" ref="G78:Q78" si="29">G76+G70+G77</f>
        <v>6703000</v>
      </c>
      <c r="H78" s="227">
        <f t="shared" si="29"/>
        <v>7482000</v>
      </c>
      <c r="I78" s="227">
        <f t="shared" si="29"/>
        <v>7901000</v>
      </c>
      <c r="J78" s="227">
        <f t="shared" si="29"/>
        <v>6703000</v>
      </c>
      <c r="K78" s="227">
        <f t="shared" si="29"/>
        <v>6703000</v>
      </c>
      <c r="L78" s="227">
        <f t="shared" si="29"/>
        <v>6708000</v>
      </c>
      <c r="M78" s="227">
        <f t="shared" si="29"/>
        <v>6703000</v>
      </c>
      <c r="N78" s="227">
        <f t="shared" si="29"/>
        <v>12184000</v>
      </c>
      <c r="O78" s="227">
        <f t="shared" si="29"/>
        <v>6700000</v>
      </c>
      <c r="P78" s="227">
        <f t="shared" si="29"/>
        <v>14000</v>
      </c>
      <c r="Q78" s="227">
        <f t="shared" si="29"/>
        <v>12000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-108000</v>
      </c>
      <c r="E86" s="37"/>
      <c r="F86" s="37">
        <f>D86</f>
        <v>-108000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95961000</v>
      </c>
      <c r="E87" s="37"/>
      <c r="F87" s="37">
        <f>F88+F89+F90+F91</f>
        <v>26588000</v>
      </c>
      <c r="G87" s="37">
        <f t="shared" ref="G87:Q87" si="32">G88+G89+G90+G91</f>
        <v>6832000</v>
      </c>
      <c r="H87" s="37">
        <f t="shared" si="32"/>
        <v>7611000</v>
      </c>
      <c r="I87" s="37">
        <f t="shared" si="32"/>
        <v>8030000</v>
      </c>
      <c r="J87" s="37">
        <f t="shared" si="32"/>
        <v>6832000</v>
      </c>
      <c r="K87" s="37">
        <f t="shared" si="32"/>
        <v>6838000</v>
      </c>
      <c r="L87" s="37">
        <f t="shared" si="32"/>
        <v>6967000</v>
      </c>
      <c r="M87" s="37">
        <f t="shared" si="32"/>
        <v>6832000</v>
      </c>
      <c r="N87" s="37">
        <f t="shared" si="32"/>
        <v>12319000</v>
      </c>
      <c r="O87" s="37">
        <f t="shared" si="32"/>
        <v>6829000</v>
      </c>
      <c r="P87" s="37">
        <f t="shared" si="32"/>
        <v>143000</v>
      </c>
      <c r="Q87" s="37">
        <f t="shared" si="32"/>
        <v>140000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65000</v>
      </c>
      <c r="E88" s="108" t="s">
        <v>193</v>
      </c>
      <c r="F88" s="108">
        <f>ROUND($D88/2,-3)</f>
        <v>33000</v>
      </c>
      <c r="G88" s="108"/>
      <c r="H88" s="108"/>
      <c r="I88" s="108"/>
      <c r="J88" s="108"/>
      <c r="K88" s="108"/>
      <c r="L88" s="108">
        <f>D88-F88</f>
        <v>32000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10000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5000</v>
      </c>
      <c r="M90" s="108"/>
      <c r="N90" s="108"/>
      <c r="O90" s="108"/>
      <c r="P90" s="108"/>
      <c r="Q90" s="108">
        <f>ROUND($D90/2,-3)</f>
        <v>5000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95886000</v>
      </c>
      <c r="E91" s="108"/>
      <c r="F91" s="108">
        <f>F92+F93+F94+F95</f>
        <v>26555000</v>
      </c>
      <c r="G91" s="108">
        <f t="shared" ref="G91:Q91" si="34">G92+G93+G94+G95</f>
        <v>6832000</v>
      </c>
      <c r="H91" s="108">
        <f t="shared" si="34"/>
        <v>7611000</v>
      </c>
      <c r="I91" s="108">
        <f t="shared" si="34"/>
        <v>8030000</v>
      </c>
      <c r="J91" s="108">
        <f t="shared" si="34"/>
        <v>6832000</v>
      </c>
      <c r="K91" s="108">
        <f t="shared" si="34"/>
        <v>6838000</v>
      </c>
      <c r="L91" s="108">
        <f t="shared" si="34"/>
        <v>6930000</v>
      </c>
      <c r="M91" s="108">
        <f t="shared" si="34"/>
        <v>6832000</v>
      </c>
      <c r="N91" s="108">
        <f t="shared" si="34"/>
        <v>12319000</v>
      </c>
      <c r="O91" s="108">
        <f t="shared" si="34"/>
        <v>6829000</v>
      </c>
      <c r="P91" s="108">
        <f t="shared" si="34"/>
        <v>143000</v>
      </c>
      <c r="Q91" s="108">
        <f t="shared" si="34"/>
        <v>135000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7958000</v>
      </c>
      <c r="E92" s="114" t="s">
        <v>537</v>
      </c>
      <c r="F92" s="37">
        <f>ROUND($D92/12*5,-3)</f>
        <v>3316000</v>
      </c>
      <c r="G92" s="37">
        <f>ROUND($D92/12,-3)</f>
        <v>663000</v>
      </c>
      <c r="H92" s="37">
        <f t="shared" ref="H92:L92" si="35">ROUND($D92/12,-3)</f>
        <v>663000</v>
      </c>
      <c r="I92" s="37">
        <f t="shared" si="35"/>
        <v>663000</v>
      </c>
      <c r="J92" s="37">
        <f t="shared" si="35"/>
        <v>663000</v>
      </c>
      <c r="K92" s="37">
        <f t="shared" si="35"/>
        <v>663000</v>
      </c>
      <c r="L92" s="37">
        <f t="shared" si="35"/>
        <v>663000</v>
      </c>
      <c r="M92" s="37">
        <f>D92-SUM(F92:L92)</f>
        <v>664000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355000</v>
      </c>
      <c r="E93" s="109" t="s">
        <v>227</v>
      </c>
      <c r="F93" s="37">
        <f>ROUND($D93/12,-3)</f>
        <v>30000</v>
      </c>
      <c r="G93" s="37">
        <f t="shared" ref="G93:P93" si="36">ROUND($D93/12,-3)</f>
        <v>30000</v>
      </c>
      <c r="H93" s="37">
        <f t="shared" si="36"/>
        <v>30000</v>
      </c>
      <c r="I93" s="37">
        <f t="shared" si="36"/>
        <v>30000</v>
      </c>
      <c r="J93" s="37">
        <f t="shared" si="36"/>
        <v>30000</v>
      </c>
      <c r="K93" s="37">
        <f t="shared" si="36"/>
        <v>30000</v>
      </c>
      <c r="L93" s="37">
        <f t="shared" si="36"/>
        <v>30000</v>
      </c>
      <c r="M93" s="37">
        <f t="shared" si="36"/>
        <v>30000</v>
      </c>
      <c r="N93" s="37">
        <f t="shared" si="36"/>
        <v>30000</v>
      </c>
      <c r="O93" s="37">
        <f t="shared" si="36"/>
        <v>30000</v>
      </c>
      <c r="P93" s="37">
        <f t="shared" si="36"/>
        <v>30000</v>
      </c>
      <c r="Q93" s="37">
        <f>D93-SUM(F93:P93)</f>
        <v>25000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28000</v>
      </c>
      <c r="E94" s="110" t="s">
        <v>229</v>
      </c>
      <c r="F94" s="37"/>
      <c r="G94" s="37"/>
      <c r="H94" s="37">
        <f>ROUND($D94/2,-3)</f>
        <v>14000</v>
      </c>
      <c r="I94" s="37"/>
      <c r="J94" s="37"/>
      <c r="K94" s="37"/>
      <c r="L94" s="37"/>
      <c r="M94" s="37"/>
      <c r="N94" s="37"/>
      <c r="O94" s="37">
        <f>D94-H94</f>
        <v>14000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87545000</v>
      </c>
      <c r="E95" s="37"/>
      <c r="F95" s="37">
        <f>F2+F86-F88-F89-F90-F92-F93-F94</f>
        <v>23209000</v>
      </c>
      <c r="G95" s="37">
        <f t="shared" ref="G95:Q95" si="37">G2-G88-G89-G90-G92-G93-G94</f>
        <v>6139000</v>
      </c>
      <c r="H95" s="37">
        <f t="shared" si="37"/>
        <v>6904000</v>
      </c>
      <c r="I95" s="37">
        <f t="shared" si="37"/>
        <v>7337000</v>
      </c>
      <c r="J95" s="37">
        <f t="shared" si="37"/>
        <v>6139000</v>
      </c>
      <c r="K95" s="37">
        <f t="shared" si="37"/>
        <v>6145000</v>
      </c>
      <c r="L95" s="37">
        <f t="shared" si="37"/>
        <v>6237000</v>
      </c>
      <c r="M95" s="37">
        <f t="shared" si="37"/>
        <v>6138000</v>
      </c>
      <c r="N95" s="37">
        <f t="shared" si="37"/>
        <v>12289000</v>
      </c>
      <c r="O95" s="37">
        <f t="shared" si="37"/>
        <v>6785000</v>
      </c>
      <c r="P95" s="37">
        <f t="shared" si="37"/>
        <v>113000</v>
      </c>
      <c r="Q95" s="37">
        <f t="shared" si="37"/>
        <v>110000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800000</v>
      </c>
    </row>
    <row r="99" spans="2:17" ht="32.4">
      <c r="B99" s="72" t="s">
        <v>235</v>
      </c>
      <c r="D99" s="30">
        <f>HLOOKUP(D1,縣庫撥款收入明細表!H:DD,5,FALSE)</f>
        <v>5690000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1468000</v>
      </c>
    </row>
    <row r="102" spans="2:17" ht="32.4">
      <c r="B102" s="71" t="s">
        <v>238</v>
      </c>
      <c r="D102" s="30">
        <f>HLOOKUP(D1,縣庫撥款收入明細表!H:DD,16,FALSE)</f>
        <v>324000</v>
      </c>
    </row>
    <row r="103" spans="2:17" ht="32.4">
      <c r="B103" s="72" t="s">
        <v>239</v>
      </c>
      <c r="D103" s="30">
        <f>HLOOKUP(D1,縣庫撥款收入明細表!H:DD,17,FALSE)</f>
        <v>0</v>
      </c>
    </row>
    <row r="104" spans="2:17" ht="32.4">
      <c r="B104" s="76" t="s">
        <v>240</v>
      </c>
      <c r="D104" s="30">
        <f>HLOOKUP(D1,縣庫撥款收入明細表!H:DD,18,FALSE)</f>
        <v>28000</v>
      </c>
    </row>
    <row r="105" spans="2:17" ht="32.4">
      <c r="B105" s="72" t="s">
        <v>380</v>
      </c>
      <c r="D105" s="30">
        <f>HLOOKUP(D1,縣庫撥款收入明細表!H:DD,19,FALSE)</f>
        <v>0</v>
      </c>
    </row>
    <row r="106" spans="2:17" ht="32.4">
      <c r="B106" s="71" t="s">
        <v>241</v>
      </c>
      <c r="D106" s="30">
        <f>HLOOKUP(D1,縣庫撥款收入明細表!H:DD,20,FALSE)</f>
        <v>31000</v>
      </c>
    </row>
    <row r="107" spans="2:17" ht="32.4">
      <c r="B107" s="77" t="s">
        <v>242</v>
      </c>
      <c r="D107" s="30">
        <f>HLOOKUP(D1,縣庫撥款收入明細表!H:DD,21,FALSE)</f>
        <v>87545000</v>
      </c>
    </row>
    <row r="108" spans="2:17" ht="16.5" customHeight="1"/>
    <row r="109" spans="2:17" ht="16.5" customHeight="1">
      <c r="B109" s="4" t="s">
        <v>682</v>
      </c>
      <c r="D109" s="30">
        <f>D91-D76</f>
        <v>71877000</v>
      </c>
      <c r="F109" s="30">
        <f>F91-F76</f>
        <v>20553000</v>
      </c>
      <c r="G109" s="30">
        <f t="shared" ref="G109:Q109" si="38">G91-G76</f>
        <v>4831000</v>
      </c>
      <c r="H109" s="30">
        <f t="shared" si="38"/>
        <v>5610000</v>
      </c>
      <c r="I109" s="30">
        <f t="shared" si="38"/>
        <v>6029000</v>
      </c>
      <c r="J109" s="30">
        <f t="shared" si="38"/>
        <v>4831000</v>
      </c>
      <c r="K109" s="30">
        <f t="shared" si="38"/>
        <v>4837000</v>
      </c>
      <c r="L109" s="30">
        <f t="shared" si="38"/>
        <v>4929000</v>
      </c>
      <c r="M109" s="30">
        <f t="shared" si="38"/>
        <v>4831000</v>
      </c>
      <c r="N109" s="30">
        <f t="shared" si="38"/>
        <v>10318000</v>
      </c>
      <c r="O109" s="30">
        <f t="shared" si="38"/>
        <v>4830000</v>
      </c>
      <c r="P109" s="30">
        <f t="shared" si="38"/>
        <v>143000</v>
      </c>
      <c r="Q109" s="30">
        <f t="shared" si="38"/>
        <v>135000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8:C78"/>
    <mergeCell ref="A79:A83"/>
    <mergeCell ref="A1:B1"/>
    <mergeCell ref="A2:B2"/>
    <mergeCell ref="A3:A48"/>
    <mergeCell ref="A49:A70"/>
    <mergeCell ref="A71:A76"/>
  </mergeCells>
  <phoneticPr fontId="3" type="noConversion"/>
  <conditionalFormatting sqref="F95:Q95">
    <cfRule type="cellIs" dxfId="19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activeCell="D1" sqref="D1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604</v>
      </c>
      <c r="D1" s="240" t="str">
        <f>VLOOKUP(C1,學校編號!A:B,2,FALSE)</f>
        <v>604明恥國小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65387000</v>
      </c>
      <c r="E2" s="37"/>
      <c r="F2" s="37">
        <f>F48+F70+F76+F77+F83</f>
        <v>18915000</v>
      </c>
      <c r="G2" s="37">
        <f t="shared" ref="G2:Q2" si="0">G48+G70+G76+G77+G83</f>
        <v>4623000</v>
      </c>
      <c r="H2" s="37">
        <f t="shared" si="0"/>
        <v>4921000</v>
      </c>
      <c r="I2" s="37">
        <f t="shared" si="0"/>
        <v>5396000</v>
      </c>
      <c r="J2" s="37">
        <f t="shared" si="0"/>
        <v>4629000</v>
      </c>
      <c r="K2" s="37">
        <f t="shared" si="0"/>
        <v>4639000</v>
      </c>
      <c r="L2" s="37">
        <f t="shared" si="0"/>
        <v>4829000</v>
      </c>
      <c r="M2" s="37">
        <f t="shared" si="0"/>
        <v>4629000</v>
      </c>
      <c r="N2" s="37">
        <f t="shared" si="0"/>
        <v>7913000</v>
      </c>
      <c r="O2" s="37">
        <f t="shared" si="0"/>
        <v>4629000</v>
      </c>
      <c r="P2" s="37">
        <f t="shared" si="0"/>
        <v>134000</v>
      </c>
      <c r="Q2" s="37">
        <f t="shared" si="0"/>
        <v>130000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321000</v>
      </c>
      <c r="E3" s="37" t="s">
        <v>525</v>
      </c>
      <c r="F3" s="37">
        <f t="shared" ref="F3:P17" si="1">ROUND($D3/12,0)</f>
        <v>26750</v>
      </c>
      <c r="G3" s="37">
        <f t="shared" si="1"/>
        <v>26750</v>
      </c>
      <c r="H3" s="37">
        <f t="shared" si="1"/>
        <v>26750</v>
      </c>
      <c r="I3" s="37">
        <f t="shared" si="1"/>
        <v>26750</v>
      </c>
      <c r="J3" s="37">
        <f t="shared" si="1"/>
        <v>26750</v>
      </c>
      <c r="K3" s="37">
        <f t="shared" si="1"/>
        <v>26750</v>
      </c>
      <c r="L3" s="37">
        <f t="shared" si="1"/>
        <v>26750</v>
      </c>
      <c r="M3" s="37">
        <f t="shared" si="1"/>
        <v>26750</v>
      </c>
      <c r="N3" s="37">
        <f t="shared" si="1"/>
        <v>26750</v>
      </c>
      <c r="O3" s="37">
        <f t="shared" si="1"/>
        <v>26750</v>
      </c>
      <c r="P3" s="37">
        <f t="shared" si="1"/>
        <v>26750</v>
      </c>
      <c r="Q3" s="37">
        <f t="shared" ref="Q3:Q10" si="2">D3-SUM(F3:P3)</f>
        <v>26750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138000</v>
      </c>
      <c r="E4" s="37" t="s">
        <v>525</v>
      </c>
      <c r="F4" s="37">
        <f t="shared" si="1"/>
        <v>11500</v>
      </c>
      <c r="G4" s="37">
        <f t="shared" si="1"/>
        <v>11500</v>
      </c>
      <c r="H4" s="37">
        <f t="shared" si="1"/>
        <v>11500</v>
      </c>
      <c r="I4" s="37">
        <f t="shared" si="1"/>
        <v>11500</v>
      </c>
      <c r="J4" s="37">
        <f t="shared" si="1"/>
        <v>11500</v>
      </c>
      <c r="K4" s="37">
        <f t="shared" si="1"/>
        <v>11500</v>
      </c>
      <c r="L4" s="37">
        <f t="shared" si="1"/>
        <v>11500</v>
      </c>
      <c r="M4" s="37">
        <f t="shared" si="1"/>
        <v>11500</v>
      </c>
      <c r="N4" s="37">
        <f t="shared" si="1"/>
        <v>11500</v>
      </c>
      <c r="O4" s="37">
        <f t="shared" si="1"/>
        <v>11500</v>
      </c>
      <c r="P4" s="37">
        <f t="shared" si="1"/>
        <v>11500</v>
      </c>
      <c r="Q4" s="37">
        <f t="shared" si="2"/>
        <v>11500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72000</v>
      </c>
      <c r="E7" s="37" t="s">
        <v>525</v>
      </c>
      <c r="F7" s="37">
        <f t="shared" si="1"/>
        <v>6000</v>
      </c>
      <c r="G7" s="37">
        <f t="shared" si="1"/>
        <v>6000</v>
      </c>
      <c r="H7" s="37">
        <f t="shared" si="1"/>
        <v>6000</v>
      </c>
      <c r="I7" s="37">
        <f t="shared" si="1"/>
        <v>6000</v>
      </c>
      <c r="J7" s="37">
        <f t="shared" si="1"/>
        <v>6000</v>
      </c>
      <c r="K7" s="37">
        <f t="shared" si="1"/>
        <v>6000</v>
      </c>
      <c r="L7" s="37">
        <f t="shared" si="1"/>
        <v>6000</v>
      </c>
      <c r="M7" s="37">
        <f t="shared" si="1"/>
        <v>6000</v>
      </c>
      <c r="N7" s="37">
        <f t="shared" si="1"/>
        <v>6000</v>
      </c>
      <c r="O7" s="37">
        <f t="shared" si="1"/>
        <v>6000</v>
      </c>
      <c r="P7" s="37">
        <f t="shared" si="1"/>
        <v>6000</v>
      </c>
      <c r="Q7" s="37">
        <f t="shared" si="2"/>
        <v>6000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60000</v>
      </c>
      <c r="E8" s="37" t="s">
        <v>525</v>
      </c>
      <c r="F8" s="37">
        <f t="shared" si="1"/>
        <v>5000</v>
      </c>
      <c r="G8" s="37">
        <f t="shared" si="1"/>
        <v>5000</v>
      </c>
      <c r="H8" s="37">
        <f t="shared" si="1"/>
        <v>5000</v>
      </c>
      <c r="I8" s="37">
        <f t="shared" si="1"/>
        <v>5000</v>
      </c>
      <c r="J8" s="37">
        <f t="shared" si="1"/>
        <v>5000</v>
      </c>
      <c r="K8" s="37">
        <f t="shared" si="1"/>
        <v>5000</v>
      </c>
      <c r="L8" s="37">
        <f t="shared" si="1"/>
        <v>5000</v>
      </c>
      <c r="M8" s="37">
        <f t="shared" si="1"/>
        <v>5000</v>
      </c>
      <c r="N8" s="37">
        <f t="shared" si="1"/>
        <v>5000</v>
      </c>
      <c r="O8" s="37">
        <f t="shared" si="1"/>
        <v>5000</v>
      </c>
      <c r="P8" s="37">
        <f t="shared" si="1"/>
        <v>5000</v>
      </c>
      <c r="Q8" s="37">
        <f t="shared" si="2"/>
        <v>5000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6000</v>
      </c>
      <c r="E9" s="37" t="s">
        <v>525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25000</v>
      </c>
      <c r="E10" s="37" t="s">
        <v>525</v>
      </c>
      <c r="F10" s="37">
        <f t="shared" si="1"/>
        <v>2083</v>
      </c>
      <c r="G10" s="37">
        <f t="shared" si="1"/>
        <v>2083</v>
      </c>
      <c r="H10" s="37">
        <f t="shared" si="1"/>
        <v>2083</v>
      </c>
      <c r="I10" s="37">
        <f t="shared" si="1"/>
        <v>2083</v>
      </c>
      <c r="J10" s="37">
        <f t="shared" si="1"/>
        <v>2083</v>
      </c>
      <c r="K10" s="37">
        <f t="shared" si="1"/>
        <v>2083</v>
      </c>
      <c r="L10" s="37">
        <f t="shared" si="1"/>
        <v>2083</v>
      </c>
      <c r="M10" s="37">
        <f t="shared" si="1"/>
        <v>2083</v>
      </c>
      <c r="N10" s="37">
        <f t="shared" si="1"/>
        <v>2083</v>
      </c>
      <c r="O10" s="37">
        <f t="shared" si="1"/>
        <v>2083</v>
      </c>
      <c r="P10" s="37">
        <f t="shared" si="1"/>
        <v>2083</v>
      </c>
      <c r="Q10" s="37">
        <f t="shared" si="2"/>
        <v>2087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21000</v>
      </c>
      <c r="E11" s="37" t="s">
        <v>195</v>
      </c>
      <c r="F11" s="37">
        <f>D11</f>
        <v>21000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515000</v>
      </c>
      <c r="E12" s="113" t="s">
        <v>202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42000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80000</v>
      </c>
      <c r="E14" s="37" t="s">
        <v>525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76000</v>
      </c>
      <c r="E15" s="37" t="s">
        <v>193</v>
      </c>
      <c r="F15" s="37">
        <f>ROUND($D15/2,-3)</f>
        <v>38000</v>
      </c>
      <c r="G15" s="37"/>
      <c r="H15" s="37"/>
      <c r="I15" s="37"/>
      <c r="J15" s="37"/>
      <c r="K15" s="37"/>
      <c r="L15" s="37">
        <f>D15-F15</f>
        <v>38000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57000</v>
      </c>
      <c r="E17" s="37" t="s">
        <v>525</v>
      </c>
      <c r="F17" s="37">
        <f>ROUND($D17/12,0)</f>
        <v>4750</v>
      </c>
      <c r="G17" s="37">
        <f t="shared" si="1"/>
        <v>4750</v>
      </c>
      <c r="H17" s="37">
        <f t="shared" si="1"/>
        <v>4750</v>
      </c>
      <c r="I17" s="37">
        <f t="shared" si="1"/>
        <v>4750</v>
      </c>
      <c r="J17" s="37">
        <f t="shared" si="1"/>
        <v>4750</v>
      </c>
      <c r="K17" s="37">
        <f t="shared" si="1"/>
        <v>4750</v>
      </c>
      <c r="L17" s="37">
        <f t="shared" si="1"/>
        <v>4750</v>
      </c>
      <c r="M17" s="37">
        <f t="shared" si="1"/>
        <v>4750</v>
      </c>
      <c r="N17" s="37">
        <f t="shared" si="1"/>
        <v>4750</v>
      </c>
      <c r="O17" s="37">
        <f t="shared" si="1"/>
        <v>4750</v>
      </c>
      <c r="P17" s="37">
        <f t="shared" si="1"/>
        <v>4750</v>
      </c>
      <c r="Q17" s="37">
        <f>D17-SUM(F17:P17)</f>
        <v>4750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268000</v>
      </c>
      <c r="E24" s="37" t="s">
        <v>193</v>
      </c>
      <c r="F24" s="37">
        <f>ROUND($D24/2,-3)</f>
        <v>134000</v>
      </c>
      <c r="G24" s="37"/>
      <c r="H24" s="37"/>
      <c r="I24" s="37"/>
      <c r="J24" s="37"/>
      <c r="K24" s="37"/>
      <c r="L24" s="37">
        <f>D24-F24</f>
        <v>134000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1803000</v>
      </c>
      <c r="E25" s="108"/>
      <c r="F25" s="108">
        <f>ROUND(SUM(F3:F24),-3)</f>
        <v>399000</v>
      </c>
      <c r="G25" s="108">
        <f t="shared" ref="G25:P25" si="5">ROUND(SUM(G3:G24),-3)</f>
        <v>120000</v>
      </c>
      <c r="H25" s="108">
        <f t="shared" si="5"/>
        <v>120000</v>
      </c>
      <c r="I25" s="108">
        <f t="shared" si="5"/>
        <v>120000</v>
      </c>
      <c r="J25" s="108">
        <f t="shared" si="5"/>
        <v>120000</v>
      </c>
      <c r="K25" s="108">
        <f t="shared" si="5"/>
        <v>120000</v>
      </c>
      <c r="L25" s="108">
        <f t="shared" si="5"/>
        <v>292000</v>
      </c>
      <c r="M25" s="108">
        <f t="shared" si="5"/>
        <v>120000</v>
      </c>
      <c r="N25" s="108">
        <f t="shared" si="5"/>
        <v>120000</v>
      </c>
      <c r="O25" s="108">
        <f t="shared" si="5"/>
        <v>119000</v>
      </c>
      <c r="P25" s="108">
        <f t="shared" si="5"/>
        <v>77000</v>
      </c>
      <c r="Q25" s="108">
        <f t="shared" ref="Q25:Q33" si="6">D25-SUM(F25:P25)</f>
        <v>76000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58000</v>
      </c>
      <c r="E26" s="114" t="s">
        <v>204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4000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327000</v>
      </c>
      <c r="E27" s="37" t="s">
        <v>525</v>
      </c>
      <c r="F27" s="37">
        <f t="shared" ref="F27:P33" si="8">ROUND($D27/12,0)</f>
        <v>27250</v>
      </c>
      <c r="G27" s="37">
        <f t="shared" si="8"/>
        <v>27250</v>
      </c>
      <c r="H27" s="37">
        <f t="shared" si="8"/>
        <v>27250</v>
      </c>
      <c r="I27" s="37">
        <f t="shared" si="8"/>
        <v>27250</v>
      </c>
      <c r="J27" s="37">
        <f t="shared" si="8"/>
        <v>27250</v>
      </c>
      <c r="K27" s="37">
        <f t="shared" si="8"/>
        <v>27250</v>
      </c>
      <c r="L27" s="37">
        <f t="shared" si="8"/>
        <v>27250</v>
      </c>
      <c r="M27" s="37">
        <f t="shared" si="8"/>
        <v>27250</v>
      </c>
      <c r="N27" s="37">
        <f t="shared" si="8"/>
        <v>27250</v>
      </c>
      <c r="O27" s="37">
        <f t="shared" si="8"/>
        <v>27250</v>
      </c>
      <c r="P27" s="37">
        <f t="shared" si="8"/>
        <v>27250</v>
      </c>
      <c r="Q27" s="37">
        <f t="shared" si="6"/>
        <v>27250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32000</v>
      </c>
      <c r="E29" s="37" t="s">
        <v>525</v>
      </c>
      <c r="F29" s="37">
        <f t="shared" si="8"/>
        <v>2667</v>
      </c>
      <c r="G29" s="37">
        <f t="shared" si="8"/>
        <v>2667</v>
      </c>
      <c r="H29" s="37">
        <f t="shared" si="8"/>
        <v>2667</v>
      </c>
      <c r="I29" s="37">
        <f t="shared" si="8"/>
        <v>2667</v>
      </c>
      <c r="J29" s="37">
        <f t="shared" si="8"/>
        <v>2667</v>
      </c>
      <c r="K29" s="37">
        <f t="shared" si="8"/>
        <v>2667</v>
      </c>
      <c r="L29" s="37">
        <f t="shared" si="8"/>
        <v>2667</v>
      </c>
      <c r="M29" s="37">
        <f t="shared" si="8"/>
        <v>2667</v>
      </c>
      <c r="N29" s="37">
        <f t="shared" si="8"/>
        <v>2667</v>
      </c>
      <c r="O29" s="37">
        <f t="shared" si="8"/>
        <v>2667</v>
      </c>
      <c r="P29" s="37">
        <f t="shared" si="8"/>
        <v>2667</v>
      </c>
      <c r="Q29" s="37">
        <f t="shared" si="6"/>
        <v>2663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50000</v>
      </c>
      <c r="E30" s="37" t="s">
        <v>525</v>
      </c>
      <c r="F30" s="37">
        <f t="shared" si="8"/>
        <v>4167</v>
      </c>
      <c r="G30" s="37">
        <f t="shared" si="8"/>
        <v>4167</v>
      </c>
      <c r="H30" s="37">
        <f t="shared" si="8"/>
        <v>4167</v>
      </c>
      <c r="I30" s="37">
        <f t="shared" si="8"/>
        <v>4167</v>
      </c>
      <c r="J30" s="37">
        <f t="shared" si="8"/>
        <v>4167</v>
      </c>
      <c r="K30" s="37">
        <f t="shared" si="8"/>
        <v>4167</v>
      </c>
      <c r="L30" s="37">
        <f t="shared" si="8"/>
        <v>4167</v>
      </c>
      <c r="M30" s="37">
        <f t="shared" si="8"/>
        <v>4167</v>
      </c>
      <c r="N30" s="37">
        <f t="shared" si="8"/>
        <v>4167</v>
      </c>
      <c r="O30" s="37">
        <f t="shared" si="8"/>
        <v>4167</v>
      </c>
      <c r="P30" s="37">
        <f t="shared" si="8"/>
        <v>4167</v>
      </c>
      <c r="Q30" s="37">
        <f t="shared" si="6"/>
        <v>4163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24000</v>
      </c>
      <c r="E31" s="37" t="s">
        <v>525</v>
      </c>
      <c r="F31" s="37">
        <f t="shared" si="8"/>
        <v>2000</v>
      </c>
      <c r="G31" s="37">
        <f t="shared" si="8"/>
        <v>2000</v>
      </c>
      <c r="H31" s="37">
        <f t="shared" si="8"/>
        <v>2000</v>
      </c>
      <c r="I31" s="37">
        <f t="shared" si="8"/>
        <v>2000</v>
      </c>
      <c r="J31" s="37">
        <f t="shared" si="8"/>
        <v>2000</v>
      </c>
      <c r="K31" s="37">
        <f t="shared" si="8"/>
        <v>2000</v>
      </c>
      <c r="L31" s="37">
        <f t="shared" si="8"/>
        <v>2000</v>
      </c>
      <c r="M31" s="37">
        <f t="shared" si="8"/>
        <v>2000</v>
      </c>
      <c r="N31" s="37">
        <f t="shared" si="8"/>
        <v>2000</v>
      </c>
      <c r="O31" s="37">
        <f t="shared" si="8"/>
        <v>2000</v>
      </c>
      <c r="P31" s="37">
        <f t="shared" si="8"/>
        <v>2000</v>
      </c>
      <c r="Q31" s="37">
        <f t="shared" si="6"/>
        <v>2000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56000</v>
      </c>
      <c r="E32" s="37" t="s">
        <v>525</v>
      </c>
      <c r="F32" s="37">
        <f t="shared" si="8"/>
        <v>4667</v>
      </c>
      <c r="G32" s="37">
        <f t="shared" si="8"/>
        <v>4667</v>
      </c>
      <c r="H32" s="37">
        <f t="shared" si="8"/>
        <v>4667</v>
      </c>
      <c r="I32" s="37">
        <f t="shared" si="8"/>
        <v>4667</v>
      </c>
      <c r="J32" s="37">
        <f t="shared" si="8"/>
        <v>4667</v>
      </c>
      <c r="K32" s="37">
        <f t="shared" si="8"/>
        <v>4667</v>
      </c>
      <c r="L32" s="37">
        <f t="shared" si="8"/>
        <v>4667</v>
      </c>
      <c r="M32" s="37">
        <f t="shared" si="8"/>
        <v>4667</v>
      </c>
      <c r="N32" s="37">
        <f t="shared" si="8"/>
        <v>4667</v>
      </c>
      <c r="O32" s="37">
        <f t="shared" si="8"/>
        <v>4667</v>
      </c>
      <c r="P32" s="37">
        <f t="shared" si="8"/>
        <v>4667</v>
      </c>
      <c r="Q32" s="37">
        <f t="shared" si="6"/>
        <v>4663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33000</v>
      </c>
      <c r="E33" s="37" t="s">
        <v>525</v>
      </c>
      <c r="F33" s="37">
        <f t="shared" si="8"/>
        <v>2750</v>
      </c>
      <c r="G33" s="37">
        <f t="shared" si="8"/>
        <v>2750</v>
      </c>
      <c r="H33" s="37">
        <f t="shared" si="8"/>
        <v>2750</v>
      </c>
      <c r="I33" s="37">
        <f t="shared" si="8"/>
        <v>2750</v>
      </c>
      <c r="J33" s="37">
        <f t="shared" si="8"/>
        <v>2750</v>
      </c>
      <c r="K33" s="37">
        <f t="shared" si="8"/>
        <v>2750</v>
      </c>
      <c r="L33" s="37">
        <f t="shared" si="8"/>
        <v>2750</v>
      </c>
      <c r="M33" s="37">
        <f t="shared" si="8"/>
        <v>2750</v>
      </c>
      <c r="N33" s="37">
        <f t="shared" si="8"/>
        <v>2750</v>
      </c>
      <c r="O33" s="37">
        <f t="shared" si="8"/>
        <v>2750</v>
      </c>
      <c r="P33" s="37">
        <f t="shared" si="8"/>
        <v>2750</v>
      </c>
      <c r="Q33" s="37">
        <f t="shared" si="6"/>
        <v>2750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35000</v>
      </c>
      <c r="E36" s="37" t="s">
        <v>193</v>
      </c>
      <c r="F36" s="37">
        <f>ROUND($D36/2,-3)</f>
        <v>18000</v>
      </c>
      <c r="G36" s="37"/>
      <c r="H36" s="37"/>
      <c r="I36" s="37"/>
      <c r="J36" s="37"/>
      <c r="K36" s="37"/>
      <c r="L36" s="37">
        <f>D36-F36</f>
        <v>17000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615000</v>
      </c>
      <c r="E37" s="108"/>
      <c r="F37" s="108">
        <f t="shared" ref="F37:P37" si="9">ROUND(SUM(F26:F36),-3)</f>
        <v>68000</v>
      </c>
      <c r="G37" s="108">
        <f t="shared" si="9"/>
        <v>44000</v>
      </c>
      <c r="H37" s="108">
        <f t="shared" si="9"/>
        <v>50000</v>
      </c>
      <c r="I37" s="108">
        <f t="shared" si="9"/>
        <v>50000</v>
      </c>
      <c r="J37" s="108">
        <f t="shared" si="9"/>
        <v>50000</v>
      </c>
      <c r="K37" s="108">
        <f t="shared" si="9"/>
        <v>50000</v>
      </c>
      <c r="L37" s="108">
        <f t="shared" si="9"/>
        <v>61000</v>
      </c>
      <c r="M37" s="108">
        <f t="shared" si="9"/>
        <v>50000</v>
      </c>
      <c r="N37" s="108">
        <f t="shared" si="9"/>
        <v>50000</v>
      </c>
      <c r="O37" s="108">
        <f t="shared" si="9"/>
        <v>50000</v>
      </c>
      <c r="P37" s="108">
        <f t="shared" si="9"/>
        <v>50000</v>
      </c>
      <c r="Q37" s="108">
        <f>D37-SUM(F37:P37)</f>
        <v>42000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6000</v>
      </c>
      <c r="E42" s="37" t="s">
        <v>199</v>
      </c>
      <c r="F42" s="37"/>
      <c r="G42" s="37"/>
      <c r="H42" s="37"/>
      <c r="I42" s="37">
        <f>D42</f>
        <v>6000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7000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7000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14000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6000</v>
      </c>
      <c r="J45" s="108">
        <f t="shared" si="12"/>
        <v>0</v>
      </c>
      <c r="K45" s="108">
        <f t="shared" si="12"/>
        <v>0</v>
      </c>
      <c r="L45" s="108">
        <f t="shared" si="12"/>
        <v>7000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30000</v>
      </c>
      <c r="E46" s="37" t="s">
        <v>194</v>
      </c>
      <c r="F46" s="37">
        <f>ROUND($D46/3,0)</f>
        <v>10000</v>
      </c>
      <c r="G46" s="37"/>
      <c r="H46" s="37"/>
      <c r="I46" s="37"/>
      <c r="J46" s="37"/>
      <c r="K46" s="37">
        <f>ROUND($D46/3,0)</f>
        <v>10000</v>
      </c>
      <c r="L46" s="37"/>
      <c r="M46" s="37"/>
      <c r="N46" s="37">
        <f>ROUND($D46/3,0)</f>
        <v>10000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30000</v>
      </c>
      <c r="E47" s="108"/>
      <c r="F47" s="108">
        <f t="shared" ref="F47:P47" si="13">ROUND(SUM(F46),-3)</f>
        <v>10000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10000</v>
      </c>
      <c r="L47" s="108">
        <f t="shared" si="13"/>
        <v>0</v>
      </c>
      <c r="M47" s="108">
        <f t="shared" si="13"/>
        <v>0</v>
      </c>
      <c r="N47" s="108">
        <f t="shared" si="13"/>
        <v>10000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2462000</v>
      </c>
      <c r="E48" s="37"/>
      <c r="F48" s="115">
        <f>F25+F37+F45+F47</f>
        <v>478000</v>
      </c>
      <c r="G48" s="115">
        <f t="shared" ref="G48:R48" si="14">G25+G37+G45+G47</f>
        <v>164000</v>
      </c>
      <c r="H48" s="115">
        <f t="shared" si="14"/>
        <v>170000</v>
      </c>
      <c r="I48" s="115">
        <f t="shared" si="14"/>
        <v>176000</v>
      </c>
      <c r="J48" s="115">
        <f t="shared" si="14"/>
        <v>170000</v>
      </c>
      <c r="K48" s="115">
        <f t="shared" si="14"/>
        <v>180000</v>
      </c>
      <c r="L48" s="115">
        <f t="shared" si="14"/>
        <v>360000</v>
      </c>
      <c r="M48" s="115">
        <f t="shared" si="14"/>
        <v>170000</v>
      </c>
      <c r="N48" s="115">
        <f t="shared" si="14"/>
        <v>180000</v>
      </c>
      <c r="O48" s="115">
        <f t="shared" si="14"/>
        <v>169000</v>
      </c>
      <c r="P48" s="115">
        <f t="shared" si="14"/>
        <v>127000</v>
      </c>
      <c r="Q48" s="115">
        <f t="shared" si="14"/>
        <v>118000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33047000</v>
      </c>
      <c r="E49" s="114" t="s">
        <v>202</v>
      </c>
      <c r="F49" s="37">
        <f>ROUND($D49/12*3,-3)</f>
        <v>8262000</v>
      </c>
      <c r="G49" s="37">
        <f>ROUND($D49/12,-3)</f>
        <v>2754000</v>
      </c>
      <c r="H49" s="37">
        <f t="shared" ref="H49:N53" si="15">ROUND($D49/12,-3)</f>
        <v>2754000</v>
      </c>
      <c r="I49" s="37">
        <f t="shared" si="15"/>
        <v>2754000</v>
      </c>
      <c r="J49" s="37">
        <f t="shared" si="15"/>
        <v>2754000</v>
      </c>
      <c r="K49" s="37">
        <f t="shared" si="15"/>
        <v>2754000</v>
      </c>
      <c r="L49" s="37">
        <f t="shared" si="15"/>
        <v>2754000</v>
      </c>
      <c r="M49" s="37">
        <f t="shared" si="15"/>
        <v>2754000</v>
      </c>
      <c r="N49" s="37">
        <f t="shared" si="15"/>
        <v>2754000</v>
      </c>
      <c r="O49" s="37">
        <f>D49-SUM(F49:N49)</f>
        <v>2753000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3181000</v>
      </c>
      <c r="E51" s="114" t="s">
        <v>202</v>
      </c>
      <c r="F51" s="37">
        <f t="shared" si="16"/>
        <v>795000</v>
      </c>
      <c r="G51" s="37">
        <f t="shared" si="17"/>
        <v>265000</v>
      </c>
      <c r="H51" s="37">
        <f t="shared" si="15"/>
        <v>265000</v>
      </c>
      <c r="I51" s="37">
        <f t="shared" si="15"/>
        <v>265000</v>
      </c>
      <c r="J51" s="37">
        <f t="shared" si="15"/>
        <v>265000</v>
      </c>
      <c r="K51" s="37">
        <f t="shared" si="15"/>
        <v>265000</v>
      </c>
      <c r="L51" s="37">
        <f t="shared" si="15"/>
        <v>265000</v>
      </c>
      <c r="M51" s="37">
        <f t="shared" si="15"/>
        <v>265000</v>
      </c>
      <c r="N51" s="37">
        <f t="shared" si="15"/>
        <v>265000</v>
      </c>
      <c r="O51" s="37">
        <f t="shared" si="18"/>
        <v>266000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398000</v>
      </c>
      <c r="E52" s="114" t="s">
        <v>202</v>
      </c>
      <c r="F52" s="37">
        <f t="shared" si="16"/>
        <v>100000</v>
      </c>
      <c r="G52" s="37">
        <f t="shared" si="17"/>
        <v>33000</v>
      </c>
      <c r="H52" s="37">
        <f t="shared" si="15"/>
        <v>33000</v>
      </c>
      <c r="I52" s="37">
        <f t="shared" si="15"/>
        <v>33000</v>
      </c>
      <c r="J52" s="37">
        <f t="shared" si="15"/>
        <v>33000</v>
      </c>
      <c r="K52" s="37">
        <f t="shared" si="15"/>
        <v>33000</v>
      </c>
      <c r="L52" s="37">
        <f t="shared" si="15"/>
        <v>33000</v>
      </c>
      <c r="M52" s="37">
        <f t="shared" si="15"/>
        <v>33000</v>
      </c>
      <c r="N52" s="37">
        <f t="shared" si="15"/>
        <v>33000</v>
      </c>
      <c r="O52" s="37">
        <f t="shared" si="18"/>
        <v>34000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89000</v>
      </c>
      <c r="E54" s="37" t="s">
        <v>525</v>
      </c>
      <c r="F54" s="37">
        <f t="shared" ref="F54:P61" si="19">ROUND($D54/12,0)</f>
        <v>7417</v>
      </c>
      <c r="G54" s="37">
        <f t="shared" si="19"/>
        <v>7417</v>
      </c>
      <c r="H54" s="37">
        <f t="shared" si="19"/>
        <v>7417</v>
      </c>
      <c r="I54" s="37">
        <f t="shared" si="19"/>
        <v>7417</v>
      </c>
      <c r="J54" s="37">
        <f t="shared" si="19"/>
        <v>7417</v>
      </c>
      <c r="K54" s="37">
        <f t="shared" si="19"/>
        <v>7417</v>
      </c>
      <c r="L54" s="37">
        <f t="shared" si="19"/>
        <v>7417</v>
      </c>
      <c r="M54" s="37">
        <f t="shared" si="19"/>
        <v>7417</v>
      </c>
      <c r="N54" s="37">
        <f t="shared" si="19"/>
        <v>7417</v>
      </c>
      <c r="O54" s="37">
        <f t="shared" si="19"/>
        <v>7417</v>
      </c>
      <c r="P54" s="37">
        <f t="shared" si="19"/>
        <v>7417</v>
      </c>
      <c r="Q54" s="37">
        <f t="shared" ref="Q54:Q61" si="20">D54-SUM(F54:P54)</f>
        <v>7413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0</v>
      </c>
      <c r="E59" s="37" t="s">
        <v>525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798000</v>
      </c>
      <c r="E60" s="37" t="s">
        <v>195</v>
      </c>
      <c r="F60" s="37">
        <f>D60</f>
        <v>798000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3806000</v>
      </c>
      <c r="E62" s="37" t="s">
        <v>197</v>
      </c>
      <c r="F62" s="37"/>
      <c r="G62" s="37"/>
      <c r="H62" s="37"/>
      <c r="I62" s="37">
        <f>ROUND($D62/5,-3)</f>
        <v>761000</v>
      </c>
      <c r="J62" s="37"/>
      <c r="K62" s="37"/>
      <c r="L62" s="37"/>
      <c r="M62" s="37"/>
      <c r="N62" s="37">
        <f>D62-I62</f>
        <v>3045000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4021000</v>
      </c>
      <c r="E63" s="37" t="s">
        <v>195</v>
      </c>
      <c r="F63" s="37">
        <f>D63</f>
        <v>4021000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3478000</v>
      </c>
      <c r="E64" s="114" t="s">
        <v>202</v>
      </c>
      <c r="F64" s="37">
        <f>ROUND($D64/12*3,-3)</f>
        <v>870000</v>
      </c>
      <c r="G64" s="37">
        <f>ROUND($D64/12,-3)</f>
        <v>290000</v>
      </c>
      <c r="H64" s="37">
        <f t="shared" ref="H64:N66" si="21">ROUND($D64/12,-3)</f>
        <v>290000</v>
      </c>
      <c r="I64" s="37">
        <f t="shared" si="21"/>
        <v>290000</v>
      </c>
      <c r="J64" s="37">
        <f t="shared" si="21"/>
        <v>290000</v>
      </c>
      <c r="K64" s="37">
        <f t="shared" si="21"/>
        <v>290000</v>
      </c>
      <c r="L64" s="37">
        <f t="shared" si="21"/>
        <v>290000</v>
      </c>
      <c r="M64" s="37">
        <f t="shared" si="21"/>
        <v>290000</v>
      </c>
      <c r="N64" s="37">
        <f t="shared" si="21"/>
        <v>290000</v>
      </c>
      <c r="O64" s="37">
        <f>D64-SUM(F64:N64)</f>
        <v>288000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822000</v>
      </c>
      <c r="E65" s="114" t="s">
        <v>202</v>
      </c>
      <c r="F65" s="37">
        <f t="shared" ref="F65:F66" si="22">ROUND($D65/12*3,-3)</f>
        <v>206000</v>
      </c>
      <c r="G65" s="37">
        <f t="shared" ref="G65:G66" si="23">ROUND($D65/12,-3)</f>
        <v>69000</v>
      </c>
      <c r="H65" s="37">
        <f t="shared" si="21"/>
        <v>69000</v>
      </c>
      <c r="I65" s="37">
        <f t="shared" si="21"/>
        <v>69000</v>
      </c>
      <c r="J65" s="37">
        <f t="shared" si="21"/>
        <v>69000</v>
      </c>
      <c r="K65" s="37">
        <f t="shared" si="21"/>
        <v>69000</v>
      </c>
      <c r="L65" s="37">
        <f t="shared" si="21"/>
        <v>69000</v>
      </c>
      <c r="M65" s="37">
        <f t="shared" si="21"/>
        <v>69000</v>
      </c>
      <c r="N65" s="37">
        <f t="shared" si="21"/>
        <v>69000</v>
      </c>
      <c r="O65" s="37">
        <f t="shared" ref="O65:O66" si="24">D65-SUM(F65:N65)</f>
        <v>64000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2333000</v>
      </c>
      <c r="E66" s="114" t="s">
        <v>202</v>
      </c>
      <c r="F66" s="37">
        <f t="shared" si="22"/>
        <v>583000</v>
      </c>
      <c r="G66" s="37">
        <f t="shared" si="23"/>
        <v>194000</v>
      </c>
      <c r="H66" s="37">
        <f t="shared" si="21"/>
        <v>194000</v>
      </c>
      <c r="I66" s="37">
        <f t="shared" si="21"/>
        <v>194000</v>
      </c>
      <c r="J66" s="37">
        <f t="shared" si="21"/>
        <v>194000</v>
      </c>
      <c r="K66" s="37">
        <f t="shared" si="21"/>
        <v>194000</v>
      </c>
      <c r="L66" s="37">
        <f t="shared" si="21"/>
        <v>194000</v>
      </c>
      <c r="M66" s="37">
        <f t="shared" si="21"/>
        <v>194000</v>
      </c>
      <c r="N66" s="37">
        <f t="shared" si="21"/>
        <v>194000</v>
      </c>
      <c r="O66" s="37">
        <f t="shared" si="24"/>
        <v>198000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63000</v>
      </c>
      <c r="E67" s="37" t="s">
        <v>196</v>
      </c>
      <c r="F67" s="37"/>
      <c r="G67" s="37"/>
      <c r="H67" s="37">
        <f>D67</f>
        <v>63000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243000</v>
      </c>
      <c r="E68" s="37" t="s">
        <v>195</v>
      </c>
      <c r="F68" s="37">
        <f>D68</f>
        <v>243000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20000</v>
      </c>
      <c r="E69" s="37" t="s">
        <v>193</v>
      </c>
      <c r="F69" s="37">
        <f>ROUND($D69/2,-3)</f>
        <v>10000</v>
      </c>
      <c r="G69" s="37"/>
      <c r="H69" s="37"/>
      <c r="I69" s="37"/>
      <c r="J69" s="37"/>
      <c r="K69" s="37"/>
      <c r="L69" s="37">
        <f>D69-F69</f>
        <v>10000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52299000</v>
      </c>
      <c r="E70" s="108"/>
      <c r="F70" s="108">
        <f t="shared" ref="F70:P70" si="25">ROUND(SUM(F49:F69),-3)</f>
        <v>15895000</v>
      </c>
      <c r="G70" s="108">
        <f t="shared" si="25"/>
        <v>3612000</v>
      </c>
      <c r="H70" s="108">
        <f t="shared" si="25"/>
        <v>3675000</v>
      </c>
      <c r="I70" s="108">
        <f t="shared" si="25"/>
        <v>4373000</v>
      </c>
      <c r="J70" s="108">
        <f t="shared" si="25"/>
        <v>3612000</v>
      </c>
      <c r="K70" s="108">
        <f t="shared" si="25"/>
        <v>3612000</v>
      </c>
      <c r="L70" s="108">
        <f t="shared" si="25"/>
        <v>3622000</v>
      </c>
      <c r="M70" s="108">
        <f t="shared" si="25"/>
        <v>3612000</v>
      </c>
      <c r="N70" s="108">
        <f t="shared" si="25"/>
        <v>6657000</v>
      </c>
      <c r="O70" s="108">
        <f t="shared" si="25"/>
        <v>3610000</v>
      </c>
      <c r="P70" s="108">
        <f t="shared" si="25"/>
        <v>7000</v>
      </c>
      <c r="Q70" s="108">
        <f>D70-SUM(F70:P70)</f>
        <v>12000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9591000</v>
      </c>
      <c r="E72" s="114" t="s">
        <v>202</v>
      </c>
      <c r="F72" s="37">
        <f>ROUND($D72/12*3,-3)</f>
        <v>2398000</v>
      </c>
      <c r="G72" s="37">
        <f>ROUND($D72/12,-3)</f>
        <v>799000</v>
      </c>
      <c r="H72" s="37">
        <f t="shared" ref="H72:N75" si="26">ROUND($D72/12,-3)</f>
        <v>799000</v>
      </c>
      <c r="I72" s="37">
        <f t="shared" si="26"/>
        <v>799000</v>
      </c>
      <c r="J72" s="37">
        <f t="shared" si="26"/>
        <v>799000</v>
      </c>
      <c r="K72" s="37">
        <f t="shared" si="26"/>
        <v>799000</v>
      </c>
      <c r="L72" s="37">
        <f t="shared" si="26"/>
        <v>799000</v>
      </c>
      <c r="M72" s="37">
        <f t="shared" si="26"/>
        <v>799000</v>
      </c>
      <c r="N72" s="37">
        <f t="shared" si="26"/>
        <v>799000</v>
      </c>
      <c r="O72" s="37">
        <f>D72-SUM(F72:N72)</f>
        <v>801000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577000</v>
      </c>
      <c r="E75" s="114" t="s">
        <v>202</v>
      </c>
      <c r="F75" s="37">
        <f>ROUND($D75/12*3,-3)</f>
        <v>144000</v>
      </c>
      <c r="G75" s="37">
        <f>ROUND($D75/12,-3)</f>
        <v>48000</v>
      </c>
      <c r="H75" s="37">
        <f t="shared" si="26"/>
        <v>48000</v>
      </c>
      <c r="I75" s="37">
        <f t="shared" si="26"/>
        <v>48000</v>
      </c>
      <c r="J75" s="37">
        <f t="shared" si="26"/>
        <v>48000</v>
      </c>
      <c r="K75" s="37">
        <f t="shared" si="26"/>
        <v>48000</v>
      </c>
      <c r="L75" s="37">
        <f t="shared" si="26"/>
        <v>48000</v>
      </c>
      <c r="M75" s="37">
        <f t="shared" si="26"/>
        <v>48000</v>
      </c>
      <c r="N75" s="37">
        <f t="shared" si="26"/>
        <v>48000</v>
      </c>
      <c r="O75" s="37">
        <f>D75-SUM(F75:N75)</f>
        <v>49000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10168000</v>
      </c>
      <c r="E76" s="108"/>
      <c r="F76" s="108">
        <f>ROUND(SUM(F71:F75),-3)</f>
        <v>2542000</v>
      </c>
      <c r="G76" s="108">
        <f t="shared" ref="G76:N76" si="27">ROUND(SUM(G71:G75),-3)</f>
        <v>847000</v>
      </c>
      <c r="H76" s="108">
        <f t="shared" si="27"/>
        <v>847000</v>
      </c>
      <c r="I76" s="108">
        <f t="shared" si="27"/>
        <v>847000</v>
      </c>
      <c r="J76" s="108">
        <f t="shared" si="27"/>
        <v>847000</v>
      </c>
      <c r="K76" s="108">
        <f t="shared" si="27"/>
        <v>847000</v>
      </c>
      <c r="L76" s="108">
        <f t="shared" si="27"/>
        <v>847000</v>
      </c>
      <c r="M76" s="108">
        <f t="shared" si="27"/>
        <v>847000</v>
      </c>
      <c r="N76" s="108">
        <f t="shared" si="27"/>
        <v>847000</v>
      </c>
      <c r="O76" s="108">
        <f>D76-SUM(F76:N76)</f>
        <v>850000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458000</v>
      </c>
      <c r="E77" s="37" t="s">
        <v>681</v>
      </c>
      <c r="F77" s="224"/>
      <c r="G77" s="224"/>
      <c r="H77" s="224">
        <f>ROUND($D77/2,-3)</f>
        <v>229000</v>
      </c>
      <c r="I77" s="224"/>
      <c r="J77" s="224"/>
      <c r="K77" s="224"/>
      <c r="L77" s="224"/>
      <c r="M77" s="224"/>
      <c r="N77" s="224">
        <f>D77-H77</f>
        <v>229000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62925000</v>
      </c>
      <c r="E78" s="227"/>
      <c r="F78" s="227">
        <f>F76+F70+F77</f>
        <v>18437000</v>
      </c>
      <c r="G78" s="227">
        <f t="shared" ref="G78:Q78" si="29">G76+G70+G77</f>
        <v>4459000</v>
      </c>
      <c r="H78" s="227">
        <f t="shared" si="29"/>
        <v>4751000</v>
      </c>
      <c r="I78" s="227">
        <f t="shared" si="29"/>
        <v>5220000</v>
      </c>
      <c r="J78" s="227">
        <f t="shared" si="29"/>
        <v>4459000</v>
      </c>
      <c r="K78" s="227">
        <f t="shared" si="29"/>
        <v>4459000</v>
      </c>
      <c r="L78" s="227">
        <f t="shared" si="29"/>
        <v>4469000</v>
      </c>
      <c r="M78" s="227">
        <f t="shared" si="29"/>
        <v>4459000</v>
      </c>
      <c r="N78" s="227">
        <f t="shared" si="29"/>
        <v>7733000</v>
      </c>
      <c r="O78" s="227">
        <f t="shared" si="29"/>
        <v>4460000</v>
      </c>
      <c r="P78" s="227">
        <f t="shared" si="29"/>
        <v>7000</v>
      </c>
      <c r="Q78" s="227">
        <f t="shared" si="29"/>
        <v>12000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65387000</v>
      </c>
      <c r="E87" s="37"/>
      <c r="F87" s="37">
        <f>F88+F89+F90+F91</f>
        <v>18915000</v>
      </c>
      <c r="G87" s="37">
        <f t="shared" ref="G87:Q87" si="32">G88+G89+G90+G91</f>
        <v>4623000</v>
      </c>
      <c r="H87" s="37">
        <f t="shared" si="32"/>
        <v>4921000</v>
      </c>
      <c r="I87" s="37">
        <f t="shared" si="32"/>
        <v>5396000</v>
      </c>
      <c r="J87" s="37">
        <f t="shared" si="32"/>
        <v>4629000</v>
      </c>
      <c r="K87" s="37">
        <f t="shared" si="32"/>
        <v>4639000</v>
      </c>
      <c r="L87" s="37">
        <f t="shared" si="32"/>
        <v>4829000</v>
      </c>
      <c r="M87" s="37">
        <f t="shared" si="32"/>
        <v>4629000</v>
      </c>
      <c r="N87" s="37">
        <f t="shared" si="32"/>
        <v>7913000</v>
      </c>
      <c r="O87" s="37">
        <f t="shared" si="32"/>
        <v>4629000</v>
      </c>
      <c r="P87" s="37">
        <f t="shared" si="32"/>
        <v>134000</v>
      </c>
      <c r="Q87" s="37">
        <f t="shared" si="32"/>
        <v>130000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323000</v>
      </c>
      <c r="E88" s="108" t="s">
        <v>193</v>
      </c>
      <c r="F88" s="108">
        <f>ROUND($D88/2,-3)</f>
        <v>162000</v>
      </c>
      <c r="G88" s="108"/>
      <c r="H88" s="108"/>
      <c r="I88" s="108"/>
      <c r="J88" s="108"/>
      <c r="K88" s="108"/>
      <c r="L88" s="108">
        <f>D88-F88</f>
        <v>161000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5000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2000</v>
      </c>
      <c r="M90" s="108"/>
      <c r="N90" s="108"/>
      <c r="O90" s="108"/>
      <c r="P90" s="108"/>
      <c r="Q90" s="108">
        <f>ROUND($D90/2,-3)</f>
        <v>3000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65059000</v>
      </c>
      <c r="E91" s="108"/>
      <c r="F91" s="108">
        <f>F92+F93+F94+F95</f>
        <v>18753000</v>
      </c>
      <c r="G91" s="108">
        <f t="shared" ref="G91:Q91" si="34">G92+G93+G94+G95</f>
        <v>4623000</v>
      </c>
      <c r="H91" s="108">
        <f t="shared" si="34"/>
        <v>4921000</v>
      </c>
      <c r="I91" s="108">
        <f t="shared" si="34"/>
        <v>5396000</v>
      </c>
      <c r="J91" s="108">
        <f t="shared" si="34"/>
        <v>4629000</v>
      </c>
      <c r="K91" s="108">
        <f t="shared" si="34"/>
        <v>4639000</v>
      </c>
      <c r="L91" s="108">
        <f t="shared" si="34"/>
        <v>4666000</v>
      </c>
      <c r="M91" s="108">
        <f t="shared" si="34"/>
        <v>4629000</v>
      </c>
      <c r="N91" s="108">
        <f t="shared" si="34"/>
        <v>7913000</v>
      </c>
      <c r="O91" s="108">
        <f t="shared" si="34"/>
        <v>4629000</v>
      </c>
      <c r="P91" s="108">
        <f t="shared" si="34"/>
        <v>134000</v>
      </c>
      <c r="Q91" s="108">
        <f t="shared" si="34"/>
        <v>127000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6351000</v>
      </c>
      <c r="E92" s="114" t="s">
        <v>537</v>
      </c>
      <c r="F92" s="37">
        <f>ROUND($D92/12*5,-3)</f>
        <v>2646000</v>
      </c>
      <c r="G92" s="37">
        <f>ROUND($D92/12,-3)</f>
        <v>529000</v>
      </c>
      <c r="H92" s="37">
        <f t="shared" ref="H92:L92" si="35">ROUND($D92/12,-3)</f>
        <v>529000</v>
      </c>
      <c r="I92" s="37">
        <f t="shared" si="35"/>
        <v>529000</v>
      </c>
      <c r="J92" s="37">
        <f t="shared" si="35"/>
        <v>529000</v>
      </c>
      <c r="K92" s="37">
        <f t="shared" si="35"/>
        <v>529000</v>
      </c>
      <c r="L92" s="37">
        <f t="shared" si="35"/>
        <v>529000</v>
      </c>
      <c r="M92" s="37">
        <f>D92-SUM(F92:L92)</f>
        <v>531000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328000</v>
      </c>
      <c r="E93" s="109" t="s">
        <v>227</v>
      </c>
      <c r="F93" s="37">
        <f>ROUND($D93/12,-3)</f>
        <v>27000</v>
      </c>
      <c r="G93" s="37">
        <f t="shared" ref="G93:P93" si="36">ROUND($D93/12,-3)</f>
        <v>27000</v>
      </c>
      <c r="H93" s="37">
        <f t="shared" si="36"/>
        <v>27000</v>
      </c>
      <c r="I93" s="37">
        <f t="shared" si="36"/>
        <v>27000</v>
      </c>
      <c r="J93" s="37">
        <f t="shared" si="36"/>
        <v>27000</v>
      </c>
      <c r="K93" s="37">
        <f t="shared" si="36"/>
        <v>27000</v>
      </c>
      <c r="L93" s="37">
        <f t="shared" si="36"/>
        <v>27000</v>
      </c>
      <c r="M93" s="37">
        <f t="shared" si="36"/>
        <v>27000</v>
      </c>
      <c r="N93" s="37">
        <f t="shared" si="36"/>
        <v>27000</v>
      </c>
      <c r="O93" s="37">
        <f t="shared" si="36"/>
        <v>27000</v>
      </c>
      <c r="P93" s="37">
        <f t="shared" si="36"/>
        <v>27000</v>
      </c>
      <c r="Q93" s="37">
        <f>D93-SUM(F93:P93)</f>
        <v>31000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1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58380000</v>
      </c>
      <c r="E95" s="37"/>
      <c r="F95" s="37">
        <f>F2+F86-F88-F89-F90-F92-F93-F94</f>
        <v>16080000</v>
      </c>
      <c r="G95" s="37">
        <f t="shared" ref="G95:Q95" si="37">G2-G88-G89-G90-G92-G93-G94</f>
        <v>4067000</v>
      </c>
      <c r="H95" s="37">
        <f t="shared" si="37"/>
        <v>4365000</v>
      </c>
      <c r="I95" s="37">
        <f t="shared" si="37"/>
        <v>4840000</v>
      </c>
      <c r="J95" s="37">
        <f t="shared" si="37"/>
        <v>4073000</v>
      </c>
      <c r="K95" s="37">
        <f t="shared" si="37"/>
        <v>4083000</v>
      </c>
      <c r="L95" s="37">
        <f t="shared" si="37"/>
        <v>4110000</v>
      </c>
      <c r="M95" s="37">
        <f t="shared" si="37"/>
        <v>4071000</v>
      </c>
      <c r="N95" s="37">
        <f t="shared" si="37"/>
        <v>7886000</v>
      </c>
      <c r="O95" s="37">
        <f t="shared" si="37"/>
        <v>4602000</v>
      </c>
      <c r="P95" s="37">
        <f t="shared" si="37"/>
        <v>107000</v>
      </c>
      <c r="Q95" s="37">
        <f t="shared" si="37"/>
        <v>96000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800000</v>
      </c>
    </row>
    <row r="99" spans="2:17" ht="32.4">
      <c r="B99" s="72" t="s">
        <v>235</v>
      </c>
      <c r="D99" s="30">
        <f>HLOOKUP(D1,縣庫撥款收入明細表!H:DD,5,FALSE)</f>
        <v>4370000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1181000</v>
      </c>
    </row>
    <row r="102" spans="2:17" ht="32.4">
      <c r="B102" s="71" t="s">
        <v>238</v>
      </c>
      <c r="D102" s="30">
        <f>HLOOKUP(D1,縣庫撥款收入明細表!H:DD,16,FALSE)</f>
        <v>311000</v>
      </c>
    </row>
    <row r="103" spans="2:17" ht="32.4">
      <c r="B103" s="72" t="s">
        <v>239</v>
      </c>
      <c r="D103" s="30">
        <f>HLOOKUP(D1,縣庫撥款收入明細表!H:DD,17,FALSE)</f>
        <v>0</v>
      </c>
    </row>
    <row r="104" spans="2:17" ht="32.4">
      <c r="B104" s="76" t="s">
        <v>240</v>
      </c>
      <c r="D104" s="30">
        <f>HLOOKUP(D1,縣庫撥款收入明細表!H:DD,18,FALSE)</f>
        <v>0</v>
      </c>
    </row>
    <row r="105" spans="2:17" ht="32.4">
      <c r="B105" s="72" t="s">
        <v>380</v>
      </c>
      <c r="D105" s="30">
        <f>HLOOKUP(D1,縣庫撥款收入明細表!H:DD,19,FALSE)</f>
        <v>0</v>
      </c>
    </row>
    <row r="106" spans="2:17" ht="32.4">
      <c r="B106" s="71" t="s">
        <v>241</v>
      </c>
      <c r="D106" s="30">
        <f>HLOOKUP(D1,縣庫撥款收入明細表!H:DD,20,FALSE)</f>
        <v>17000</v>
      </c>
    </row>
    <row r="107" spans="2:17" ht="32.4">
      <c r="B107" s="77" t="s">
        <v>242</v>
      </c>
      <c r="D107" s="30">
        <f>HLOOKUP(D1,縣庫撥款收入明細表!H:DD,21,FALSE)</f>
        <v>58380000</v>
      </c>
    </row>
    <row r="108" spans="2:17" ht="16.5" customHeight="1"/>
    <row r="109" spans="2:17" ht="16.5" customHeight="1">
      <c r="B109" s="4" t="s">
        <v>682</v>
      </c>
      <c r="D109" s="30">
        <f>D91-D76</f>
        <v>54891000</v>
      </c>
      <c r="F109" s="30">
        <f>F91-F76</f>
        <v>16211000</v>
      </c>
      <c r="G109" s="30">
        <f t="shared" ref="G109:Q109" si="38">G91-G76</f>
        <v>3776000</v>
      </c>
      <c r="H109" s="30">
        <f t="shared" si="38"/>
        <v>4074000</v>
      </c>
      <c r="I109" s="30">
        <f t="shared" si="38"/>
        <v>4549000</v>
      </c>
      <c r="J109" s="30">
        <f t="shared" si="38"/>
        <v>3782000</v>
      </c>
      <c r="K109" s="30">
        <f t="shared" si="38"/>
        <v>3792000</v>
      </c>
      <c r="L109" s="30">
        <f t="shared" si="38"/>
        <v>3819000</v>
      </c>
      <c r="M109" s="30">
        <f t="shared" si="38"/>
        <v>3782000</v>
      </c>
      <c r="N109" s="30">
        <f t="shared" si="38"/>
        <v>7066000</v>
      </c>
      <c r="O109" s="30">
        <f t="shared" si="38"/>
        <v>3779000</v>
      </c>
      <c r="P109" s="30">
        <f t="shared" si="38"/>
        <v>134000</v>
      </c>
      <c r="Q109" s="30">
        <f t="shared" si="38"/>
        <v>127000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8:C78"/>
    <mergeCell ref="A79:A83"/>
    <mergeCell ref="A1:B1"/>
    <mergeCell ref="A2:B2"/>
    <mergeCell ref="A3:A48"/>
    <mergeCell ref="A49:A70"/>
    <mergeCell ref="A71:A76"/>
  </mergeCells>
  <phoneticPr fontId="3" type="noConversion"/>
  <conditionalFormatting sqref="F95:Q95">
    <cfRule type="cellIs" dxfId="196" priority="1" operator="lessThan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605</v>
      </c>
      <c r="D1" s="240" t="str">
        <f>VLOOKUP(C1,學校編號!A:B,2,FALSE)</f>
        <v>605中正國小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138156000</v>
      </c>
      <c r="E2" s="37"/>
      <c r="F2" s="37">
        <f>F48+F70+F76+F77+F83</f>
        <v>39445000</v>
      </c>
      <c r="G2" s="37">
        <f t="shared" ref="G2:Q2" si="0">G48+G70+G76+G77+G83</f>
        <v>9854000</v>
      </c>
      <c r="H2" s="37">
        <f t="shared" si="0"/>
        <v>10248000</v>
      </c>
      <c r="I2" s="37">
        <f t="shared" si="0"/>
        <v>11583000</v>
      </c>
      <c r="J2" s="37">
        <f t="shared" si="0"/>
        <v>9854000</v>
      </c>
      <c r="K2" s="37">
        <f t="shared" si="0"/>
        <v>9868000</v>
      </c>
      <c r="L2" s="37">
        <f t="shared" si="0"/>
        <v>10138000</v>
      </c>
      <c r="M2" s="37">
        <f t="shared" si="0"/>
        <v>9854000</v>
      </c>
      <c r="N2" s="37">
        <f t="shared" si="0"/>
        <v>17062000</v>
      </c>
      <c r="O2" s="37">
        <f t="shared" si="0"/>
        <v>9858000</v>
      </c>
      <c r="P2" s="37">
        <f t="shared" si="0"/>
        <v>194000</v>
      </c>
      <c r="Q2" s="37">
        <f t="shared" si="0"/>
        <v>198000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538000</v>
      </c>
      <c r="E3" s="37" t="s">
        <v>525</v>
      </c>
      <c r="F3" s="37">
        <f t="shared" ref="F3:P17" si="1">ROUND($D3/12,0)</f>
        <v>44833</v>
      </c>
      <c r="G3" s="37">
        <f t="shared" si="1"/>
        <v>44833</v>
      </c>
      <c r="H3" s="37">
        <f t="shared" si="1"/>
        <v>44833</v>
      </c>
      <c r="I3" s="37">
        <f t="shared" si="1"/>
        <v>44833</v>
      </c>
      <c r="J3" s="37">
        <f t="shared" si="1"/>
        <v>44833</v>
      </c>
      <c r="K3" s="37">
        <f t="shared" si="1"/>
        <v>44833</v>
      </c>
      <c r="L3" s="37">
        <f t="shared" si="1"/>
        <v>44833</v>
      </c>
      <c r="M3" s="37">
        <f t="shared" si="1"/>
        <v>44833</v>
      </c>
      <c r="N3" s="37">
        <f t="shared" si="1"/>
        <v>44833</v>
      </c>
      <c r="O3" s="37">
        <f t="shared" si="1"/>
        <v>44833</v>
      </c>
      <c r="P3" s="37">
        <f t="shared" si="1"/>
        <v>44833</v>
      </c>
      <c r="Q3" s="37">
        <f t="shared" ref="Q3:Q10" si="2">D3-SUM(F3:P3)</f>
        <v>44837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231000</v>
      </c>
      <c r="E4" s="37" t="s">
        <v>525</v>
      </c>
      <c r="F4" s="37">
        <f t="shared" si="1"/>
        <v>19250</v>
      </c>
      <c r="G4" s="37">
        <f t="shared" si="1"/>
        <v>19250</v>
      </c>
      <c r="H4" s="37">
        <f t="shared" si="1"/>
        <v>19250</v>
      </c>
      <c r="I4" s="37">
        <f t="shared" si="1"/>
        <v>19250</v>
      </c>
      <c r="J4" s="37">
        <f t="shared" si="1"/>
        <v>19250</v>
      </c>
      <c r="K4" s="37">
        <f t="shared" si="1"/>
        <v>19250</v>
      </c>
      <c r="L4" s="37">
        <f t="shared" si="1"/>
        <v>19250</v>
      </c>
      <c r="M4" s="37">
        <f t="shared" si="1"/>
        <v>19250</v>
      </c>
      <c r="N4" s="37">
        <f t="shared" si="1"/>
        <v>19250</v>
      </c>
      <c r="O4" s="37">
        <f t="shared" si="1"/>
        <v>19250</v>
      </c>
      <c r="P4" s="37">
        <f t="shared" si="1"/>
        <v>19250</v>
      </c>
      <c r="Q4" s="37">
        <f t="shared" si="2"/>
        <v>19250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84000</v>
      </c>
      <c r="E7" s="37" t="s">
        <v>525</v>
      </c>
      <c r="F7" s="37">
        <f t="shared" si="1"/>
        <v>7000</v>
      </c>
      <c r="G7" s="37">
        <f t="shared" si="1"/>
        <v>7000</v>
      </c>
      <c r="H7" s="37">
        <f t="shared" si="1"/>
        <v>7000</v>
      </c>
      <c r="I7" s="37">
        <f t="shared" si="1"/>
        <v>7000</v>
      </c>
      <c r="J7" s="37">
        <f t="shared" si="1"/>
        <v>7000</v>
      </c>
      <c r="K7" s="37">
        <f t="shared" si="1"/>
        <v>7000</v>
      </c>
      <c r="L7" s="37">
        <f t="shared" si="1"/>
        <v>7000</v>
      </c>
      <c r="M7" s="37">
        <f t="shared" si="1"/>
        <v>7000</v>
      </c>
      <c r="N7" s="37">
        <f t="shared" si="1"/>
        <v>7000</v>
      </c>
      <c r="O7" s="37">
        <f t="shared" si="1"/>
        <v>7000</v>
      </c>
      <c r="P7" s="37">
        <f t="shared" si="1"/>
        <v>7000</v>
      </c>
      <c r="Q7" s="37">
        <f t="shared" si="2"/>
        <v>7000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90000</v>
      </c>
      <c r="E8" s="37" t="s">
        <v>525</v>
      </c>
      <c r="F8" s="37">
        <f t="shared" si="1"/>
        <v>7500</v>
      </c>
      <c r="G8" s="37">
        <f t="shared" si="1"/>
        <v>7500</v>
      </c>
      <c r="H8" s="37">
        <f t="shared" si="1"/>
        <v>7500</v>
      </c>
      <c r="I8" s="37">
        <f t="shared" si="1"/>
        <v>7500</v>
      </c>
      <c r="J8" s="37">
        <f t="shared" si="1"/>
        <v>7500</v>
      </c>
      <c r="K8" s="37">
        <f t="shared" si="1"/>
        <v>7500</v>
      </c>
      <c r="L8" s="37">
        <f t="shared" si="1"/>
        <v>7500</v>
      </c>
      <c r="M8" s="37">
        <f t="shared" si="1"/>
        <v>7500</v>
      </c>
      <c r="N8" s="37">
        <f t="shared" si="1"/>
        <v>7500</v>
      </c>
      <c r="O8" s="37">
        <f t="shared" si="1"/>
        <v>7500</v>
      </c>
      <c r="P8" s="37">
        <f t="shared" si="1"/>
        <v>7500</v>
      </c>
      <c r="Q8" s="37">
        <f t="shared" si="2"/>
        <v>7500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9000</v>
      </c>
      <c r="E9" s="37" t="s">
        <v>525</v>
      </c>
      <c r="F9" s="37">
        <f t="shared" si="1"/>
        <v>750</v>
      </c>
      <c r="G9" s="37">
        <f t="shared" si="1"/>
        <v>750</v>
      </c>
      <c r="H9" s="37">
        <f t="shared" si="1"/>
        <v>750</v>
      </c>
      <c r="I9" s="37">
        <f t="shared" si="1"/>
        <v>750</v>
      </c>
      <c r="J9" s="37">
        <f t="shared" si="1"/>
        <v>750</v>
      </c>
      <c r="K9" s="37">
        <f t="shared" si="1"/>
        <v>750</v>
      </c>
      <c r="L9" s="37">
        <f t="shared" si="1"/>
        <v>750</v>
      </c>
      <c r="M9" s="37">
        <f t="shared" si="1"/>
        <v>750</v>
      </c>
      <c r="N9" s="37">
        <f t="shared" si="1"/>
        <v>750</v>
      </c>
      <c r="O9" s="37">
        <f t="shared" si="1"/>
        <v>750</v>
      </c>
      <c r="P9" s="37">
        <f t="shared" si="1"/>
        <v>750</v>
      </c>
      <c r="Q9" s="37">
        <f t="shared" si="2"/>
        <v>750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69000</v>
      </c>
      <c r="E13" s="37" t="s">
        <v>525</v>
      </c>
      <c r="F13" s="37">
        <f>ROUND($D13/12,0)</f>
        <v>5750</v>
      </c>
      <c r="G13" s="37">
        <f t="shared" si="1"/>
        <v>5750</v>
      </c>
      <c r="H13" s="37">
        <f t="shared" si="1"/>
        <v>5750</v>
      </c>
      <c r="I13" s="37">
        <f t="shared" si="1"/>
        <v>5750</v>
      </c>
      <c r="J13" s="37">
        <f t="shared" si="1"/>
        <v>5750</v>
      </c>
      <c r="K13" s="37">
        <f t="shared" si="1"/>
        <v>5750</v>
      </c>
      <c r="L13" s="37">
        <f t="shared" si="1"/>
        <v>5750</v>
      </c>
      <c r="M13" s="37">
        <f t="shared" si="1"/>
        <v>5750</v>
      </c>
      <c r="N13" s="37">
        <f t="shared" si="1"/>
        <v>5750</v>
      </c>
      <c r="O13" s="37">
        <f t="shared" si="1"/>
        <v>5750</v>
      </c>
      <c r="P13" s="37">
        <f t="shared" si="1"/>
        <v>5750</v>
      </c>
      <c r="Q13" s="37">
        <f>D13-SUM(F13:P13)</f>
        <v>5750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158000</v>
      </c>
      <c r="E15" s="37" t="s">
        <v>193</v>
      </c>
      <c r="F15" s="37">
        <f>ROUND($D15/2,-3)</f>
        <v>79000</v>
      </c>
      <c r="G15" s="37"/>
      <c r="H15" s="37"/>
      <c r="I15" s="37"/>
      <c r="J15" s="37"/>
      <c r="K15" s="37"/>
      <c r="L15" s="37">
        <f>D15-F15</f>
        <v>79000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72000</v>
      </c>
      <c r="E17" s="37" t="s">
        <v>525</v>
      </c>
      <c r="F17" s="37">
        <f>ROUND($D17/12,0)</f>
        <v>6000</v>
      </c>
      <c r="G17" s="37">
        <f t="shared" si="1"/>
        <v>6000</v>
      </c>
      <c r="H17" s="37">
        <f t="shared" si="1"/>
        <v>6000</v>
      </c>
      <c r="I17" s="37">
        <f t="shared" si="1"/>
        <v>6000</v>
      </c>
      <c r="J17" s="37">
        <f t="shared" si="1"/>
        <v>6000</v>
      </c>
      <c r="K17" s="37">
        <f t="shared" si="1"/>
        <v>6000</v>
      </c>
      <c r="L17" s="37">
        <f t="shared" si="1"/>
        <v>6000</v>
      </c>
      <c r="M17" s="37">
        <f t="shared" si="1"/>
        <v>6000</v>
      </c>
      <c r="N17" s="37">
        <f t="shared" si="1"/>
        <v>6000</v>
      </c>
      <c r="O17" s="37">
        <f t="shared" si="1"/>
        <v>6000</v>
      </c>
      <c r="P17" s="37">
        <f t="shared" si="1"/>
        <v>6000</v>
      </c>
      <c r="Q17" s="37">
        <f>D17-SUM(F17:P17)</f>
        <v>6000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410000</v>
      </c>
      <c r="E24" s="37" t="s">
        <v>193</v>
      </c>
      <c r="F24" s="37">
        <f>ROUND($D24/2,-3)</f>
        <v>205000</v>
      </c>
      <c r="G24" s="37"/>
      <c r="H24" s="37"/>
      <c r="I24" s="37"/>
      <c r="J24" s="37"/>
      <c r="K24" s="37"/>
      <c r="L24" s="37">
        <f>D24-F24</f>
        <v>205000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1757000</v>
      </c>
      <c r="E25" s="108"/>
      <c r="F25" s="108">
        <f>ROUND(SUM(F3:F24),-3)</f>
        <v>383000</v>
      </c>
      <c r="G25" s="108">
        <f t="shared" ref="G25:P25" si="5">ROUND(SUM(G3:G24),-3)</f>
        <v>99000</v>
      </c>
      <c r="H25" s="108">
        <f t="shared" si="5"/>
        <v>99000</v>
      </c>
      <c r="I25" s="108">
        <f t="shared" si="5"/>
        <v>99000</v>
      </c>
      <c r="J25" s="108">
        <f t="shared" si="5"/>
        <v>99000</v>
      </c>
      <c r="K25" s="108">
        <f t="shared" si="5"/>
        <v>99000</v>
      </c>
      <c r="L25" s="108">
        <f t="shared" si="5"/>
        <v>383000</v>
      </c>
      <c r="M25" s="108">
        <f t="shared" si="5"/>
        <v>99000</v>
      </c>
      <c r="N25" s="108">
        <f t="shared" si="5"/>
        <v>99000</v>
      </c>
      <c r="O25" s="108">
        <f t="shared" si="5"/>
        <v>99000</v>
      </c>
      <c r="P25" s="108">
        <f t="shared" si="5"/>
        <v>99000</v>
      </c>
      <c r="Q25" s="108">
        <f t="shared" ref="Q25:Q33" si="6">D25-SUM(F25:P25)</f>
        <v>100000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463000</v>
      </c>
      <c r="E27" s="37" t="s">
        <v>525</v>
      </c>
      <c r="F27" s="37">
        <f t="shared" ref="F27:P33" si="8">ROUND($D27/12,0)</f>
        <v>38583</v>
      </c>
      <c r="G27" s="37">
        <f t="shared" si="8"/>
        <v>38583</v>
      </c>
      <c r="H27" s="37">
        <f t="shared" si="8"/>
        <v>38583</v>
      </c>
      <c r="I27" s="37">
        <f t="shared" si="8"/>
        <v>38583</v>
      </c>
      <c r="J27" s="37">
        <f t="shared" si="8"/>
        <v>38583</v>
      </c>
      <c r="K27" s="37">
        <f t="shared" si="8"/>
        <v>38583</v>
      </c>
      <c r="L27" s="37">
        <f t="shared" si="8"/>
        <v>38583</v>
      </c>
      <c r="M27" s="37">
        <f t="shared" si="8"/>
        <v>38583</v>
      </c>
      <c r="N27" s="37">
        <f t="shared" si="8"/>
        <v>38583</v>
      </c>
      <c r="O27" s="37">
        <f t="shared" si="8"/>
        <v>38583</v>
      </c>
      <c r="P27" s="37">
        <f t="shared" si="8"/>
        <v>38583</v>
      </c>
      <c r="Q27" s="37">
        <f t="shared" si="6"/>
        <v>38587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53000</v>
      </c>
      <c r="E29" s="37" t="s">
        <v>525</v>
      </c>
      <c r="F29" s="37">
        <f t="shared" si="8"/>
        <v>4417</v>
      </c>
      <c r="G29" s="37">
        <f t="shared" si="8"/>
        <v>4417</v>
      </c>
      <c r="H29" s="37">
        <f t="shared" si="8"/>
        <v>4417</v>
      </c>
      <c r="I29" s="37">
        <f t="shared" si="8"/>
        <v>4417</v>
      </c>
      <c r="J29" s="37">
        <f t="shared" si="8"/>
        <v>4417</v>
      </c>
      <c r="K29" s="37">
        <f t="shared" si="8"/>
        <v>4417</v>
      </c>
      <c r="L29" s="37">
        <f t="shared" si="8"/>
        <v>4417</v>
      </c>
      <c r="M29" s="37">
        <f t="shared" si="8"/>
        <v>4417</v>
      </c>
      <c r="N29" s="37">
        <f t="shared" si="8"/>
        <v>4417</v>
      </c>
      <c r="O29" s="37">
        <f t="shared" si="8"/>
        <v>4417</v>
      </c>
      <c r="P29" s="37">
        <f t="shared" si="8"/>
        <v>4417</v>
      </c>
      <c r="Q29" s="37">
        <f t="shared" si="6"/>
        <v>4413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205000</v>
      </c>
      <c r="E30" s="37" t="s">
        <v>525</v>
      </c>
      <c r="F30" s="37">
        <f t="shared" si="8"/>
        <v>17083</v>
      </c>
      <c r="G30" s="37">
        <f t="shared" si="8"/>
        <v>17083</v>
      </c>
      <c r="H30" s="37">
        <f t="shared" si="8"/>
        <v>17083</v>
      </c>
      <c r="I30" s="37">
        <f t="shared" si="8"/>
        <v>17083</v>
      </c>
      <c r="J30" s="37">
        <f t="shared" si="8"/>
        <v>17083</v>
      </c>
      <c r="K30" s="37">
        <f t="shared" si="8"/>
        <v>17083</v>
      </c>
      <c r="L30" s="37">
        <f t="shared" si="8"/>
        <v>17083</v>
      </c>
      <c r="M30" s="37">
        <f t="shared" si="8"/>
        <v>17083</v>
      </c>
      <c r="N30" s="37">
        <f t="shared" si="8"/>
        <v>17083</v>
      </c>
      <c r="O30" s="37">
        <f t="shared" si="8"/>
        <v>17083</v>
      </c>
      <c r="P30" s="37">
        <f t="shared" si="8"/>
        <v>17083</v>
      </c>
      <c r="Q30" s="37">
        <f t="shared" si="6"/>
        <v>17087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102000</v>
      </c>
      <c r="E31" s="37" t="s">
        <v>525</v>
      </c>
      <c r="F31" s="37">
        <f t="shared" si="8"/>
        <v>8500</v>
      </c>
      <c r="G31" s="37">
        <f t="shared" si="8"/>
        <v>8500</v>
      </c>
      <c r="H31" s="37">
        <f t="shared" si="8"/>
        <v>8500</v>
      </c>
      <c r="I31" s="37">
        <f t="shared" si="8"/>
        <v>8500</v>
      </c>
      <c r="J31" s="37">
        <f t="shared" si="8"/>
        <v>8500</v>
      </c>
      <c r="K31" s="37">
        <f t="shared" si="8"/>
        <v>8500</v>
      </c>
      <c r="L31" s="37">
        <f t="shared" si="8"/>
        <v>8500</v>
      </c>
      <c r="M31" s="37">
        <f t="shared" si="8"/>
        <v>8500</v>
      </c>
      <c r="N31" s="37">
        <f t="shared" si="8"/>
        <v>8500</v>
      </c>
      <c r="O31" s="37">
        <f t="shared" si="8"/>
        <v>8500</v>
      </c>
      <c r="P31" s="37">
        <f t="shared" si="8"/>
        <v>8500</v>
      </c>
      <c r="Q31" s="37">
        <f t="shared" si="6"/>
        <v>8500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36000</v>
      </c>
      <c r="E32" s="37" t="s">
        <v>525</v>
      </c>
      <c r="F32" s="37">
        <f t="shared" si="8"/>
        <v>3000</v>
      </c>
      <c r="G32" s="37">
        <f t="shared" si="8"/>
        <v>3000</v>
      </c>
      <c r="H32" s="37">
        <f t="shared" si="8"/>
        <v>3000</v>
      </c>
      <c r="I32" s="37">
        <f t="shared" si="8"/>
        <v>3000</v>
      </c>
      <c r="J32" s="37">
        <f t="shared" si="8"/>
        <v>3000</v>
      </c>
      <c r="K32" s="37">
        <f t="shared" si="8"/>
        <v>3000</v>
      </c>
      <c r="L32" s="37">
        <f t="shared" si="8"/>
        <v>3000</v>
      </c>
      <c r="M32" s="37">
        <f t="shared" si="8"/>
        <v>3000</v>
      </c>
      <c r="N32" s="37">
        <f t="shared" si="8"/>
        <v>3000</v>
      </c>
      <c r="O32" s="37">
        <f t="shared" si="8"/>
        <v>3000</v>
      </c>
      <c r="P32" s="37">
        <f t="shared" si="8"/>
        <v>3000</v>
      </c>
      <c r="Q32" s="37">
        <f t="shared" si="6"/>
        <v>3000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22000</v>
      </c>
      <c r="E33" s="37" t="s">
        <v>525</v>
      </c>
      <c r="F33" s="37">
        <f t="shared" si="8"/>
        <v>1833</v>
      </c>
      <c r="G33" s="37">
        <f t="shared" si="8"/>
        <v>1833</v>
      </c>
      <c r="H33" s="37">
        <f t="shared" si="8"/>
        <v>1833</v>
      </c>
      <c r="I33" s="37">
        <f t="shared" si="8"/>
        <v>1833</v>
      </c>
      <c r="J33" s="37">
        <f t="shared" si="8"/>
        <v>1833</v>
      </c>
      <c r="K33" s="37">
        <f t="shared" si="8"/>
        <v>1833</v>
      </c>
      <c r="L33" s="37">
        <f t="shared" si="8"/>
        <v>1833</v>
      </c>
      <c r="M33" s="37">
        <f t="shared" si="8"/>
        <v>1833</v>
      </c>
      <c r="N33" s="37">
        <f t="shared" si="8"/>
        <v>1833</v>
      </c>
      <c r="O33" s="37">
        <f t="shared" si="8"/>
        <v>1833</v>
      </c>
      <c r="P33" s="37">
        <f t="shared" si="8"/>
        <v>1833</v>
      </c>
      <c r="Q33" s="37">
        <f t="shared" si="6"/>
        <v>1837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881000</v>
      </c>
      <c r="E37" s="108"/>
      <c r="F37" s="108">
        <f t="shared" ref="F37:P37" si="9">ROUND(SUM(F26:F36),-3)</f>
        <v>73000</v>
      </c>
      <c r="G37" s="108">
        <f t="shared" si="9"/>
        <v>73000</v>
      </c>
      <c r="H37" s="108">
        <f t="shared" si="9"/>
        <v>73000</v>
      </c>
      <c r="I37" s="108">
        <f t="shared" si="9"/>
        <v>73000</v>
      </c>
      <c r="J37" s="108">
        <f t="shared" si="9"/>
        <v>73000</v>
      </c>
      <c r="K37" s="108">
        <f t="shared" si="9"/>
        <v>73000</v>
      </c>
      <c r="L37" s="108">
        <f t="shared" si="9"/>
        <v>73000</v>
      </c>
      <c r="M37" s="108">
        <f t="shared" si="9"/>
        <v>73000</v>
      </c>
      <c r="N37" s="108">
        <f t="shared" si="9"/>
        <v>73000</v>
      </c>
      <c r="O37" s="108">
        <f t="shared" si="9"/>
        <v>73000</v>
      </c>
      <c r="P37" s="108">
        <f t="shared" si="9"/>
        <v>73000</v>
      </c>
      <c r="Q37" s="108">
        <f>D37-SUM(F37:P37)</f>
        <v>78000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42000</v>
      </c>
      <c r="E46" s="37" t="s">
        <v>194</v>
      </c>
      <c r="F46" s="37">
        <f>ROUND($D46/3,0)</f>
        <v>14000</v>
      </c>
      <c r="G46" s="37"/>
      <c r="H46" s="37"/>
      <c r="I46" s="37"/>
      <c r="J46" s="37"/>
      <c r="K46" s="37">
        <f>ROUND($D46/3,0)</f>
        <v>14000</v>
      </c>
      <c r="L46" s="37"/>
      <c r="M46" s="37"/>
      <c r="N46" s="37">
        <f>ROUND($D46/3,0)</f>
        <v>14000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42000</v>
      </c>
      <c r="E47" s="108"/>
      <c r="F47" s="108">
        <f t="shared" ref="F47:P47" si="13">ROUND(SUM(F46),-3)</f>
        <v>14000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14000</v>
      </c>
      <c r="L47" s="108">
        <f t="shared" si="13"/>
        <v>0</v>
      </c>
      <c r="M47" s="108">
        <f t="shared" si="13"/>
        <v>0</v>
      </c>
      <c r="N47" s="108">
        <f t="shared" si="13"/>
        <v>14000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2680000</v>
      </c>
      <c r="E48" s="37"/>
      <c r="F48" s="115">
        <f>F25+F37+F45+F47</f>
        <v>470000</v>
      </c>
      <c r="G48" s="115">
        <f t="shared" ref="G48:R48" si="14">G25+G37+G45+G47</f>
        <v>172000</v>
      </c>
      <c r="H48" s="115">
        <f t="shared" si="14"/>
        <v>172000</v>
      </c>
      <c r="I48" s="115">
        <f t="shared" si="14"/>
        <v>172000</v>
      </c>
      <c r="J48" s="115">
        <f t="shared" si="14"/>
        <v>172000</v>
      </c>
      <c r="K48" s="115">
        <f t="shared" si="14"/>
        <v>186000</v>
      </c>
      <c r="L48" s="115">
        <f t="shared" si="14"/>
        <v>456000</v>
      </c>
      <c r="M48" s="115">
        <f t="shared" si="14"/>
        <v>172000</v>
      </c>
      <c r="N48" s="115">
        <f t="shared" si="14"/>
        <v>186000</v>
      </c>
      <c r="O48" s="115">
        <f t="shared" si="14"/>
        <v>172000</v>
      </c>
      <c r="P48" s="115">
        <f t="shared" si="14"/>
        <v>172000</v>
      </c>
      <c r="Q48" s="115">
        <f t="shared" si="14"/>
        <v>178000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69630000</v>
      </c>
      <c r="E49" s="114" t="s">
        <v>202</v>
      </c>
      <c r="F49" s="37">
        <f>ROUND($D49/12*3,-3)</f>
        <v>17408000</v>
      </c>
      <c r="G49" s="37">
        <f>ROUND($D49/12,-3)</f>
        <v>5803000</v>
      </c>
      <c r="H49" s="37">
        <f t="shared" ref="H49:N53" si="15">ROUND($D49/12,-3)</f>
        <v>5803000</v>
      </c>
      <c r="I49" s="37">
        <f t="shared" si="15"/>
        <v>5803000</v>
      </c>
      <c r="J49" s="37">
        <f t="shared" si="15"/>
        <v>5803000</v>
      </c>
      <c r="K49" s="37">
        <f t="shared" si="15"/>
        <v>5803000</v>
      </c>
      <c r="L49" s="37">
        <f t="shared" si="15"/>
        <v>5803000</v>
      </c>
      <c r="M49" s="37">
        <f t="shared" si="15"/>
        <v>5803000</v>
      </c>
      <c r="N49" s="37">
        <f t="shared" si="15"/>
        <v>5803000</v>
      </c>
      <c r="O49" s="37">
        <f>D49-SUM(F49:N49)</f>
        <v>5798000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406000</v>
      </c>
      <c r="E50" s="114" t="s">
        <v>202</v>
      </c>
      <c r="F50" s="37">
        <f t="shared" ref="F50:F53" si="16">ROUND($D50/12*3,-3)</f>
        <v>102000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si="15"/>
        <v>34000</v>
      </c>
      <c r="N50" s="37">
        <f t="shared" si="15"/>
        <v>34000</v>
      </c>
      <c r="O50" s="37">
        <f t="shared" ref="O50:O53" si="18">D50-SUM(F50:N50)</f>
        <v>32000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1349000</v>
      </c>
      <c r="E51" s="114" t="s">
        <v>202</v>
      </c>
      <c r="F51" s="37">
        <f t="shared" si="16"/>
        <v>337000</v>
      </c>
      <c r="G51" s="37">
        <f t="shared" si="17"/>
        <v>112000</v>
      </c>
      <c r="H51" s="37">
        <f t="shared" si="15"/>
        <v>112000</v>
      </c>
      <c r="I51" s="37">
        <f t="shared" si="15"/>
        <v>112000</v>
      </c>
      <c r="J51" s="37">
        <f t="shared" si="15"/>
        <v>112000</v>
      </c>
      <c r="K51" s="37">
        <f t="shared" si="15"/>
        <v>112000</v>
      </c>
      <c r="L51" s="37">
        <f t="shared" si="15"/>
        <v>112000</v>
      </c>
      <c r="M51" s="37">
        <f t="shared" si="15"/>
        <v>112000</v>
      </c>
      <c r="N51" s="37">
        <f t="shared" si="15"/>
        <v>112000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262000</v>
      </c>
      <c r="E54" s="37" t="s">
        <v>525</v>
      </c>
      <c r="F54" s="37">
        <f t="shared" ref="F54:P61" si="19">ROUND($D54/12,0)</f>
        <v>21833</v>
      </c>
      <c r="G54" s="37">
        <f t="shared" si="19"/>
        <v>21833</v>
      </c>
      <c r="H54" s="37">
        <f t="shared" si="19"/>
        <v>21833</v>
      </c>
      <c r="I54" s="37">
        <f t="shared" si="19"/>
        <v>21833</v>
      </c>
      <c r="J54" s="37">
        <f t="shared" si="19"/>
        <v>21833</v>
      </c>
      <c r="K54" s="37">
        <f t="shared" si="19"/>
        <v>21833</v>
      </c>
      <c r="L54" s="37">
        <f t="shared" si="19"/>
        <v>21833</v>
      </c>
      <c r="M54" s="37">
        <f t="shared" si="19"/>
        <v>21833</v>
      </c>
      <c r="N54" s="37">
        <f t="shared" si="19"/>
        <v>21833</v>
      </c>
      <c r="O54" s="37">
        <f t="shared" si="19"/>
        <v>21833</v>
      </c>
      <c r="P54" s="37">
        <f t="shared" si="19"/>
        <v>21833</v>
      </c>
      <c r="Q54" s="37">
        <f t="shared" ref="Q54:Q61" si="20">D54-SUM(F54:P54)</f>
        <v>21837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0</v>
      </c>
      <c r="E59" s="37" t="s">
        <v>525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1063000</v>
      </c>
      <c r="E60" s="37" t="s">
        <v>195</v>
      </c>
      <c r="F60" s="37">
        <f>D60</f>
        <v>1063000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8646000</v>
      </c>
      <c r="E62" s="37" t="s">
        <v>197</v>
      </c>
      <c r="F62" s="37"/>
      <c r="G62" s="37"/>
      <c r="H62" s="37"/>
      <c r="I62" s="37">
        <f>ROUND($D62/5,-3)</f>
        <v>1729000</v>
      </c>
      <c r="J62" s="37"/>
      <c r="K62" s="37"/>
      <c r="L62" s="37"/>
      <c r="M62" s="37"/>
      <c r="N62" s="37">
        <f>D62-I62</f>
        <v>6917000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8540000</v>
      </c>
      <c r="E63" s="37" t="s">
        <v>195</v>
      </c>
      <c r="F63" s="37">
        <f>D63</f>
        <v>8540000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7559000</v>
      </c>
      <c r="E64" s="114" t="s">
        <v>202</v>
      </c>
      <c r="F64" s="37">
        <f>ROUND($D64/12*3,-3)</f>
        <v>1890000</v>
      </c>
      <c r="G64" s="37">
        <f>ROUND($D64/12,-3)</f>
        <v>630000</v>
      </c>
      <c r="H64" s="37">
        <f t="shared" ref="H64:N66" si="21">ROUND($D64/12,-3)</f>
        <v>630000</v>
      </c>
      <c r="I64" s="37">
        <f t="shared" si="21"/>
        <v>630000</v>
      </c>
      <c r="J64" s="37">
        <f t="shared" si="21"/>
        <v>630000</v>
      </c>
      <c r="K64" s="37">
        <f t="shared" si="21"/>
        <v>630000</v>
      </c>
      <c r="L64" s="37">
        <f t="shared" si="21"/>
        <v>630000</v>
      </c>
      <c r="M64" s="37">
        <f t="shared" si="21"/>
        <v>630000</v>
      </c>
      <c r="N64" s="37">
        <f t="shared" si="21"/>
        <v>630000</v>
      </c>
      <c r="O64" s="37">
        <f>D64-SUM(F64:N64)</f>
        <v>629000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1827000</v>
      </c>
      <c r="E65" s="114" t="s">
        <v>202</v>
      </c>
      <c r="F65" s="37">
        <f t="shared" ref="F65:F66" si="22">ROUND($D65/12*3,-3)</f>
        <v>457000</v>
      </c>
      <c r="G65" s="37">
        <f t="shared" ref="G65:G66" si="23">ROUND($D65/12,-3)</f>
        <v>152000</v>
      </c>
      <c r="H65" s="37">
        <f t="shared" si="21"/>
        <v>152000</v>
      </c>
      <c r="I65" s="37">
        <f t="shared" si="21"/>
        <v>152000</v>
      </c>
      <c r="J65" s="37">
        <f t="shared" si="21"/>
        <v>152000</v>
      </c>
      <c r="K65" s="37">
        <f t="shared" si="21"/>
        <v>152000</v>
      </c>
      <c r="L65" s="37">
        <f t="shared" si="21"/>
        <v>152000</v>
      </c>
      <c r="M65" s="37">
        <f t="shared" si="21"/>
        <v>152000</v>
      </c>
      <c r="N65" s="37">
        <f t="shared" si="21"/>
        <v>152000</v>
      </c>
      <c r="O65" s="37">
        <f t="shared" ref="O65:O66" si="24">D65-SUM(F65:N65)</f>
        <v>154000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4753000</v>
      </c>
      <c r="E66" s="114" t="s">
        <v>202</v>
      </c>
      <c r="F66" s="37">
        <f t="shared" si="22"/>
        <v>1188000</v>
      </c>
      <c r="G66" s="37">
        <f t="shared" si="23"/>
        <v>396000</v>
      </c>
      <c r="H66" s="37">
        <f t="shared" si="21"/>
        <v>396000</v>
      </c>
      <c r="I66" s="37">
        <f t="shared" si="21"/>
        <v>396000</v>
      </c>
      <c r="J66" s="37">
        <f t="shared" si="21"/>
        <v>396000</v>
      </c>
      <c r="K66" s="37">
        <f t="shared" si="21"/>
        <v>396000</v>
      </c>
      <c r="L66" s="37">
        <f t="shared" si="21"/>
        <v>396000</v>
      </c>
      <c r="M66" s="37">
        <f t="shared" si="21"/>
        <v>396000</v>
      </c>
      <c r="N66" s="37">
        <f t="shared" si="21"/>
        <v>396000</v>
      </c>
      <c r="O66" s="37">
        <f t="shared" si="24"/>
        <v>397000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117000</v>
      </c>
      <c r="E67" s="37" t="s">
        <v>196</v>
      </c>
      <c r="F67" s="37"/>
      <c r="G67" s="37"/>
      <c r="H67" s="37">
        <f>D67</f>
        <v>117000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368000</v>
      </c>
      <c r="E68" s="37" t="s">
        <v>195</v>
      </c>
      <c r="F68" s="37">
        <f>D68</f>
        <v>368000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104785000</v>
      </c>
      <c r="E70" s="108"/>
      <c r="F70" s="108">
        <f t="shared" ref="F70:P70" si="25">ROUND(SUM(F49:F69),-3)</f>
        <v>31441000</v>
      </c>
      <c r="G70" s="108">
        <f t="shared" si="25"/>
        <v>7171000</v>
      </c>
      <c r="H70" s="108">
        <f t="shared" si="25"/>
        <v>7288000</v>
      </c>
      <c r="I70" s="108">
        <f t="shared" si="25"/>
        <v>8900000</v>
      </c>
      <c r="J70" s="108">
        <f t="shared" si="25"/>
        <v>7171000</v>
      </c>
      <c r="K70" s="108">
        <f t="shared" si="25"/>
        <v>7171000</v>
      </c>
      <c r="L70" s="108">
        <f t="shared" si="25"/>
        <v>7171000</v>
      </c>
      <c r="M70" s="108">
        <f t="shared" si="25"/>
        <v>7171000</v>
      </c>
      <c r="N70" s="108">
        <f t="shared" si="25"/>
        <v>14088000</v>
      </c>
      <c r="O70" s="108">
        <f t="shared" si="25"/>
        <v>7171000</v>
      </c>
      <c r="P70" s="108">
        <f t="shared" si="25"/>
        <v>22000</v>
      </c>
      <c r="Q70" s="108">
        <f>D70-SUM(F70:P70)</f>
        <v>20000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29873000</v>
      </c>
      <c r="E72" s="114" t="s">
        <v>202</v>
      </c>
      <c r="F72" s="37">
        <f>ROUND($D72/12*3,-3)</f>
        <v>7468000</v>
      </c>
      <c r="G72" s="37">
        <f>ROUND($D72/12,-3)</f>
        <v>2489000</v>
      </c>
      <c r="H72" s="37">
        <f t="shared" ref="H72:N75" si="26">ROUND($D72/12,-3)</f>
        <v>2489000</v>
      </c>
      <c r="I72" s="37">
        <f t="shared" si="26"/>
        <v>2489000</v>
      </c>
      <c r="J72" s="37">
        <f t="shared" si="26"/>
        <v>2489000</v>
      </c>
      <c r="K72" s="37">
        <f t="shared" si="26"/>
        <v>2489000</v>
      </c>
      <c r="L72" s="37">
        <f t="shared" si="26"/>
        <v>2489000</v>
      </c>
      <c r="M72" s="37">
        <f t="shared" si="26"/>
        <v>2489000</v>
      </c>
      <c r="N72" s="37">
        <f t="shared" si="26"/>
        <v>2489000</v>
      </c>
      <c r="O72" s="37">
        <f>D72-SUM(F72:N72)</f>
        <v>2493000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264000</v>
      </c>
      <c r="E75" s="114" t="s">
        <v>202</v>
      </c>
      <c r="F75" s="37">
        <f>ROUND($D75/12*3,-3)</f>
        <v>66000</v>
      </c>
      <c r="G75" s="37">
        <f>ROUND($D75/12,-3)</f>
        <v>22000</v>
      </c>
      <c r="H75" s="37">
        <f t="shared" si="26"/>
        <v>22000</v>
      </c>
      <c r="I75" s="37">
        <f t="shared" si="26"/>
        <v>22000</v>
      </c>
      <c r="J75" s="37">
        <f t="shared" si="26"/>
        <v>22000</v>
      </c>
      <c r="K75" s="37">
        <f t="shared" si="26"/>
        <v>22000</v>
      </c>
      <c r="L75" s="37">
        <f t="shared" si="26"/>
        <v>22000</v>
      </c>
      <c r="M75" s="37">
        <f t="shared" si="26"/>
        <v>22000</v>
      </c>
      <c r="N75" s="37">
        <f t="shared" si="26"/>
        <v>22000</v>
      </c>
      <c r="O75" s="37">
        <f>D75-SUM(F75:N75)</f>
        <v>22000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30137000</v>
      </c>
      <c r="E76" s="108"/>
      <c r="F76" s="108">
        <f>ROUND(SUM(F71:F75),-3)</f>
        <v>7534000</v>
      </c>
      <c r="G76" s="108">
        <f t="shared" ref="G76:N76" si="27">ROUND(SUM(G71:G75),-3)</f>
        <v>2511000</v>
      </c>
      <c r="H76" s="108">
        <f t="shared" si="27"/>
        <v>2511000</v>
      </c>
      <c r="I76" s="108">
        <f t="shared" si="27"/>
        <v>2511000</v>
      </c>
      <c r="J76" s="108">
        <f t="shared" si="27"/>
        <v>2511000</v>
      </c>
      <c r="K76" s="108">
        <f t="shared" si="27"/>
        <v>2511000</v>
      </c>
      <c r="L76" s="108">
        <f t="shared" si="27"/>
        <v>2511000</v>
      </c>
      <c r="M76" s="108">
        <f t="shared" si="27"/>
        <v>2511000</v>
      </c>
      <c r="N76" s="108">
        <f t="shared" si="27"/>
        <v>2511000</v>
      </c>
      <c r="O76" s="108">
        <f>D76-SUM(F76:N76)</f>
        <v>2515000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554000</v>
      </c>
      <c r="E77" s="37" t="s">
        <v>681</v>
      </c>
      <c r="F77" s="224"/>
      <c r="G77" s="224"/>
      <c r="H77" s="224">
        <f>ROUND($D77/2,-3)</f>
        <v>277000</v>
      </c>
      <c r="I77" s="224"/>
      <c r="J77" s="224"/>
      <c r="K77" s="224"/>
      <c r="L77" s="224"/>
      <c r="M77" s="224"/>
      <c r="N77" s="224">
        <f>D77-H77</f>
        <v>277000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135476000</v>
      </c>
      <c r="E78" s="227"/>
      <c r="F78" s="227">
        <f>F76+F70+F77</f>
        <v>38975000</v>
      </c>
      <c r="G78" s="227">
        <f t="shared" ref="G78:Q78" si="29">G76+G70+G77</f>
        <v>9682000</v>
      </c>
      <c r="H78" s="227">
        <f t="shared" si="29"/>
        <v>10076000</v>
      </c>
      <c r="I78" s="227">
        <f t="shared" si="29"/>
        <v>11411000</v>
      </c>
      <c r="J78" s="227">
        <f t="shared" si="29"/>
        <v>9682000</v>
      </c>
      <c r="K78" s="227">
        <f t="shared" si="29"/>
        <v>9682000</v>
      </c>
      <c r="L78" s="227">
        <f t="shared" si="29"/>
        <v>9682000</v>
      </c>
      <c r="M78" s="227">
        <f t="shared" si="29"/>
        <v>9682000</v>
      </c>
      <c r="N78" s="227">
        <f t="shared" si="29"/>
        <v>16876000</v>
      </c>
      <c r="O78" s="227">
        <f t="shared" si="29"/>
        <v>9686000</v>
      </c>
      <c r="P78" s="227">
        <f t="shared" si="29"/>
        <v>22000</v>
      </c>
      <c r="Q78" s="227">
        <f t="shared" si="29"/>
        <v>20000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138156000</v>
      </c>
      <c r="E87" s="37"/>
      <c r="F87" s="37">
        <f>F88+F89+F90+F91</f>
        <v>39445000</v>
      </c>
      <c r="G87" s="37">
        <f t="shared" ref="G87:Q87" si="32">G88+G89+G90+G91</f>
        <v>9854000</v>
      </c>
      <c r="H87" s="37">
        <f t="shared" si="32"/>
        <v>10248000</v>
      </c>
      <c r="I87" s="37">
        <f t="shared" si="32"/>
        <v>11583000</v>
      </c>
      <c r="J87" s="37">
        <f t="shared" si="32"/>
        <v>9854000</v>
      </c>
      <c r="K87" s="37">
        <f t="shared" si="32"/>
        <v>9868000</v>
      </c>
      <c r="L87" s="37">
        <f t="shared" si="32"/>
        <v>10138000</v>
      </c>
      <c r="M87" s="37">
        <f t="shared" si="32"/>
        <v>9854000</v>
      </c>
      <c r="N87" s="37">
        <f t="shared" si="32"/>
        <v>17062000</v>
      </c>
      <c r="O87" s="37">
        <f t="shared" si="32"/>
        <v>9858000</v>
      </c>
      <c r="P87" s="37">
        <f t="shared" si="32"/>
        <v>194000</v>
      </c>
      <c r="Q87" s="37">
        <f t="shared" si="32"/>
        <v>198000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110000</v>
      </c>
      <c r="E88" s="108" t="s">
        <v>193</v>
      </c>
      <c r="F88" s="108">
        <f>ROUND($D88/2,-3)</f>
        <v>55000</v>
      </c>
      <c r="G88" s="108"/>
      <c r="H88" s="108"/>
      <c r="I88" s="108"/>
      <c r="J88" s="108"/>
      <c r="K88" s="108"/>
      <c r="L88" s="108">
        <f>D88-F88</f>
        <v>55000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300000</v>
      </c>
      <c r="E89" s="108" t="s">
        <v>193</v>
      </c>
      <c r="F89" s="108">
        <f>ROUND($D89/2,-3)</f>
        <v>150000</v>
      </c>
      <c r="G89" s="108"/>
      <c r="H89" s="108"/>
      <c r="I89" s="108"/>
      <c r="J89" s="108"/>
      <c r="K89" s="108"/>
      <c r="L89" s="108">
        <f>D89-F89</f>
        <v>150000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9000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4000</v>
      </c>
      <c r="M90" s="108"/>
      <c r="N90" s="108"/>
      <c r="O90" s="108"/>
      <c r="P90" s="108"/>
      <c r="Q90" s="108">
        <f>ROUND($D90/2,-3)</f>
        <v>5000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137737000</v>
      </c>
      <c r="E91" s="108"/>
      <c r="F91" s="108">
        <f>F92+F93+F94+F95</f>
        <v>39240000</v>
      </c>
      <c r="G91" s="108">
        <f t="shared" ref="G91:Q91" si="34">G92+G93+G94+G95</f>
        <v>9854000</v>
      </c>
      <c r="H91" s="108">
        <f t="shared" si="34"/>
        <v>10248000</v>
      </c>
      <c r="I91" s="108">
        <f t="shared" si="34"/>
        <v>11583000</v>
      </c>
      <c r="J91" s="108">
        <f t="shared" si="34"/>
        <v>9854000</v>
      </c>
      <c r="K91" s="108">
        <f t="shared" si="34"/>
        <v>9868000</v>
      </c>
      <c r="L91" s="108">
        <f t="shared" si="34"/>
        <v>9929000</v>
      </c>
      <c r="M91" s="108">
        <f t="shared" si="34"/>
        <v>9854000</v>
      </c>
      <c r="N91" s="108">
        <f t="shared" si="34"/>
        <v>17062000</v>
      </c>
      <c r="O91" s="108">
        <f t="shared" si="34"/>
        <v>9858000</v>
      </c>
      <c r="P91" s="108">
        <f t="shared" si="34"/>
        <v>194000</v>
      </c>
      <c r="Q91" s="108">
        <f t="shared" si="34"/>
        <v>193000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4652000</v>
      </c>
      <c r="E92" s="114" t="s">
        <v>537</v>
      </c>
      <c r="F92" s="37">
        <f>ROUND($D92/12*5,-3)</f>
        <v>1938000</v>
      </c>
      <c r="G92" s="37">
        <f>ROUND($D92/12,-3)</f>
        <v>388000</v>
      </c>
      <c r="H92" s="37">
        <f t="shared" ref="H92:L92" si="35">ROUND($D92/12,-3)</f>
        <v>388000</v>
      </c>
      <c r="I92" s="37">
        <f t="shared" si="35"/>
        <v>388000</v>
      </c>
      <c r="J92" s="37">
        <f t="shared" si="35"/>
        <v>388000</v>
      </c>
      <c r="K92" s="37">
        <f t="shared" si="35"/>
        <v>388000</v>
      </c>
      <c r="L92" s="37">
        <f t="shared" si="35"/>
        <v>388000</v>
      </c>
      <c r="M92" s="37">
        <f>D92-SUM(F92:L92)</f>
        <v>386000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541000</v>
      </c>
      <c r="E93" s="109" t="s">
        <v>227</v>
      </c>
      <c r="F93" s="37">
        <f>ROUND($D93/12,-3)</f>
        <v>45000</v>
      </c>
      <c r="G93" s="37">
        <f t="shared" ref="G93:P93" si="36">ROUND($D93/12,-3)</f>
        <v>45000</v>
      </c>
      <c r="H93" s="37">
        <f t="shared" si="36"/>
        <v>45000</v>
      </c>
      <c r="I93" s="37">
        <f t="shared" si="36"/>
        <v>45000</v>
      </c>
      <c r="J93" s="37">
        <f t="shared" si="36"/>
        <v>45000</v>
      </c>
      <c r="K93" s="37">
        <f t="shared" si="36"/>
        <v>45000</v>
      </c>
      <c r="L93" s="37">
        <f t="shared" si="36"/>
        <v>45000</v>
      </c>
      <c r="M93" s="37">
        <f t="shared" si="36"/>
        <v>45000</v>
      </c>
      <c r="N93" s="37">
        <f t="shared" si="36"/>
        <v>45000</v>
      </c>
      <c r="O93" s="37">
        <f t="shared" si="36"/>
        <v>45000</v>
      </c>
      <c r="P93" s="37">
        <f t="shared" si="36"/>
        <v>45000</v>
      </c>
      <c r="Q93" s="37">
        <f>D93-SUM(F93:P93)</f>
        <v>46000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420000</v>
      </c>
      <c r="E94" s="110" t="s">
        <v>229</v>
      </c>
      <c r="F94" s="37"/>
      <c r="G94" s="37"/>
      <c r="H94" s="37">
        <f>ROUND($D94/2,-3)</f>
        <v>210000</v>
      </c>
      <c r="I94" s="37"/>
      <c r="J94" s="37"/>
      <c r="K94" s="37"/>
      <c r="L94" s="37"/>
      <c r="M94" s="37"/>
      <c r="N94" s="37"/>
      <c r="O94" s="37">
        <f>D94-H94</f>
        <v>210000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132124000</v>
      </c>
      <c r="E95" s="37"/>
      <c r="F95" s="37">
        <f>F2+F86-F88-F89-F90-F92-F93-F94</f>
        <v>37257000</v>
      </c>
      <c r="G95" s="37">
        <f t="shared" ref="G95:Q95" si="37">G2-G88-G89-G90-G92-G93-G94</f>
        <v>9421000</v>
      </c>
      <c r="H95" s="37">
        <f t="shared" si="37"/>
        <v>9605000</v>
      </c>
      <c r="I95" s="37">
        <f t="shared" si="37"/>
        <v>11150000</v>
      </c>
      <c r="J95" s="37">
        <f t="shared" si="37"/>
        <v>9421000</v>
      </c>
      <c r="K95" s="37">
        <f t="shared" si="37"/>
        <v>9435000</v>
      </c>
      <c r="L95" s="37">
        <f t="shared" si="37"/>
        <v>9496000</v>
      </c>
      <c r="M95" s="37">
        <f t="shared" si="37"/>
        <v>9423000</v>
      </c>
      <c r="N95" s="37">
        <f t="shared" si="37"/>
        <v>17017000</v>
      </c>
      <c r="O95" s="37">
        <f t="shared" si="37"/>
        <v>9603000</v>
      </c>
      <c r="P95" s="37">
        <f t="shared" si="37"/>
        <v>149000</v>
      </c>
      <c r="Q95" s="37">
        <f t="shared" si="37"/>
        <v>147000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800000</v>
      </c>
    </row>
    <row r="99" spans="2:17" ht="32.4">
      <c r="B99" s="72" t="s">
        <v>235</v>
      </c>
      <c r="D99" s="30">
        <f>HLOOKUP(D1,縣庫撥款收入明細表!H:DD,5,FALSE)</f>
        <v>1590000</v>
      </c>
    </row>
    <row r="100" spans="2:17" ht="32.4">
      <c r="B100" s="72" t="s">
        <v>236</v>
      </c>
      <c r="D100" s="30">
        <f>HLOOKUP(D1,縣庫撥款收入明細表!H:DD,6,FALSE)</f>
        <v>1247000</v>
      </c>
    </row>
    <row r="101" spans="2:17" ht="32.4">
      <c r="B101" s="72" t="s">
        <v>237</v>
      </c>
      <c r="D101" s="30">
        <f>HLOOKUP(D1,縣庫撥款收入明細表!H:DD,15,FALSE)</f>
        <v>1015000</v>
      </c>
    </row>
    <row r="102" spans="2:17" ht="32.4">
      <c r="B102" s="71" t="s">
        <v>238</v>
      </c>
      <c r="D102" s="30">
        <f>HLOOKUP(D1,縣庫撥款收入明細表!H:DD,16,FALSE)</f>
        <v>492000</v>
      </c>
    </row>
    <row r="103" spans="2:17" ht="32.4">
      <c r="B103" s="72" t="s">
        <v>239</v>
      </c>
      <c r="D103" s="30">
        <f>HLOOKUP(D1,縣庫撥款收入明細表!H:DD,17,FALSE)</f>
        <v>0</v>
      </c>
    </row>
    <row r="104" spans="2:17" ht="32.4">
      <c r="B104" s="76" t="s">
        <v>240</v>
      </c>
      <c r="D104" s="30">
        <f>HLOOKUP(D1,縣庫撥款收入明細表!H:DD,18,FALSE)</f>
        <v>420000</v>
      </c>
    </row>
    <row r="105" spans="2:17" ht="32.4">
      <c r="B105" s="72" t="s">
        <v>380</v>
      </c>
      <c r="D105" s="30">
        <f>HLOOKUP(D1,縣庫撥款收入明細表!H:DD,19,FALSE)</f>
        <v>0</v>
      </c>
    </row>
    <row r="106" spans="2:17" ht="32.4">
      <c r="B106" s="71" t="s">
        <v>241</v>
      </c>
      <c r="D106" s="30">
        <f>HLOOKUP(D1,縣庫撥款收入明細表!H:DD,20,FALSE)</f>
        <v>49000</v>
      </c>
    </row>
    <row r="107" spans="2:17" ht="32.4">
      <c r="B107" s="77" t="s">
        <v>242</v>
      </c>
      <c r="D107" s="30">
        <f>HLOOKUP(D1,縣庫撥款收入明細表!H:DD,21,FALSE)</f>
        <v>132124000</v>
      </c>
    </row>
    <row r="108" spans="2:17" ht="16.5" customHeight="1"/>
    <row r="109" spans="2:17" ht="16.5" customHeight="1">
      <c r="B109" s="4" t="s">
        <v>682</v>
      </c>
      <c r="D109" s="30">
        <f>D91-D76</f>
        <v>107600000</v>
      </c>
      <c r="F109" s="30">
        <f>F91-F76</f>
        <v>31706000</v>
      </c>
      <c r="G109" s="30">
        <f t="shared" ref="G109:Q109" si="38">G91-G76</f>
        <v>7343000</v>
      </c>
      <c r="H109" s="30">
        <f t="shared" si="38"/>
        <v>7737000</v>
      </c>
      <c r="I109" s="30">
        <f t="shared" si="38"/>
        <v>9072000</v>
      </c>
      <c r="J109" s="30">
        <f t="shared" si="38"/>
        <v>7343000</v>
      </c>
      <c r="K109" s="30">
        <f t="shared" si="38"/>
        <v>7357000</v>
      </c>
      <c r="L109" s="30">
        <f t="shared" si="38"/>
        <v>7418000</v>
      </c>
      <c r="M109" s="30">
        <f t="shared" si="38"/>
        <v>7343000</v>
      </c>
      <c r="N109" s="30">
        <f t="shared" si="38"/>
        <v>14551000</v>
      </c>
      <c r="O109" s="30">
        <f t="shared" si="38"/>
        <v>7343000</v>
      </c>
      <c r="P109" s="30">
        <f t="shared" si="38"/>
        <v>194000</v>
      </c>
      <c r="Q109" s="30">
        <f t="shared" si="38"/>
        <v>193000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8:C78"/>
    <mergeCell ref="A79:A83"/>
    <mergeCell ref="A1:B1"/>
    <mergeCell ref="A2:B2"/>
    <mergeCell ref="A3:A48"/>
    <mergeCell ref="A49:A70"/>
    <mergeCell ref="A71:A76"/>
  </mergeCells>
  <phoneticPr fontId="3" type="noConversion"/>
  <conditionalFormatting sqref="F95:Q95">
    <cfRule type="cellIs" dxfId="194" priority="1" operator="lessThan">
      <formula>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606</v>
      </c>
      <c r="D1" s="240" t="str">
        <f>VLOOKUP(C1,學校編號!A:B,2,FALSE)</f>
        <v>606信義國小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29276000</v>
      </c>
      <c r="E2" s="37"/>
      <c r="F2" s="37">
        <f>F48+F70+F76+F77+F83</f>
        <v>8343000</v>
      </c>
      <c r="G2" s="37">
        <f t="shared" ref="G2:Q2" si="0">G48+G70+G76+G77+G83</f>
        <v>2071000</v>
      </c>
      <c r="H2" s="37">
        <f t="shared" si="0"/>
        <v>2229000</v>
      </c>
      <c r="I2" s="37">
        <f t="shared" si="0"/>
        <v>2440000</v>
      </c>
      <c r="J2" s="37">
        <f t="shared" si="0"/>
        <v>2071000</v>
      </c>
      <c r="K2" s="37">
        <f t="shared" si="0"/>
        <v>2079000</v>
      </c>
      <c r="L2" s="37">
        <f t="shared" si="0"/>
        <v>2086000</v>
      </c>
      <c r="M2" s="37">
        <f t="shared" si="0"/>
        <v>2071000</v>
      </c>
      <c r="N2" s="37">
        <f t="shared" si="0"/>
        <v>3679000</v>
      </c>
      <c r="O2" s="37">
        <f t="shared" si="0"/>
        <v>2066000</v>
      </c>
      <c r="P2" s="37">
        <f t="shared" si="0"/>
        <v>76000</v>
      </c>
      <c r="Q2" s="37">
        <f t="shared" si="0"/>
        <v>65000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30000</v>
      </c>
      <c r="E8" s="37" t="s">
        <v>525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3000</v>
      </c>
      <c r="E9" s="37" t="s">
        <v>525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86000</v>
      </c>
      <c r="E13" s="37" t="s">
        <v>525</v>
      </c>
      <c r="F13" s="37">
        <f>ROUND($D13/12,0)</f>
        <v>7167</v>
      </c>
      <c r="G13" s="37">
        <f t="shared" si="1"/>
        <v>7167</v>
      </c>
      <c r="H13" s="37">
        <f t="shared" si="1"/>
        <v>7167</v>
      </c>
      <c r="I13" s="37">
        <f t="shared" si="1"/>
        <v>7167</v>
      </c>
      <c r="J13" s="37">
        <f t="shared" si="1"/>
        <v>7167</v>
      </c>
      <c r="K13" s="37">
        <f t="shared" si="1"/>
        <v>7167</v>
      </c>
      <c r="L13" s="37">
        <f t="shared" si="1"/>
        <v>7167</v>
      </c>
      <c r="M13" s="37">
        <f t="shared" si="1"/>
        <v>7167</v>
      </c>
      <c r="N13" s="37">
        <f t="shared" si="1"/>
        <v>7167</v>
      </c>
      <c r="O13" s="37">
        <f t="shared" si="1"/>
        <v>7167</v>
      </c>
      <c r="P13" s="37">
        <f t="shared" si="1"/>
        <v>7167</v>
      </c>
      <c r="Q13" s="37">
        <f>D13-SUM(F13:P13)</f>
        <v>7163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28000</v>
      </c>
      <c r="E15" s="37" t="s">
        <v>193</v>
      </c>
      <c r="F15" s="37">
        <f>ROUND($D15/2,-3)</f>
        <v>14000</v>
      </c>
      <c r="G15" s="37"/>
      <c r="H15" s="37"/>
      <c r="I15" s="37"/>
      <c r="J15" s="37"/>
      <c r="K15" s="37"/>
      <c r="L15" s="37">
        <f>D15-F15</f>
        <v>14000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78000</v>
      </c>
      <c r="E16" s="37" t="s">
        <v>525</v>
      </c>
      <c r="F16" s="37">
        <f>ROUND($D16/12,0)</f>
        <v>6500</v>
      </c>
      <c r="G16" s="37">
        <f t="shared" si="1"/>
        <v>6500</v>
      </c>
      <c r="H16" s="37">
        <f t="shared" si="1"/>
        <v>6500</v>
      </c>
      <c r="I16" s="37">
        <f t="shared" si="1"/>
        <v>6500</v>
      </c>
      <c r="J16" s="37">
        <f t="shared" si="1"/>
        <v>6500</v>
      </c>
      <c r="K16" s="37">
        <f t="shared" si="1"/>
        <v>6500</v>
      </c>
      <c r="L16" s="37">
        <f t="shared" si="1"/>
        <v>6500</v>
      </c>
      <c r="M16" s="37">
        <f t="shared" si="1"/>
        <v>6500</v>
      </c>
      <c r="N16" s="37">
        <f t="shared" si="1"/>
        <v>6500</v>
      </c>
      <c r="O16" s="37">
        <f t="shared" si="1"/>
        <v>6500</v>
      </c>
      <c r="P16" s="37">
        <f t="shared" si="1"/>
        <v>6500</v>
      </c>
      <c r="Q16" s="37">
        <f>D16-SUM(F16:P16)</f>
        <v>6500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3000</v>
      </c>
      <c r="E24" s="37" t="s">
        <v>193</v>
      </c>
      <c r="F24" s="37">
        <f>ROUND($D24/2,-3)</f>
        <v>2000</v>
      </c>
      <c r="G24" s="37"/>
      <c r="H24" s="37"/>
      <c r="I24" s="37"/>
      <c r="J24" s="37"/>
      <c r="K24" s="37"/>
      <c r="L24" s="37">
        <f>D24-F24</f>
        <v>1000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590000</v>
      </c>
      <c r="E25" s="108"/>
      <c r="F25" s="108">
        <f>ROUND(SUM(F3:F24),-3)</f>
        <v>63000</v>
      </c>
      <c r="G25" s="108">
        <f t="shared" ref="G25:P25" si="5">ROUND(SUM(G3:G24),-3)</f>
        <v>47000</v>
      </c>
      <c r="H25" s="108">
        <f t="shared" si="5"/>
        <v>47000</v>
      </c>
      <c r="I25" s="108">
        <f t="shared" si="5"/>
        <v>47000</v>
      </c>
      <c r="J25" s="108">
        <f t="shared" si="5"/>
        <v>47000</v>
      </c>
      <c r="K25" s="108">
        <f t="shared" si="5"/>
        <v>47000</v>
      </c>
      <c r="L25" s="108">
        <f t="shared" si="5"/>
        <v>62000</v>
      </c>
      <c r="M25" s="108">
        <f t="shared" si="5"/>
        <v>47000</v>
      </c>
      <c r="N25" s="108">
        <f t="shared" si="5"/>
        <v>47000</v>
      </c>
      <c r="O25" s="108">
        <f t="shared" si="5"/>
        <v>47000</v>
      </c>
      <c r="P25" s="108">
        <f t="shared" si="5"/>
        <v>47000</v>
      </c>
      <c r="Q25" s="108">
        <f t="shared" ref="Q25:Q33" si="6">D25-SUM(F25:P25)</f>
        <v>42000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14000</v>
      </c>
      <c r="E30" s="37" t="s">
        <v>525</v>
      </c>
      <c r="F30" s="37">
        <f t="shared" si="8"/>
        <v>1167</v>
      </c>
      <c r="G30" s="37">
        <f t="shared" si="8"/>
        <v>1167</v>
      </c>
      <c r="H30" s="37">
        <f t="shared" si="8"/>
        <v>1167</v>
      </c>
      <c r="I30" s="37">
        <f t="shared" si="8"/>
        <v>1167</v>
      </c>
      <c r="J30" s="37">
        <f t="shared" si="8"/>
        <v>1167</v>
      </c>
      <c r="K30" s="37">
        <f t="shared" si="8"/>
        <v>1167</v>
      </c>
      <c r="L30" s="37">
        <f t="shared" si="8"/>
        <v>1167</v>
      </c>
      <c r="M30" s="37">
        <f t="shared" si="8"/>
        <v>1167</v>
      </c>
      <c r="N30" s="37">
        <f t="shared" si="8"/>
        <v>1167</v>
      </c>
      <c r="O30" s="37">
        <f t="shared" si="8"/>
        <v>1167</v>
      </c>
      <c r="P30" s="37">
        <f t="shared" si="8"/>
        <v>1167</v>
      </c>
      <c r="Q30" s="37">
        <f t="shared" si="6"/>
        <v>1163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7000</v>
      </c>
      <c r="E31" s="37" t="s">
        <v>525</v>
      </c>
      <c r="F31" s="37">
        <f t="shared" si="8"/>
        <v>583</v>
      </c>
      <c r="G31" s="37">
        <f t="shared" si="8"/>
        <v>583</v>
      </c>
      <c r="H31" s="37">
        <f t="shared" si="8"/>
        <v>583</v>
      </c>
      <c r="I31" s="37">
        <f t="shared" si="8"/>
        <v>583</v>
      </c>
      <c r="J31" s="37">
        <f t="shared" si="8"/>
        <v>583</v>
      </c>
      <c r="K31" s="37">
        <f t="shared" si="8"/>
        <v>583</v>
      </c>
      <c r="L31" s="37">
        <f t="shared" si="8"/>
        <v>583</v>
      </c>
      <c r="M31" s="37">
        <f t="shared" si="8"/>
        <v>583</v>
      </c>
      <c r="N31" s="37">
        <f t="shared" si="8"/>
        <v>583</v>
      </c>
      <c r="O31" s="37">
        <f t="shared" si="8"/>
        <v>583</v>
      </c>
      <c r="P31" s="37">
        <f t="shared" si="8"/>
        <v>583</v>
      </c>
      <c r="Q31" s="37">
        <f t="shared" si="6"/>
        <v>587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287000</v>
      </c>
      <c r="E37" s="108"/>
      <c r="F37" s="108">
        <f t="shared" ref="F37:P37" si="9">ROUND(SUM(F26:F36),-3)</f>
        <v>24000</v>
      </c>
      <c r="G37" s="108">
        <f t="shared" si="9"/>
        <v>24000</v>
      </c>
      <c r="H37" s="108">
        <f t="shared" si="9"/>
        <v>24000</v>
      </c>
      <c r="I37" s="108">
        <f t="shared" si="9"/>
        <v>24000</v>
      </c>
      <c r="J37" s="108">
        <f t="shared" si="9"/>
        <v>24000</v>
      </c>
      <c r="K37" s="108">
        <f t="shared" si="9"/>
        <v>24000</v>
      </c>
      <c r="L37" s="108">
        <f t="shared" si="9"/>
        <v>24000</v>
      </c>
      <c r="M37" s="108">
        <f t="shared" si="9"/>
        <v>24000</v>
      </c>
      <c r="N37" s="108">
        <f t="shared" si="9"/>
        <v>24000</v>
      </c>
      <c r="O37" s="108">
        <f t="shared" si="9"/>
        <v>24000</v>
      </c>
      <c r="P37" s="108">
        <f t="shared" si="9"/>
        <v>24000</v>
      </c>
      <c r="Q37" s="108">
        <f>D37-SUM(F37:P37)</f>
        <v>23000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24000</v>
      </c>
      <c r="E46" s="37" t="s">
        <v>194</v>
      </c>
      <c r="F46" s="37">
        <f>ROUND($D46/3,0)</f>
        <v>8000</v>
      </c>
      <c r="G46" s="37"/>
      <c r="H46" s="37"/>
      <c r="I46" s="37"/>
      <c r="J46" s="37"/>
      <c r="K46" s="37">
        <f>ROUND($D46/3,0)</f>
        <v>8000</v>
      </c>
      <c r="L46" s="37"/>
      <c r="M46" s="37"/>
      <c r="N46" s="37">
        <f>ROUND($D46/3,0)</f>
        <v>8000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24000</v>
      </c>
      <c r="E47" s="108"/>
      <c r="F47" s="108">
        <f t="shared" ref="F47:P47" si="13">ROUND(SUM(F46),-3)</f>
        <v>8000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8000</v>
      </c>
      <c r="L47" s="108">
        <f t="shared" si="13"/>
        <v>0</v>
      </c>
      <c r="M47" s="108">
        <f t="shared" si="13"/>
        <v>0</v>
      </c>
      <c r="N47" s="108">
        <f t="shared" si="13"/>
        <v>8000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901000</v>
      </c>
      <c r="E48" s="37"/>
      <c r="F48" s="115">
        <f>F25+F37+F45+F47</f>
        <v>95000</v>
      </c>
      <c r="G48" s="115">
        <f t="shared" ref="G48:R48" si="14">G25+G37+G45+G47</f>
        <v>71000</v>
      </c>
      <c r="H48" s="115">
        <f t="shared" si="14"/>
        <v>71000</v>
      </c>
      <c r="I48" s="115">
        <f t="shared" si="14"/>
        <v>71000</v>
      </c>
      <c r="J48" s="115">
        <f t="shared" si="14"/>
        <v>71000</v>
      </c>
      <c r="K48" s="115">
        <f t="shared" si="14"/>
        <v>79000</v>
      </c>
      <c r="L48" s="115">
        <f t="shared" si="14"/>
        <v>86000</v>
      </c>
      <c r="M48" s="115">
        <f t="shared" si="14"/>
        <v>71000</v>
      </c>
      <c r="N48" s="115">
        <f t="shared" si="14"/>
        <v>79000</v>
      </c>
      <c r="O48" s="115">
        <f t="shared" si="14"/>
        <v>71000</v>
      </c>
      <c r="P48" s="115">
        <f t="shared" si="14"/>
        <v>71000</v>
      </c>
      <c r="Q48" s="115">
        <f t="shared" si="14"/>
        <v>65000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13622000</v>
      </c>
      <c r="E49" s="114" t="s">
        <v>202</v>
      </c>
      <c r="F49" s="37">
        <f>ROUND($D49/12*3,-3)</f>
        <v>3406000</v>
      </c>
      <c r="G49" s="37">
        <f>ROUND($D49/12,-3)</f>
        <v>1135000</v>
      </c>
      <c r="H49" s="37">
        <f t="shared" ref="H49:N53" si="15">ROUND($D49/12,-3)</f>
        <v>1135000</v>
      </c>
      <c r="I49" s="37">
        <f t="shared" si="15"/>
        <v>1135000</v>
      </c>
      <c r="J49" s="37">
        <f t="shared" si="15"/>
        <v>1135000</v>
      </c>
      <c r="K49" s="37">
        <f t="shared" si="15"/>
        <v>1135000</v>
      </c>
      <c r="L49" s="37">
        <f t="shared" si="15"/>
        <v>1135000</v>
      </c>
      <c r="M49" s="37">
        <f t="shared" si="15"/>
        <v>1135000</v>
      </c>
      <c r="N49" s="37">
        <f t="shared" si="15"/>
        <v>1135000</v>
      </c>
      <c r="O49" s="37">
        <f>D49-SUM(F49:N49)</f>
        <v>1136000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1412000</v>
      </c>
      <c r="E51" s="114" t="s">
        <v>202</v>
      </c>
      <c r="F51" s="37">
        <f t="shared" si="16"/>
        <v>353000</v>
      </c>
      <c r="G51" s="37">
        <f t="shared" si="17"/>
        <v>118000</v>
      </c>
      <c r="H51" s="37">
        <f t="shared" si="15"/>
        <v>118000</v>
      </c>
      <c r="I51" s="37">
        <f t="shared" si="15"/>
        <v>118000</v>
      </c>
      <c r="J51" s="37">
        <f t="shared" si="15"/>
        <v>118000</v>
      </c>
      <c r="K51" s="37">
        <f t="shared" si="15"/>
        <v>118000</v>
      </c>
      <c r="L51" s="37">
        <f t="shared" si="15"/>
        <v>118000</v>
      </c>
      <c r="M51" s="37">
        <f t="shared" si="15"/>
        <v>118000</v>
      </c>
      <c r="N51" s="37">
        <f t="shared" si="15"/>
        <v>118000</v>
      </c>
      <c r="O51" s="37">
        <f t="shared" si="18"/>
        <v>115000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438000</v>
      </c>
      <c r="E60" s="37" t="s">
        <v>195</v>
      </c>
      <c r="F60" s="37">
        <f>D60</f>
        <v>438000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1843000</v>
      </c>
      <c r="E62" s="37" t="s">
        <v>197</v>
      </c>
      <c r="F62" s="37"/>
      <c r="G62" s="37"/>
      <c r="H62" s="37"/>
      <c r="I62" s="37">
        <f>ROUND($D62/5,-3)</f>
        <v>369000</v>
      </c>
      <c r="J62" s="37"/>
      <c r="K62" s="37"/>
      <c r="L62" s="37"/>
      <c r="M62" s="37"/>
      <c r="N62" s="37">
        <f>D62-I62</f>
        <v>1474000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1661000</v>
      </c>
      <c r="E63" s="37" t="s">
        <v>195</v>
      </c>
      <c r="F63" s="37">
        <f>D63</f>
        <v>1661000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1519000</v>
      </c>
      <c r="E64" s="114" t="s">
        <v>202</v>
      </c>
      <c r="F64" s="37">
        <f>ROUND($D64/12*3,-3)</f>
        <v>380000</v>
      </c>
      <c r="G64" s="37">
        <f>ROUND($D64/12,-3)</f>
        <v>127000</v>
      </c>
      <c r="H64" s="37">
        <f t="shared" ref="H64:N66" si="21">ROUND($D64/12,-3)</f>
        <v>127000</v>
      </c>
      <c r="I64" s="37">
        <f t="shared" si="21"/>
        <v>127000</v>
      </c>
      <c r="J64" s="37">
        <f t="shared" si="21"/>
        <v>127000</v>
      </c>
      <c r="K64" s="37">
        <f t="shared" si="21"/>
        <v>127000</v>
      </c>
      <c r="L64" s="37">
        <f t="shared" si="21"/>
        <v>127000</v>
      </c>
      <c r="M64" s="37">
        <f t="shared" si="21"/>
        <v>127000</v>
      </c>
      <c r="N64" s="37">
        <f t="shared" si="21"/>
        <v>127000</v>
      </c>
      <c r="O64" s="37">
        <f>D64-SUM(F64:N64)</f>
        <v>123000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385000</v>
      </c>
      <c r="E65" s="114" t="s">
        <v>202</v>
      </c>
      <c r="F65" s="37">
        <f t="shared" ref="F65:F66" si="22">ROUND($D65/12*3,-3)</f>
        <v>96000</v>
      </c>
      <c r="G65" s="37">
        <f t="shared" ref="G65:G66" si="23">ROUND($D65/12,-3)</f>
        <v>32000</v>
      </c>
      <c r="H65" s="37">
        <f t="shared" si="21"/>
        <v>32000</v>
      </c>
      <c r="I65" s="37">
        <f t="shared" si="21"/>
        <v>32000</v>
      </c>
      <c r="J65" s="37">
        <f t="shared" si="21"/>
        <v>32000</v>
      </c>
      <c r="K65" s="37">
        <f t="shared" si="21"/>
        <v>32000</v>
      </c>
      <c r="L65" s="37">
        <f t="shared" si="21"/>
        <v>32000</v>
      </c>
      <c r="M65" s="37">
        <f t="shared" si="21"/>
        <v>32000</v>
      </c>
      <c r="N65" s="37">
        <f t="shared" si="21"/>
        <v>32000</v>
      </c>
      <c r="O65" s="37">
        <f t="shared" ref="O65:O66" si="24">D65-SUM(F65:N65)</f>
        <v>33000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845000</v>
      </c>
      <c r="E66" s="114" t="s">
        <v>202</v>
      </c>
      <c r="F66" s="37">
        <f t="shared" si="22"/>
        <v>211000</v>
      </c>
      <c r="G66" s="37">
        <f t="shared" si="23"/>
        <v>70000</v>
      </c>
      <c r="H66" s="37">
        <f t="shared" si="21"/>
        <v>70000</v>
      </c>
      <c r="I66" s="37">
        <f t="shared" si="21"/>
        <v>70000</v>
      </c>
      <c r="J66" s="37">
        <f t="shared" si="21"/>
        <v>70000</v>
      </c>
      <c r="K66" s="37">
        <f t="shared" si="21"/>
        <v>70000</v>
      </c>
      <c r="L66" s="37">
        <f t="shared" si="21"/>
        <v>70000</v>
      </c>
      <c r="M66" s="37">
        <f t="shared" si="21"/>
        <v>70000</v>
      </c>
      <c r="N66" s="37">
        <f t="shared" si="21"/>
        <v>70000</v>
      </c>
      <c r="O66" s="37">
        <f t="shared" si="24"/>
        <v>74000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31000</v>
      </c>
      <c r="E67" s="37" t="s">
        <v>196</v>
      </c>
      <c r="F67" s="37"/>
      <c r="G67" s="37"/>
      <c r="H67" s="37">
        <f>D67</f>
        <v>31000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128000</v>
      </c>
      <c r="E68" s="37" t="s">
        <v>195</v>
      </c>
      <c r="F68" s="37">
        <f>D68</f>
        <v>128000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22204000</v>
      </c>
      <c r="E70" s="108"/>
      <c r="F70" s="108">
        <f t="shared" ref="F70:P70" si="25">ROUND(SUM(F49:F69),-3)</f>
        <v>6744000</v>
      </c>
      <c r="G70" s="108">
        <f t="shared" si="25"/>
        <v>1509000</v>
      </c>
      <c r="H70" s="108">
        <f t="shared" si="25"/>
        <v>1540000</v>
      </c>
      <c r="I70" s="108">
        <f t="shared" si="25"/>
        <v>1878000</v>
      </c>
      <c r="J70" s="108">
        <f t="shared" si="25"/>
        <v>1509000</v>
      </c>
      <c r="K70" s="108">
        <f t="shared" si="25"/>
        <v>1509000</v>
      </c>
      <c r="L70" s="108">
        <f t="shared" si="25"/>
        <v>1509000</v>
      </c>
      <c r="M70" s="108">
        <f t="shared" si="25"/>
        <v>1509000</v>
      </c>
      <c r="N70" s="108">
        <f t="shared" si="25"/>
        <v>2983000</v>
      </c>
      <c r="O70" s="108">
        <f t="shared" si="25"/>
        <v>1509000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32000</v>
      </c>
      <c r="E71" s="37" t="s">
        <v>195</v>
      </c>
      <c r="F71" s="37">
        <f>D71</f>
        <v>32000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5299000</v>
      </c>
      <c r="E72" s="114" t="s">
        <v>202</v>
      </c>
      <c r="F72" s="37">
        <f>ROUND($D72/12*3,-3)</f>
        <v>1325000</v>
      </c>
      <c r="G72" s="37">
        <f>ROUND($D72/12,-3)</f>
        <v>442000</v>
      </c>
      <c r="H72" s="37">
        <f t="shared" ref="H72:N75" si="26">ROUND($D72/12,-3)</f>
        <v>442000</v>
      </c>
      <c r="I72" s="37">
        <f t="shared" si="26"/>
        <v>442000</v>
      </c>
      <c r="J72" s="37">
        <f t="shared" si="26"/>
        <v>442000</v>
      </c>
      <c r="K72" s="37">
        <f t="shared" si="26"/>
        <v>442000</v>
      </c>
      <c r="L72" s="37">
        <f t="shared" si="26"/>
        <v>442000</v>
      </c>
      <c r="M72" s="37">
        <f t="shared" si="26"/>
        <v>442000</v>
      </c>
      <c r="N72" s="37">
        <f t="shared" si="26"/>
        <v>442000</v>
      </c>
      <c r="O72" s="37">
        <f>D72-SUM(F72:N72)</f>
        <v>438000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136000</v>
      </c>
      <c r="E74" s="114" t="s">
        <v>202</v>
      </c>
      <c r="F74" s="37">
        <f>ROUND($D74/12*3,-3)</f>
        <v>34000</v>
      </c>
      <c r="G74" s="37">
        <f>ROUND($D74/12,-3)</f>
        <v>11000</v>
      </c>
      <c r="H74" s="37">
        <f t="shared" si="26"/>
        <v>11000</v>
      </c>
      <c r="I74" s="37">
        <f t="shared" si="26"/>
        <v>11000</v>
      </c>
      <c r="J74" s="37">
        <f t="shared" si="26"/>
        <v>11000</v>
      </c>
      <c r="K74" s="37">
        <f t="shared" si="26"/>
        <v>11000</v>
      </c>
      <c r="L74" s="37">
        <f t="shared" si="26"/>
        <v>11000</v>
      </c>
      <c r="M74" s="37">
        <f t="shared" si="26"/>
        <v>11000</v>
      </c>
      <c r="N74" s="37">
        <f t="shared" si="26"/>
        <v>11000</v>
      </c>
      <c r="O74" s="37">
        <f>D74-SUM(F74:N74)</f>
        <v>14000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451000</v>
      </c>
      <c r="E75" s="114" t="s">
        <v>202</v>
      </c>
      <c r="F75" s="37">
        <f>ROUND($D75/12*3,-3)</f>
        <v>113000</v>
      </c>
      <c r="G75" s="37">
        <f>ROUND($D75/12,-3)</f>
        <v>38000</v>
      </c>
      <c r="H75" s="37">
        <f t="shared" si="26"/>
        <v>38000</v>
      </c>
      <c r="I75" s="37">
        <f t="shared" si="26"/>
        <v>38000</v>
      </c>
      <c r="J75" s="37">
        <f t="shared" si="26"/>
        <v>38000</v>
      </c>
      <c r="K75" s="37">
        <f t="shared" si="26"/>
        <v>38000</v>
      </c>
      <c r="L75" s="37">
        <f t="shared" si="26"/>
        <v>38000</v>
      </c>
      <c r="M75" s="37">
        <f t="shared" si="26"/>
        <v>38000</v>
      </c>
      <c r="N75" s="37">
        <f t="shared" si="26"/>
        <v>38000</v>
      </c>
      <c r="O75" s="37">
        <f>D75-SUM(F75:N75)</f>
        <v>34000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5918000</v>
      </c>
      <c r="E76" s="108"/>
      <c r="F76" s="108">
        <f>ROUND(SUM(F71:F75),-3)</f>
        <v>1504000</v>
      </c>
      <c r="G76" s="108">
        <f t="shared" ref="G76:N76" si="27">ROUND(SUM(G71:G75),-3)</f>
        <v>491000</v>
      </c>
      <c r="H76" s="108">
        <f t="shared" si="27"/>
        <v>491000</v>
      </c>
      <c r="I76" s="108">
        <f t="shared" si="27"/>
        <v>491000</v>
      </c>
      <c r="J76" s="108">
        <f t="shared" si="27"/>
        <v>491000</v>
      </c>
      <c r="K76" s="108">
        <f t="shared" si="27"/>
        <v>491000</v>
      </c>
      <c r="L76" s="108">
        <f t="shared" si="27"/>
        <v>491000</v>
      </c>
      <c r="M76" s="108">
        <f t="shared" si="27"/>
        <v>491000</v>
      </c>
      <c r="N76" s="108">
        <f t="shared" si="27"/>
        <v>491000</v>
      </c>
      <c r="O76" s="108">
        <f>D76-SUM(F76:N76)</f>
        <v>486000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253000</v>
      </c>
      <c r="E77" s="37" t="s">
        <v>681</v>
      </c>
      <c r="F77" s="224"/>
      <c r="G77" s="224"/>
      <c r="H77" s="224">
        <f>ROUND($D77/2,-3)</f>
        <v>127000</v>
      </c>
      <c r="I77" s="224"/>
      <c r="J77" s="224"/>
      <c r="K77" s="224"/>
      <c r="L77" s="224"/>
      <c r="M77" s="224"/>
      <c r="N77" s="224">
        <f>D77-H77</f>
        <v>126000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28375000</v>
      </c>
      <c r="E78" s="227"/>
      <c r="F78" s="227">
        <f>F76+F70+F77</f>
        <v>8248000</v>
      </c>
      <c r="G78" s="227">
        <f t="shared" ref="G78:Q78" si="29">G76+G70+G77</f>
        <v>2000000</v>
      </c>
      <c r="H78" s="227">
        <f t="shared" si="29"/>
        <v>2158000</v>
      </c>
      <c r="I78" s="227">
        <f t="shared" si="29"/>
        <v>2369000</v>
      </c>
      <c r="J78" s="227">
        <f t="shared" si="29"/>
        <v>2000000</v>
      </c>
      <c r="K78" s="227">
        <f t="shared" si="29"/>
        <v>2000000</v>
      </c>
      <c r="L78" s="227">
        <f t="shared" si="29"/>
        <v>2000000</v>
      </c>
      <c r="M78" s="227">
        <f t="shared" si="29"/>
        <v>2000000</v>
      </c>
      <c r="N78" s="227">
        <f t="shared" si="29"/>
        <v>3600000</v>
      </c>
      <c r="O78" s="227">
        <f t="shared" si="29"/>
        <v>1995000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29276000</v>
      </c>
      <c r="E87" s="37"/>
      <c r="F87" s="37">
        <f>F88+F89+F90+F91</f>
        <v>8343000</v>
      </c>
      <c r="G87" s="37">
        <f t="shared" ref="G87:Q87" si="32">G88+G89+G90+G91</f>
        <v>2071000</v>
      </c>
      <c r="H87" s="37">
        <f t="shared" si="32"/>
        <v>2229000</v>
      </c>
      <c r="I87" s="37">
        <f t="shared" si="32"/>
        <v>2440000</v>
      </c>
      <c r="J87" s="37">
        <f t="shared" si="32"/>
        <v>2071000</v>
      </c>
      <c r="K87" s="37">
        <f t="shared" si="32"/>
        <v>2079000</v>
      </c>
      <c r="L87" s="37">
        <f t="shared" si="32"/>
        <v>2086000</v>
      </c>
      <c r="M87" s="37">
        <f t="shared" si="32"/>
        <v>2071000</v>
      </c>
      <c r="N87" s="37">
        <f t="shared" si="32"/>
        <v>3679000</v>
      </c>
      <c r="O87" s="37">
        <f t="shared" si="32"/>
        <v>2066000</v>
      </c>
      <c r="P87" s="37">
        <f t="shared" si="32"/>
        <v>76000</v>
      </c>
      <c r="Q87" s="37">
        <f t="shared" si="32"/>
        <v>65000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3000</v>
      </c>
      <c r="E88" s="108" t="s">
        <v>193</v>
      </c>
      <c r="F88" s="108">
        <f>ROUND($D88/2,-3)</f>
        <v>2000</v>
      </c>
      <c r="G88" s="108"/>
      <c r="H88" s="108"/>
      <c r="I88" s="108"/>
      <c r="J88" s="108"/>
      <c r="K88" s="108"/>
      <c r="L88" s="108">
        <f>D88-F88</f>
        <v>1000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3000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1000</v>
      </c>
      <c r="M90" s="108"/>
      <c r="N90" s="108"/>
      <c r="O90" s="108"/>
      <c r="P90" s="108"/>
      <c r="Q90" s="108">
        <f>ROUND($D90/2,-3)</f>
        <v>2000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29270000</v>
      </c>
      <c r="E91" s="108"/>
      <c r="F91" s="108">
        <f>F92+F93+F94+F95</f>
        <v>8341000</v>
      </c>
      <c r="G91" s="108">
        <f t="shared" ref="G91:Q91" si="34">G92+G93+G94+G95</f>
        <v>2071000</v>
      </c>
      <c r="H91" s="108">
        <f t="shared" si="34"/>
        <v>2229000</v>
      </c>
      <c r="I91" s="108">
        <f t="shared" si="34"/>
        <v>2440000</v>
      </c>
      <c r="J91" s="108">
        <f t="shared" si="34"/>
        <v>2071000</v>
      </c>
      <c r="K91" s="108">
        <f t="shared" si="34"/>
        <v>2079000</v>
      </c>
      <c r="L91" s="108">
        <f t="shared" si="34"/>
        <v>2084000</v>
      </c>
      <c r="M91" s="108">
        <f t="shared" si="34"/>
        <v>2071000</v>
      </c>
      <c r="N91" s="108">
        <f t="shared" si="34"/>
        <v>3679000</v>
      </c>
      <c r="O91" s="108">
        <f t="shared" si="34"/>
        <v>2066000</v>
      </c>
      <c r="P91" s="108">
        <f t="shared" si="34"/>
        <v>76000</v>
      </c>
      <c r="Q91" s="108">
        <f t="shared" si="34"/>
        <v>63000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1015000</v>
      </c>
      <c r="E92" s="114" t="s">
        <v>537</v>
      </c>
      <c r="F92" s="37">
        <f>ROUND($D92/12*5,-3)</f>
        <v>423000</v>
      </c>
      <c r="G92" s="37">
        <f>ROUND($D92/12,-3)</f>
        <v>85000</v>
      </c>
      <c r="H92" s="37">
        <f t="shared" ref="H92:L92" si="35">ROUND($D92/12,-3)</f>
        <v>85000</v>
      </c>
      <c r="I92" s="37">
        <f t="shared" si="35"/>
        <v>85000</v>
      </c>
      <c r="J92" s="37">
        <f t="shared" si="35"/>
        <v>85000</v>
      </c>
      <c r="K92" s="37">
        <f t="shared" si="35"/>
        <v>85000</v>
      </c>
      <c r="L92" s="37">
        <f t="shared" si="35"/>
        <v>85000</v>
      </c>
      <c r="M92" s="37">
        <f>D92-SUM(F92:L92)</f>
        <v>82000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0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350000</v>
      </c>
      <c r="E94" s="110" t="s">
        <v>229</v>
      </c>
      <c r="F94" s="37"/>
      <c r="G94" s="37"/>
      <c r="H94" s="37">
        <f>ROUND($D94/2,-3)</f>
        <v>175000</v>
      </c>
      <c r="I94" s="37"/>
      <c r="J94" s="37"/>
      <c r="K94" s="37"/>
      <c r="L94" s="37"/>
      <c r="M94" s="37"/>
      <c r="N94" s="37"/>
      <c r="O94" s="37">
        <f>D94-H94</f>
        <v>175000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27815000</v>
      </c>
      <c r="E95" s="37"/>
      <c r="F95" s="37">
        <f>F2+F86-F88-F89-F90-F92-F93-F94</f>
        <v>7910000</v>
      </c>
      <c r="G95" s="37">
        <f t="shared" ref="G95:Q95" si="37">G2-G88-G89-G90-G92-G93-G94</f>
        <v>1978000</v>
      </c>
      <c r="H95" s="37">
        <f t="shared" si="37"/>
        <v>1961000</v>
      </c>
      <c r="I95" s="37">
        <f t="shared" si="37"/>
        <v>2347000</v>
      </c>
      <c r="J95" s="37">
        <f t="shared" si="37"/>
        <v>1978000</v>
      </c>
      <c r="K95" s="37">
        <f t="shared" si="37"/>
        <v>1986000</v>
      </c>
      <c r="L95" s="37">
        <f t="shared" si="37"/>
        <v>1991000</v>
      </c>
      <c r="M95" s="37">
        <f t="shared" si="37"/>
        <v>1981000</v>
      </c>
      <c r="N95" s="37">
        <f t="shared" si="37"/>
        <v>3671000</v>
      </c>
      <c r="O95" s="37">
        <f t="shared" si="37"/>
        <v>1883000</v>
      </c>
      <c r="P95" s="37">
        <f t="shared" si="37"/>
        <v>68000</v>
      </c>
      <c r="Q95" s="37">
        <f t="shared" si="37"/>
        <v>61000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0</v>
      </c>
    </row>
    <row r="99" spans="2:17" ht="32.4">
      <c r="B99" s="72" t="s">
        <v>235</v>
      </c>
      <c r="D99" s="30">
        <f>HLOOKUP(D1,縣庫撥款收入明細表!H:DD,5,FALSE)</f>
        <v>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1015000</v>
      </c>
    </row>
    <row r="102" spans="2:17" ht="32.4">
      <c r="B102" s="71" t="s">
        <v>238</v>
      </c>
      <c r="D102" s="30">
        <f>HLOOKUP(D1,縣庫撥款收入明細表!H:DD,16,FALSE)</f>
        <v>84000</v>
      </c>
    </row>
    <row r="103" spans="2:17" ht="32.4">
      <c r="B103" s="72" t="s">
        <v>239</v>
      </c>
      <c r="D103" s="30">
        <f>HLOOKUP(D1,縣庫撥款收入明細表!H:DD,17,FALSE)</f>
        <v>0</v>
      </c>
    </row>
    <row r="104" spans="2:17" ht="32.4">
      <c r="B104" s="76" t="s">
        <v>240</v>
      </c>
      <c r="D104" s="30">
        <f>HLOOKUP(D1,縣庫撥款收入明細表!H:DD,18,FALSE)</f>
        <v>350000</v>
      </c>
    </row>
    <row r="105" spans="2:17" ht="32.4">
      <c r="B105" s="72" t="s">
        <v>380</v>
      </c>
      <c r="D105" s="30">
        <f>HLOOKUP(D1,縣庫撥款收入明細表!H:DD,19,FALSE)</f>
        <v>0</v>
      </c>
    </row>
    <row r="106" spans="2:17" ht="32.4">
      <c r="B106" s="71" t="s">
        <v>241</v>
      </c>
      <c r="D106" s="30">
        <f>HLOOKUP(D1,縣庫撥款收入明細表!H:DD,20,FALSE)</f>
        <v>6000</v>
      </c>
    </row>
    <row r="107" spans="2:17" ht="32.4">
      <c r="B107" s="77" t="s">
        <v>242</v>
      </c>
      <c r="D107" s="30">
        <f>HLOOKUP(D1,縣庫撥款收入明細表!H:DD,21,FALSE)</f>
        <v>27815000</v>
      </c>
    </row>
    <row r="108" spans="2:17" ht="16.5" customHeight="1"/>
    <row r="109" spans="2:17" ht="16.5" customHeight="1">
      <c r="B109" s="4" t="s">
        <v>682</v>
      </c>
      <c r="D109" s="30">
        <f>D91-D76</f>
        <v>23352000</v>
      </c>
      <c r="F109" s="30">
        <f>F91-F76</f>
        <v>6837000</v>
      </c>
      <c r="G109" s="30">
        <f t="shared" ref="G109:Q109" si="38">G91-G76</f>
        <v>1580000</v>
      </c>
      <c r="H109" s="30">
        <f t="shared" si="38"/>
        <v>1738000</v>
      </c>
      <c r="I109" s="30">
        <f t="shared" si="38"/>
        <v>1949000</v>
      </c>
      <c r="J109" s="30">
        <f t="shared" si="38"/>
        <v>1580000</v>
      </c>
      <c r="K109" s="30">
        <f t="shared" si="38"/>
        <v>1588000</v>
      </c>
      <c r="L109" s="30">
        <f t="shared" si="38"/>
        <v>1593000</v>
      </c>
      <c r="M109" s="30">
        <f t="shared" si="38"/>
        <v>1580000</v>
      </c>
      <c r="N109" s="30">
        <f t="shared" si="38"/>
        <v>3188000</v>
      </c>
      <c r="O109" s="30">
        <f t="shared" si="38"/>
        <v>1580000</v>
      </c>
      <c r="P109" s="30">
        <f t="shared" si="38"/>
        <v>76000</v>
      </c>
      <c r="Q109" s="30">
        <f t="shared" si="38"/>
        <v>63000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8:C78"/>
    <mergeCell ref="A79:A83"/>
    <mergeCell ref="A1:B1"/>
    <mergeCell ref="A2:B2"/>
    <mergeCell ref="A3:A48"/>
    <mergeCell ref="A49:A70"/>
    <mergeCell ref="A71:A76"/>
  </mergeCells>
  <phoneticPr fontId="3" type="noConversion"/>
  <conditionalFormatting sqref="F95:Q95">
    <cfRule type="cellIs" dxfId="192" priority="1" operator="lessThan">
      <formula>0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607</v>
      </c>
      <c r="D1" s="240" t="str">
        <f>VLOOKUP(C1,學校編號!A:B,2,FALSE)</f>
        <v>607復興國小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37189000</v>
      </c>
      <c r="E2" s="37"/>
      <c r="F2" s="37">
        <f>F48+F70+F76+F77+F83</f>
        <v>10470000</v>
      </c>
      <c r="G2" s="37">
        <f t="shared" ref="G2:Q2" si="0">G48+G70+G76+G77+G83</f>
        <v>2663000</v>
      </c>
      <c r="H2" s="37">
        <f t="shared" si="0"/>
        <v>2908000</v>
      </c>
      <c r="I2" s="37">
        <f t="shared" si="0"/>
        <v>3077000</v>
      </c>
      <c r="J2" s="37">
        <f t="shared" si="0"/>
        <v>2663000</v>
      </c>
      <c r="K2" s="37">
        <f t="shared" si="0"/>
        <v>2669000</v>
      </c>
      <c r="L2" s="37">
        <f t="shared" si="0"/>
        <v>2734000</v>
      </c>
      <c r="M2" s="37">
        <f t="shared" si="0"/>
        <v>2663000</v>
      </c>
      <c r="N2" s="37">
        <f t="shared" si="0"/>
        <v>4537000</v>
      </c>
      <c r="O2" s="37">
        <f t="shared" si="0"/>
        <v>2674000</v>
      </c>
      <c r="P2" s="37">
        <f t="shared" si="0"/>
        <v>72000</v>
      </c>
      <c r="Q2" s="37">
        <f t="shared" si="0"/>
        <v>59000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30000</v>
      </c>
      <c r="E8" s="37" t="s">
        <v>525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3000</v>
      </c>
      <c r="E9" s="37" t="s">
        <v>525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101000</v>
      </c>
      <c r="E13" s="37" t="s">
        <v>525</v>
      </c>
      <c r="F13" s="37">
        <f>ROUND($D13/12,0)</f>
        <v>8417</v>
      </c>
      <c r="G13" s="37">
        <f t="shared" si="1"/>
        <v>8417</v>
      </c>
      <c r="H13" s="37">
        <f t="shared" si="1"/>
        <v>8417</v>
      </c>
      <c r="I13" s="37">
        <f t="shared" si="1"/>
        <v>8417</v>
      </c>
      <c r="J13" s="37">
        <f t="shared" si="1"/>
        <v>8417</v>
      </c>
      <c r="K13" s="37">
        <f t="shared" si="1"/>
        <v>8417</v>
      </c>
      <c r="L13" s="37">
        <f t="shared" si="1"/>
        <v>8417</v>
      </c>
      <c r="M13" s="37">
        <f t="shared" si="1"/>
        <v>8417</v>
      </c>
      <c r="N13" s="37">
        <f t="shared" si="1"/>
        <v>8417</v>
      </c>
      <c r="O13" s="37">
        <f t="shared" si="1"/>
        <v>8417</v>
      </c>
      <c r="P13" s="37">
        <f t="shared" si="1"/>
        <v>8417</v>
      </c>
      <c r="Q13" s="37">
        <f>D13-SUM(F13:P13)</f>
        <v>8413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32000</v>
      </c>
      <c r="E15" s="37" t="s">
        <v>193</v>
      </c>
      <c r="F15" s="37">
        <f>ROUND($D15/2,-3)</f>
        <v>16000</v>
      </c>
      <c r="G15" s="37"/>
      <c r="H15" s="37"/>
      <c r="I15" s="37"/>
      <c r="J15" s="37"/>
      <c r="K15" s="37"/>
      <c r="L15" s="37">
        <f>D15-F15</f>
        <v>16000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63000</v>
      </c>
      <c r="E16" s="37" t="s">
        <v>525</v>
      </c>
      <c r="F16" s="37">
        <f>ROUND($D16/12,0)</f>
        <v>5250</v>
      </c>
      <c r="G16" s="37">
        <f t="shared" si="1"/>
        <v>5250</v>
      </c>
      <c r="H16" s="37">
        <f t="shared" si="1"/>
        <v>5250</v>
      </c>
      <c r="I16" s="37">
        <f t="shared" si="1"/>
        <v>5250</v>
      </c>
      <c r="J16" s="37">
        <f t="shared" si="1"/>
        <v>5250</v>
      </c>
      <c r="K16" s="37">
        <f t="shared" si="1"/>
        <v>5250</v>
      </c>
      <c r="L16" s="37">
        <f t="shared" si="1"/>
        <v>5250</v>
      </c>
      <c r="M16" s="37">
        <f t="shared" si="1"/>
        <v>5250</v>
      </c>
      <c r="N16" s="37">
        <f t="shared" si="1"/>
        <v>5250</v>
      </c>
      <c r="O16" s="37">
        <f t="shared" si="1"/>
        <v>5250</v>
      </c>
      <c r="P16" s="37">
        <f t="shared" si="1"/>
        <v>5250</v>
      </c>
      <c r="Q16" s="37">
        <f>D16-SUM(F16:P16)</f>
        <v>5250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531000</v>
      </c>
      <c r="E25" s="108"/>
      <c r="F25" s="108">
        <f>ROUND(SUM(F3:F24),-3)</f>
        <v>58000</v>
      </c>
      <c r="G25" s="108">
        <f t="shared" ref="G25:P25" si="5">ROUND(SUM(G3:G24),-3)</f>
        <v>42000</v>
      </c>
      <c r="H25" s="108">
        <f t="shared" si="5"/>
        <v>42000</v>
      </c>
      <c r="I25" s="108">
        <f t="shared" si="5"/>
        <v>42000</v>
      </c>
      <c r="J25" s="108">
        <f t="shared" si="5"/>
        <v>42000</v>
      </c>
      <c r="K25" s="108">
        <f t="shared" si="5"/>
        <v>42000</v>
      </c>
      <c r="L25" s="108">
        <f t="shared" si="5"/>
        <v>58000</v>
      </c>
      <c r="M25" s="108">
        <f t="shared" si="5"/>
        <v>42000</v>
      </c>
      <c r="N25" s="108">
        <f t="shared" si="5"/>
        <v>42000</v>
      </c>
      <c r="O25" s="108">
        <f t="shared" si="5"/>
        <v>42000</v>
      </c>
      <c r="P25" s="108">
        <f t="shared" si="5"/>
        <v>42000</v>
      </c>
      <c r="Q25" s="108">
        <f t="shared" ref="Q25:Q33" si="6">D25-SUM(F25:P25)</f>
        <v>37000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21000</v>
      </c>
      <c r="E30" s="37" t="s">
        <v>525</v>
      </c>
      <c r="F30" s="37">
        <f t="shared" si="8"/>
        <v>1750</v>
      </c>
      <c r="G30" s="37">
        <f t="shared" si="8"/>
        <v>1750</v>
      </c>
      <c r="H30" s="37">
        <f t="shared" si="8"/>
        <v>1750</v>
      </c>
      <c r="I30" s="37">
        <f t="shared" si="8"/>
        <v>1750</v>
      </c>
      <c r="J30" s="37">
        <f t="shared" si="8"/>
        <v>1750</v>
      </c>
      <c r="K30" s="37">
        <f t="shared" si="8"/>
        <v>1750</v>
      </c>
      <c r="L30" s="37">
        <f t="shared" si="8"/>
        <v>1750</v>
      </c>
      <c r="M30" s="37">
        <f t="shared" si="8"/>
        <v>1750</v>
      </c>
      <c r="N30" s="37">
        <f t="shared" si="8"/>
        <v>1750</v>
      </c>
      <c r="O30" s="37">
        <f t="shared" si="8"/>
        <v>1750</v>
      </c>
      <c r="P30" s="37">
        <f t="shared" si="8"/>
        <v>1750</v>
      </c>
      <c r="Q30" s="37">
        <f t="shared" si="6"/>
        <v>1750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10000</v>
      </c>
      <c r="E31" s="37" t="s">
        <v>525</v>
      </c>
      <c r="F31" s="37">
        <f t="shared" si="8"/>
        <v>833</v>
      </c>
      <c r="G31" s="37">
        <f t="shared" si="8"/>
        <v>833</v>
      </c>
      <c r="H31" s="37">
        <f t="shared" si="8"/>
        <v>833</v>
      </c>
      <c r="I31" s="37">
        <f t="shared" si="8"/>
        <v>833</v>
      </c>
      <c r="J31" s="37">
        <f t="shared" si="8"/>
        <v>833</v>
      </c>
      <c r="K31" s="37">
        <f t="shared" si="8"/>
        <v>833</v>
      </c>
      <c r="L31" s="37">
        <f t="shared" si="8"/>
        <v>833</v>
      </c>
      <c r="M31" s="37">
        <f t="shared" si="8"/>
        <v>833</v>
      </c>
      <c r="N31" s="37">
        <f t="shared" si="8"/>
        <v>833</v>
      </c>
      <c r="O31" s="37">
        <f t="shared" si="8"/>
        <v>833</v>
      </c>
      <c r="P31" s="37">
        <f t="shared" si="8"/>
        <v>833</v>
      </c>
      <c r="Q31" s="37">
        <f t="shared" si="6"/>
        <v>837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100000</v>
      </c>
      <c r="E36" s="37" t="s">
        <v>193</v>
      </c>
      <c r="F36" s="37">
        <f>ROUND($D36/2,-3)</f>
        <v>50000</v>
      </c>
      <c r="G36" s="37"/>
      <c r="H36" s="37"/>
      <c r="I36" s="37"/>
      <c r="J36" s="37"/>
      <c r="K36" s="37"/>
      <c r="L36" s="37">
        <f>D36-F36</f>
        <v>50000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397000</v>
      </c>
      <c r="E37" s="108"/>
      <c r="F37" s="108">
        <f t="shared" ref="F37:P37" si="9">ROUND(SUM(F26:F36),-3)</f>
        <v>75000</v>
      </c>
      <c r="G37" s="108">
        <f t="shared" si="9"/>
        <v>25000</v>
      </c>
      <c r="H37" s="108">
        <f t="shared" si="9"/>
        <v>25000</v>
      </c>
      <c r="I37" s="108">
        <f t="shared" si="9"/>
        <v>25000</v>
      </c>
      <c r="J37" s="108">
        <f t="shared" si="9"/>
        <v>25000</v>
      </c>
      <c r="K37" s="108">
        <f t="shared" si="9"/>
        <v>25000</v>
      </c>
      <c r="L37" s="108">
        <f t="shared" si="9"/>
        <v>75000</v>
      </c>
      <c r="M37" s="108">
        <f t="shared" si="9"/>
        <v>25000</v>
      </c>
      <c r="N37" s="108">
        <f t="shared" si="9"/>
        <v>25000</v>
      </c>
      <c r="O37" s="108">
        <f t="shared" si="9"/>
        <v>25000</v>
      </c>
      <c r="P37" s="108">
        <f t="shared" si="9"/>
        <v>25000</v>
      </c>
      <c r="Q37" s="108">
        <f>D37-SUM(F37:P37)</f>
        <v>22000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18000</v>
      </c>
      <c r="E46" s="37" t="s">
        <v>194</v>
      </c>
      <c r="F46" s="37">
        <f>ROUND($D46/3,0)</f>
        <v>6000</v>
      </c>
      <c r="G46" s="37"/>
      <c r="H46" s="37"/>
      <c r="I46" s="37"/>
      <c r="J46" s="37"/>
      <c r="K46" s="37">
        <f>ROUND($D46/3,0)</f>
        <v>6000</v>
      </c>
      <c r="L46" s="37"/>
      <c r="M46" s="37"/>
      <c r="N46" s="37">
        <f>ROUND($D46/3,0)</f>
        <v>6000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18000</v>
      </c>
      <c r="E47" s="108"/>
      <c r="F47" s="108">
        <f t="shared" ref="F47:P47" si="13">ROUND(SUM(F46),-3)</f>
        <v>6000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6000</v>
      </c>
      <c r="L47" s="108">
        <f t="shared" si="13"/>
        <v>0</v>
      </c>
      <c r="M47" s="108">
        <f t="shared" si="13"/>
        <v>0</v>
      </c>
      <c r="N47" s="108">
        <f t="shared" si="13"/>
        <v>6000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946000</v>
      </c>
      <c r="E48" s="37"/>
      <c r="F48" s="115">
        <f>F25+F37+F45+F47</f>
        <v>139000</v>
      </c>
      <c r="G48" s="115">
        <f t="shared" ref="G48:R48" si="14">G25+G37+G45+G47</f>
        <v>67000</v>
      </c>
      <c r="H48" s="115">
        <f t="shared" si="14"/>
        <v>67000</v>
      </c>
      <c r="I48" s="115">
        <f t="shared" si="14"/>
        <v>67000</v>
      </c>
      <c r="J48" s="115">
        <f t="shared" si="14"/>
        <v>67000</v>
      </c>
      <c r="K48" s="115">
        <f t="shared" si="14"/>
        <v>73000</v>
      </c>
      <c r="L48" s="115">
        <f t="shared" si="14"/>
        <v>133000</v>
      </c>
      <c r="M48" s="115">
        <f t="shared" si="14"/>
        <v>67000</v>
      </c>
      <c r="N48" s="115">
        <f t="shared" si="14"/>
        <v>73000</v>
      </c>
      <c r="O48" s="115">
        <f t="shared" si="14"/>
        <v>67000</v>
      </c>
      <c r="P48" s="115">
        <f t="shared" si="14"/>
        <v>67000</v>
      </c>
      <c r="Q48" s="115">
        <f t="shared" si="14"/>
        <v>59000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14776000</v>
      </c>
      <c r="E49" s="114" t="s">
        <v>202</v>
      </c>
      <c r="F49" s="37">
        <f>ROUND($D49/12*3,-3)</f>
        <v>3694000</v>
      </c>
      <c r="G49" s="37">
        <f>ROUND($D49/12,-3)</f>
        <v>1231000</v>
      </c>
      <c r="H49" s="37">
        <f t="shared" ref="H49:N53" si="15">ROUND($D49/12,-3)</f>
        <v>1231000</v>
      </c>
      <c r="I49" s="37">
        <f t="shared" si="15"/>
        <v>1231000</v>
      </c>
      <c r="J49" s="37">
        <f t="shared" si="15"/>
        <v>1231000</v>
      </c>
      <c r="K49" s="37">
        <f t="shared" si="15"/>
        <v>1231000</v>
      </c>
      <c r="L49" s="37">
        <f t="shared" si="15"/>
        <v>1231000</v>
      </c>
      <c r="M49" s="37">
        <f t="shared" si="15"/>
        <v>1231000</v>
      </c>
      <c r="N49" s="37">
        <f t="shared" si="15"/>
        <v>1231000</v>
      </c>
      <c r="O49" s="37">
        <f>D49-SUM(F49:N49)</f>
        <v>1234000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406000</v>
      </c>
      <c r="E50" s="114" t="s">
        <v>202</v>
      </c>
      <c r="F50" s="37">
        <f t="shared" ref="F50:F53" si="16">ROUND($D50/12*3,-3)</f>
        <v>102000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si="15"/>
        <v>34000</v>
      </c>
      <c r="N50" s="37">
        <f t="shared" si="15"/>
        <v>34000</v>
      </c>
      <c r="O50" s="37">
        <f t="shared" ref="O50:O53" si="18">D50-SUM(F50:N50)</f>
        <v>32000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1349000</v>
      </c>
      <c r="E51" s="114" t="s">
        <v>202</v>
      </c>
      <c r="F51" s="37">
        <f t="shared" si="16"/>
        <v>337000</v>
      </c>
      <c r="G51" s="37">
        <f t="shared" si="17"/>
        <v>112000</v>
      </c>
      <c r="H51" s="37">
        <f t="shared" si="15"/>
        <v>112000</v>
      </c>
      <c r="I51" s="37">
        <f t="shared" si="15"/>
        <v>112000</v>
      </c>
      <c r="J51" s="37">
        <f t="shared" si="15"/>
        <v>112000</v>
      </c>
      <c r="K51" s="37">
        <f t="shared" si="15"/>
        <v>112000</v>
      </c>
      <c r="L51" s="37">
        <f t="shared" si="15"/>
        <v>112000</v>
      </c>
      <c r="M51" s="37">
        <f t="shared" si="15"/>
        <v>112000</v>
      </c>
      <c r="N51" s="37">
        <f t="shared" si="15"/>
        <v>112000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476000</v>
      </c>
      <c r="E60" s="37" t="s">
        <v>195</v>
      </c>
      <c r="F60" s="37">
        <f>D60</f>
        <v>476000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2068000</v>
      </c>
      <c r="E62" s="37" t="s">
        <v>197</v>
      </c>
      <c r="F62" s="37"/>
      <c r="G62" s="37"/>
      <c r="H62" s="37"/>
      <c r="I62" s="37">
        <f>ROUND($D62/5,-3)</f>
        <v>414000</v>
      </c>
      <c r="J62" s="37"/>
      <c r="K62" s="37"/>
      <c r="L62" s="37"/>
      <c r="M62" s="37"/>
      <c r="N62" s="37">
        <f>D62-I62</f>
        <v>1654000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1855000</v>
      </c>
      <c r="E63" s="37" t="s">
        <v>195</v>
      </c>
      <c r="F63" s="37">
        <f>D63</f>
        <v>1855000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1599000</v>
      </c>
      <c r="E64" s="114" t="s">
        <v>202</v>
      </c>
      <c r="F64" s="37">
        <f>ROUND($D64/12*3,-3)</f>
        <v>400000</v>
      </c>
      <c r="G64" s="37">
        <f>ROUND($D64/12,-3)</f>
        <v>133000</v>
      </c>
      <c r="H64" s="37">
        <f t="shared" ref="H64:N66" si="21">ROUND($D64/12,-3)</f>
        <v>133000</v>
      </c>
      <c r="I64" s="37">
        <f t="shared" si="21"/>
        <v>133000</v>
      </c>
      <c r="J64" s="37">
        <f t="shared" si="21"/>
        <v>133000</v>
      </c>
      <c r="K64" s="37">
        <f t="shared" si="21"/>
        <v>133000</v>
      </c>
      <c r="L64" s="37">
        <f t="shared" si="21"/>
        <v>133000</v>
      </c>
      <c r="M64" s="37">
        <f t="shared" si="21"/>
        <v>133000</v>
      </c>
      <c r="N64" s="37">
        <f t="shared" si="21"/>
        <v>133000</v>
      </c>
      <c r="O64" s="37">
        <f>D64-SUM(F64:N64)</f>
        <v>135000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396000</v>
      </c>
      <c r="E65" s="114" t="s">
        <v>202</v>
      </c>
      <c r="F65" s="37">
        <f t="shared" ref="F65:F66" si="22">ROUND($D65/12*3,-3)</f>
        <v>99000</v>
      </c>
      <c r="G65" s="37">
        <f t="shared" ref="G65:G66" si="23">ROUND($D65/12,-3)</f>
        <v>33000</v>
      </c>
      <c r="H65" s="37">
        <f t="shared" si="21"/>
        <v>33000</v>
      </c>
      <c r="I65" s="37">
        <f t="shared" si="21"/>
        <v>33000</v>
      </c>
      <c r="J65" s="37">
        <f t="shared" si="21"/>
        <v>33000</v>
      </c>
      <c r="K65" s="37">
        <f t="shared" si="21"/>
        <v>33000</v>
      </c>
      <c r="L65" s="37">
        <f t="shared" si="21"/>
        <v>33000</v>
      </c>
      <c r="M65" s="37">
        <f t="shared" si="21"/>
        <v>33000</v>
      </c>
      <c r="N65" s="37">
        <f t="shared" si="21"/>
        <v>33000</v>
      </c>
      <c r="O65" s="37">
        <f t="shared" ref="O65:O66" si="24">D65-SUM(F65:N65)</f>
        <v>33000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1000000</v>
      </c>
      <c r="E66" s="114" t="s">
        <v>202</v>
      </c>
      <c r="F66" s="37">
        <f t="shared" si="22"/>
        <v>250000</v>
      </c>
      <c r="G66" s="37">
        <f t="shared" si="23"/>
        <v>83000</v>
      </c>
      <c r="H66" s="37">
        <f t="shared" si="21"/>
        <v>83000</v>
      </c>
      <c r="I66" s="37">
        <f t="shared" si="21"/>
        <v>83000</v>
      </c>
      <c r="J66" s="37">
        <f t="shared" si="21"/>
        <v>83000</v>
      </c>
      <c r="K66" s="37">
        <f t="shared" si="21"/>
        <v>83000</v>
      </c>
      <c r="L66" s="37">
        <f t="shared" si="21"/>
        <v>83000</v>
      </c>
      <c r="M66" s="37">
        <f t="shared" si="21"/>
        <v>83000</v>
      </c>
      <c r="N66" s="37">
        <f t="shared" si="21"/>
        <v>83000</v>
      </c>
      <c r="O66" s="37">
        <f t="shared" si="24"/>
        <v>86000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31000</v>
      </c>
      <c r="E67" s="37" t="s">
        <v>196</v>
      </c>
      <c r="F67" s="37"/>
      <c r="G67" s="37"/>
      <c r="H67" s="37">
        <f>D67</f>
        <v>31000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147000</v>
      </c>
      <c r="E68" s="37" t="s">
        <v>195</v>
      </c>
      <c r="F68" s="37">
        <f>D68</f>
        <v>147000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10000</v>
      </c>
      <c r="E69" s="37" t="s">
        <v>193</v>
      </c>
      <c r="F69" s="37">
        <f>ROUND($D69/2,-3)</f>
        <v>5000</v>
      </c>
      <c r="G69" s="37"/>
      <c r="H69" s="37"/>
      <c r="I69" s="37"/>
      <c r="J69" s="37"/>
      <c r="K69" s="37"/>
      <c r="L69" s="37">
        <f>D69-F69</f>
        <v>5000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24433000</v>
      </c>
      <c r="E70" s="108"/>
      <c r="F70" s="108">
        <f t="shared" ref="F70:P70" si="25">ROUND(SUM(F49:F69),-3)</f>
        <v>7436000</v>
      </c>
      <c r="G70" s="108">
        <f t="shared" si="25"/>
        <v>1653000</v>
      </c>
      <c r="H70" s="108">
        <f t="shared" si="25"/>
        <v>1684000</v>
      </c>
      <c r="I70" s="108">
        <f t="shared" si="25"/>
        <v>2067000</v>
      </c>
      <c r="J70" s="108">
        <f t="shared" si="25"/>
        <v>1653000</v>
      </c>
      <c r="K70" s="108">
        <f t="shared" si="25"/>
        <v>1653000</v>
      </c>
      <c r="L70" s="108">
        <f t="shared" si="25"/>
        <v>1658000</v>
      </c>
      <c r="M70" s="108">
        <f t="shared" si="25"/>
        <v>1653000</v>
      </c>
      <c r="N70" s="108">
        <f t="shared" si="25"/>
        <v>3307000</v>
      </c>
      <c r="O70" s="108">
        <f t="shared" si="25"/>
        <v>1664000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10731000</v>
      </c>
      <c r="E72" s="114" t="s">
        <v>202</v>
      </c>
      <c r="F72" s="37">
        <f>ROUND($D72/12*3,-3)</f>
        <v>2683000</v>
      </c>
      <c r="G72" s="37">
        <f>ROUND($D72/12,-3)</f>
        <v>894000</v>
      </c>
      <c r="H72" s="37">
        <f t="shared" ref="H72:N75" si="26">ROUND($D72/12,-3)</f>
        <v>894000</v>
      </c>
      <c r="I72" s="37">
        <f t="shared" si="26"/>
        <v>894000</v>
      </c>
      <c r="J72" s="37">
        <f t="shared" si="26"/>
        <v>894000</v>
      </c>
      <c r="K72" s="37">
        <f t="shared" si="26"/>
        <v>894000</v>
      </c>
      <c r="L72" s="37">
        <f t="shared" si="26"/>
        <v>894000</v>
      </c>
      <c r="M72" s="37">
        <f t="shared" si="26"/>
        <v>894000</v>
      </c>
      <c r="N72" s="37">
        <f t="shared" si="26"/>
        <v>894000</v>
      </c>
      <c r="O72" s="37">
        <f>D72-SUM(F72:N72)</f>
        <v>896000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586000</v>
      </c>
      <c r="E74" s="114" t="s">
        <v>202</v>
      </c>
      <c r="F74" s="37">
        <f>ROUND($D74/12*3,-3)</f>
        <v>147000</v>
      </c>
      <c r="G74" s="37">
        <f>ROUND($D74/12,-3)</f>
        <v>49000</v>
      </c>
      <c r="H74" s="37">
        <f t="shared" si="26"/>
        <v>49000</v>
      </c>
      <c r="I74" s="37">
        <f t="shared" si="26"/>
        <v>49000</v>
      </c>
      <c r="J74" s="37">
        <f t="shared" si="26"/>
        <v>49000</v>
      </c>
      <c r="K74" s="37">
        <f t="shared" si="26"/>
        <v>49000</v>
      </c>
      <c r="L74" s="37">
        <f t="shared" si="26"/>
        <v>49000</v>
      </c>
      <c r="M74" s="37">
        <f t="shared" si="26"/>
        <v>49000</v>
      </c>
      <c r="N74" s="37">
        <f t="shared" si="26"/>
        <v>49000</v>
      </c>
      <c r="O74" s="37">
        <f>D74-SUM(F74:N74)</f>
        <v>47000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11317000</v>
      </c>
      <c r="E76" s="108"/>
      <c r="F76" s="108">
        <f>ROUND(SUM(F71:F75),-3)</f>
        <v>2830000</v>
      </c>
      <c r="G76" s="108">
        <f t="shared" ref="G76:N76" si="27">ROUND(SUM(G71:G75),-3)</f>
        <v>943000</v>
      </c>
      <c r="H76" s="108">
        <f t="shared" si="27"/>
        <v>943000</v>
      </c>
      <c r="I76" s="108">
        <f t="shared" si="27"/>
        <v>943000</v>
      </c>
      <c r="J76" s="108">
        <f t="shared" si="27"/>
        <v>943000</v>
      </c>
      <c r="K76" s="108">
        <f t="shared" si="27"/>
        <v>943000</v>
      </c>
      <c r="L76" s="108">
        <f t="shared" si="27"/>
        <v>943000</v>
      </c>
      <c r="M76" s="108">
        <f t="shared" si="27"/>
        <v>943000</v>
      </c>
      <c r="N76" s="108">
        <f t="shared" si="27"/>
        <v>943000</v>
      </c>
      <c r="O76" s="108">
        <f>D76-SUM(F76:N76)</f>
        <v>943000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428000</v>
      </c>
      <c r="E77" s="37" t="s">
        <v>681</v>
      </c>
      <c r="F77" s="224"/>
      <c r="G77" s="224"/>
      <c r="H77" s="224">
        <f>ROUND($D77/2,-3)</f>
        <v>214000</v>
      </c>
      <c r="I77" s="224"/>
      <c r="J77" s="224"/>
      <c r="K77" s="224"/>
      <c r="L77" s="224"/>
      <c r="M77" s="224"/>
      <c r="N77" s="224">
        <f>D77-H77</f>
        <v>214000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36178000</v>
      </c>
      <c r="E78" s="227"/>
      <c r="F78" s="227">
        <f>F76+F70+F77</f>
        <v>10266000</v>
      </c>
      <c r="G78" s="227">
        <f t="shared" ref="G78:Q78" si="29">G76+G70+G77</f>
        <v>2596000</v>
      </c>
      <c r="H78" s="227">
        <f t="shared" si="29"/>
        <v>2841000</v>
      </c>
      <c r="I78" s="227">
        <f t="shared" si="29"/>
        <v>3010000</v>
      </c>
      <c r="J78" s="227">
        <f t="shared" si="29"/>
        <v>2596000</v>
      </c>
      <c r="K78" s="227">
        <f t="shared" si="29"/>
        <v>2596000</v>
      </c>
      <c r="L78" s="227">
        <f t="shared" si="29"/>
        <v>2601000</v>
      </c>
      <c r="M78" s="227">
        <f t="shared" si="29"/>
        <v>2596000</v>
      </c>
      <c r="N78" s="227">
        <f t="shared" si="29"/>
        <v>4464000</v>
      </c>
      <c r="O78" s="227">
        <f t="shared" si="29"/>
        <v>2607000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25000</v>
      </c>
      <c r="E80" s="108" t="s">
        <v>195</v>
      </c>
      <c r="F80" s="108">
        <f t="shared" ref="F80:F82" si="30">D80</f>
        <v>25000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40000</v>
      </c>
      <c r="E82" s="108" t="s">
        <v>195</v>
      </c>
      <c r="F82" s="108">
        <f t="shared" si="30"/>
        <v>40000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65000</v>
      </c>
      <c r="E83" s="116"/>
      <c r="F83" s="116">
        <f>SUM(F79:F82)</f>
        <v>65000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-25000</v>
      </c>
      <c r="E86" s="37"/>
      <c r="F86" s="37">
        <f>D86</f>
        <v>-25000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37164000</v>
      </c>
      <c r="E87" s="37"/>
      <c r="F87" s="37">
        <f>F88+F89+F90+F91</f>
        <v>10445000</v>
      </c>
      <c r="G87" s="37">
        <f t="shared" ref="G87:Q87" si="32">G88+G89+G90+G91</f>
        <v>2663000</v>
      </c>
      <c r="H87" s="37">
        <f t="shared" si="32"/>
        <v>2908000</v>
      </c>
      <c r="I87" s="37">
        <f t="shared" si="32"/>
        <v>3077000</v>
      </c>
      <c r="J87" s="37">
        <f t="shared" si="32"/>
        <v>2663000</v>
      </c>
      <c r="K87" s="37">
        <f t="shared" si="32"/>
        <v>2669000</v>
      </c>
      <c r="L87" s="37">
        <f t="shared" si="32"/>
        <v>2734000</v>
      </c>
      <c r="M87" s="37">
        <f t="shared" si="32"/>
        <v>2663000</v>
      </c>
      <c r="N87" s="37">
        <f t="shared" si="32"/>
        <v>4537000</v>
      </c>
      <c r="O87" s="37">
        <f t="shared" si="32"/>
        <v>2674000</v>
      </c>
      <c r="P87" s="37">
        <f t="shared" si="32"/>
        <v>72000</v>
      </c>
      <c r="Q87" s="37">
        <f t="shared" si="32"/>
        <v>59000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155000</v>
      </c>
      <c r="E88" s="108" t="s">
        <v>193</v>
      </c>
      <c r="F88" s="108">
        <f>ROUND($D88/2,-3)</f>
        <v>78000</v>
      </c>
      <c r="G88" s="108"/>
      <c r="H88" s="108"/>
      <c r="I88" s="108"/>
      <c r="J88" s="108"/>
      <c r="K88" s="108"/>
      <c r="L88" s="108">
        <f>D88-F88</f>
        <v>77000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5000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2000</v>
      </c>
      <c r="M90" s="108"/>
      <c r="N90" s="108"/>
      <c r="O90" s="108"/>
      <c r="P90" s="108"/>
      <c r="Q90" s="108">
        <f>ROUND($D90/2,-3)</f>
        <v>3000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37004000</v>
      </c>
      <c r="E91" s="108"/>
      <c r="F91" s="108">
        <f>F92+F93+F94+F95</f>
        <v>10367000</v>
      </c>
      <c r="G91" s="108">
        <f t="shared" ref="G91:Q91" si="34">G92+G93+G94+G95</f>
        <v>2663000</v>
      </c>
      <c r="H91" s="108">
        <f t="shared" si="34"/>
        <v>2908000</v>
      </c>
      <c r="I91" s="108">
        <f t="shared" si="34"/>
        <v>3077000</v>
      </c>
      <c r="J91" s="108">
        <f t="shared" si="34"/>
        <v>2663000</v>
      </c>
      <c r="K91" s="108">
        <f t="shared" si="34"/>
        <v>2669000</v>
      </c>
      <c r="L91" s="108">
        <f t="shared" si="34"/>
        <v>2655000</v>
      </c>
      <c r="M91" s="108">
        <f t="shared" si="34"/>
        <v>2663000</v>
      </c>
      <c r="N91" s="108">
        <f t="shared" si="34"/>
        <v>4537000</v>
      </c>
      <c r="O91" s="108">
        <f t="shared" si="34"/>
        <v>2674000</v>
      </c>
      <c r="P91" s="108">
        <f t="shared" si="34"/>
        <v>72000</v>
      </c>
      <c r="Q91" s="108">
        <f t="shared" si="34"/>
        <v>56000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2315000</v>
      </c>
      <c r="E92" s="114" t="s">
        <v>537</v>
      </c>
      <c r="F92" s="37">
        <f>ROUND($D92/12*5,-3)</f>
        <v>965000</v>
      </c>
      <c r="G92" s="37">
        <f>ROUND($D92/12,-3)</f>
        <v>193000</v>
      </c>
      <c r="H92" s="37">
        <f t="shared" ref="H92:L92" si="35">ROUND($D92/12,-3)</f>
        <v>193000</v>
      </c>
      <c r="I92" s="37">
        <f t="shared" si="35"/>
        <v>193000</v>
      </c>
      <c r="J92" s="37">
        <f t="shared" si="35"/>
        <v>193000</v>
      </c>
      <c r="K92" s="37">
        <f t="shared" si="35"/>
        <v>193000</v>
      </c>
      <c r="L92" s="37">
        <f t="shared" si="35"/>
        <v>193000</v>
      </c>
      <c r="M92" s="37">
        <f>D92-SUM(F92:L92)</f>
        <v>192000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0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14000</v>
      </c>
      <c r="E94" s="110" t="s">
        <v>229</v>
      </c>
      <c r="F94" s="37"/>
      <c r="G94" s="37"/>
      <c r="H94" s="37">
        <f>ROUND($D94/2,-3)</f>
        <v>7000</v>
      </c>
      <c r="I94" s="37"/>
      <c r="J94" s="37"/>
      <c r="K94" s="37"/>
      <c r="L94" s="37"/>
      <c r="M94" s="37"/>
      <c r="N94" s="37"/>
      <c r="O94" s="37">
        <f>D94-H94</f>
        <v>7000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34585000</v>
      </c>
      <c r="E95" s="37"/>
      <c r="F95" s="37">
        <f>F2+F86-F88-F89-F90-F92-F93-F94</f>
        <v>9394000</v>
      </c>
      <c r="G95" s="37">
        <f t="shared" ref="G95:Q95" si="37">G2-G88-G89-G90-G92-G93-G94</f>
        <v>2462000</v>
      </c>
      <c r="H95" s="37">
        <f t="shared" si="37"/>
        <v>2700000</v>
      </c>
      <c r="I95" s="37">
        <f t="shared" si="37"/>
        <v>2876000</v>
      </c>
      <c r="J95" s="37">
        <f t="shared" si="37"/>
        <v>2462000</v>
      </c>
      <c r="K95" s="37">
        <f t="shared" si="37"/>
        <v>2468000</v>
      </c>
      <c r="L95" s="37">
        <f t="shared" si="37"/>
        <v>2454000</v>
      </c>
      <c r="M95" s="37">
        <f t="shared" si="37"/>
        <v>2463000</v>
      </c>
      <c r="N95" s="37">
        <f t="shared" si="37"/>
        <v>4529000</v>
      </c>
      <c r="O95" s="37">
        <f t="shared" si="37"/>
        <v>2659000</v>
      </c>
      <c r="P95" s="37">
        <f t="shared" si="37"/>
        <v>64000</v>
      </c>
      <c r="Q95" s="37">
        <f t="shared" si="37"/>
        <v>54000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0</v>
      </c>
    </row>
    <row r="99" spans="2:17" ht="32.4">
      <c r="B99" s="72" t="s">
        <v>235</v>
      </c>
      <c r="D99" s="30">
        <f>HLOOKUP(D1,縣庫撥款收入明細表!H:DD,5,FALSE)</f>
        <v>1300000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1015000</v>
      </c>
    </row>
    <row r="102" spans="2:17" ht="32.4">
      <c r="B102" s="71" t="s">
        <v>238</v>
      </c>
      <c r="D102" s="30">
        <f>HLOOKUP(D1,縣庫撥款收入明細表!H:DD,16,FALSE)</f>
        <v>84000</v>
      </c>
    </row>
    <row r="103" spans="2:17" ht="32.4">
      <c r="B103" s="72" t="s">
        <v>239</v>
      </c>
      <c r="D103" s="30">
        <f>HLOOKUP(D1,縣庫撥款收入明細表!H:DD,17,FALSE)</f>
        <v>0</v>
      </c>
    </row>
    <row r="104" spans="2:17" ht="32.4">
      <c r="B104" s="76" t="s">
        <v>240</v>
      </c>
      <c r="D104" s="30">
        <f>HLOOKUP(D1,縣庫撥款收入明細表!H:DD,18,FALSE)</f>
        <v>14000</v>
      </c>
    </row>
    <row r="105" spans="2:17" ht="32.4">
      <c r="B105" s="72" t="s">
        <v>380</v>
      </c>
      <c r="D105" s="30">
        <f>HLOOKUP(D1,縣庫撥款收入明細表!H:DD,19,FALSE)</f>
        <v>0</v>
      </c>
    </row>
    <row r="106" spans="2:17" ht="32.4">
      <c r="B106" s="71" t="s">
        <v>241</v>
      </c>
      <c r="D106" s="30">
        <f>HLOOKUP(D1,縣庫撥款收入明細表!H:DD,20,FALSE)</f>
        <v>6000</v>
      </c>
    </row>
    <row r="107" spans="2:17" ht="32.4">
      <c r="B107" s="77" t="s">
        <v>242</v>
      </c>
      <c r="D107" s="30">
        <f>HLOOKUP(D1,縣庫撥款收入明細表!H:DD,21,FALSE)</f>
        <v>34585000</v>
      </c>
    </row>
    <row r="108" spans="2:17" ht="16.5" customHeight="1"/>
    <row r="109" spans="2:17" ht="16.5" customHeight="1">
      <c r="B109" s="4" t="s">
        <v>682</v>
      </c>
      <c r="D109" s="30">
        <f>D91-D76</f>
        <v>25687000</v>
      </c>
      <c r="F109" s="30">
        <f>F91-F76</f>
        <v>7537000</v>
      </c>
      <c r="G109" s="30">
        <f t="shared" ref="G109:Q109" si="38">G91-G76</f>
        <v>1720000</v>
      </c>
      <c r="H109" s="30">
        <f t="shared" si="38"/>
        <v>1965000</v>
      </c>
      <c r="I109" s="30">
        <f t="shared" si="38"/>
        <v>2134000</v>
      </c>
      <c r="J109" s="30">
        <f t="shared" si="38"/>
        <v>1720000</v>
      </c>
      <c r="K109" s="30">
        <f t="shared" si="38"/>
        <v>1726000</v>
      </c>
      <c r="L109" s="30">
        <f t="shared" si="38"/>
        <v>1712000</v>
      </c>
      <c r="M109" s="30">
        <f t="shared" si="38"/>
        <v>1720000</v>
      </c>
      <c r="N109" s="30">
        <f t="shared" si="38"/>
        <v>3594000</v>
      </c>
      <c r="O109" s="30">
        <f t="shared" si="38"/>
        <v>1731000</v>
      </c>
      <c r="P109" s="30">
        <f t="shared" si="38"/>
        <v>72000</v>
      </c>
      <c r="Q109" s="30">
        <f t="shared" si="38"/>
        <v>56000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8:C78"/>
    <mergeCell ref="A79:A83"/>
    <mergeCell ref="A1:B1"/>
    <mergeCell ref="A2:B2"/>
    <mergeCell ref="A3:A48"/>
    <mergeCell ref="A49:A70"/>
    <mergeCell ref="A71:A76"/>
  </mergeCells>
  <phoneticPr fontId="3" type="noConversion"/>
  <conditionalFormatting sqref="F95:Q95">
    <cfRule type="cellIs" dxfId="190" priority="1" operator="lessThan">
      <formula>0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608</v>
      </c>
      <c r="D1" s="240" t="str">
        <f>VLOOKUP(C1,學校編號!A:B,2,FALSE)</f>
        <v>608中華國小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60879000</v>
      </c>
      <c r="E2" s="37"/>
      <c r="F2" s="37">
        <f>F48+F70+F76+F77+F83</f>
        <v>17573000</v>
      </c>
      <c r="G2" s="37">
        <f t="shared" ref="G2:Q2" si="0">G48+G70+G76+G77+G83</f>
        <v>4181000</v>
      </c>
      <c r="H2" s="37">
        <f t="shared" si="0"/>
        <v>4692000</v>
      </c>
      <c r="I2" s="37">
        <f t="shared" si="0"/>
        <v>5030000</v>
      </c>
      <c r="J2" s="37">
        <f t="shared" si="0"/>
        <v>4181000</v>
      </c>
      <c r="K2" s="37">
        <f t="shared" si="0"/>
        <v>4185000</v>
      </c>
      <c r="L2" s="37">
        <f t="shared" si="0"/>
        <v>4442000</v>
      </c>
      <c r="M2" s="37">
        <f t="shared" si="0"/>
        <v>4181000</v>
      </c>
      <c r="N2" s="37">
        <f t="shared" si="0"/>
        <v>8027000</v>
      </c>
      <c r="O2" s="37">
        <f t="shared" si="0"/>
        <v>4177000</v>
      </c>
      <c r="P2" s="37">
        <f t="shared" si="0"/>
        <v>108000</v>
      </c>
      <c r="Q2" s="37">
        <f t="shared" si="0"/>
        <v>102000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325000</v>
      </c>
      <c r="E3" s="37" t="s">
        <v>525</v>
      </c>
      <c r="F3" s="37">
        <f t="shared" ref="F3:P17" si="1">ROUND($D3/12,0)</f>
        <v>27083</v>
      </c>
      <c r="G3" s="37">
        <f t="shared" si="1"/>
        <v>27083</v>
      </c>
      <c r="H3" s="37">
        <f t="shared" si="1"/>
        <v>27083</v>
      </c>
      <c r="I3" s="37">
        <f t="shared" si="1"/>
        <v>27083</v>
      </c>
      <c r="J3" s="37">
        <f t="shared" si="1"/>
        <v>27083</v>
      </c>
      <c r="K3" s="37">
        <f t="shared" si="1"/>
        <v>27083</v>
      </c>
      <c r="L3" s="37">
        <f t="shared" si="1"/>
        <v>27083</v>
      </c>
      <c r="M3" s="37">
        <f t="shared" si="1"/>
        <v>27083</v>
      </c>
      <c r="N3" s="37">
        <f t="shared" si="1"/>
        <v>27083</v>
      </c>
      <c r="O3" s="37">
        <f t="shared" si="1"/>
        <v>27083</v>
      </c>
      <c r="P3" s="37">
        <f t="shared" si="1"/>
        <v>27083</v>
      </c>
      <c r="Q3" s="37">
        <f t="shared" ref="Q3:Q10" si="2">D3-SUM(F3:P3)</f>
        <v>27087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139000</v>
      </c>
      <c r="E4" s="37" t="s">
        <v>525</v>
      </c>
      <c r="F4" s="37">
        <f t="shared" si="1"/>
        <v>11583</v>
      </c>
      <c r="G4" s="37">
        <f t="shared" si="1"/>
        <v>11583</v>
      </c>
      <c r="H4" s="37">
        <f t="shared" si="1"/>
        <v>11583</v>
      </c>
      <c r="I4" s="37">
        <f t="shared" si="1"/>
        <v>11583</v>
      </c>
      <c r="J4" s="37">
        <f t="shared" si="1"/>
        <v>11583</v>
      </c>
      <c r="K4" s="37">
        <f t="shared" si="1"/>
        <v>11583</v>
      </c>
      <c r="L4" s="37">
        <f t="shared" si="1"/>
        <v>11583</v>
      </c>
      <c r="M4" s="37">
        <f t="shared" si="1"/>
        <v>11583</v>
      </c>
      <c r="N4" s="37">
        <f t="shared" si="1"/>
        <v>11583</v>
      </c>
      <c r="O4" s="37">
        <f t="shared" si="1"/>
        <v>11583</v>
      </c>
      <c r="P4" s="37">
        <f t="shared" si="1"/>
        <v>11583</v>
      </c>
      <c r="Q4" s="37">
        <f t="shared" si="2"/>
        <v>11587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70000</v>
      </c>
      <c r="E7" s="37" t="s">
        <v>525</v>
      </c>
      <c r="F7" s="37">
        <f t="shared" si="1"/>
        <v>5833</v>
      </c>
      <c r="G7" s="37">
        <f t="shared" si="1"/>
        <v>5833</v>
      </c>
      <c r="H7" s="37">
        <f t="shared" si="1"/>
        <v>5833</v>
      </c>
      <c r="I7" s="37">
        <f t="shared" si="1"/>
        <v>5833</v>
      </c>
      <c r="J7" s="37">
        <f t="shared" si="1"/>
        <v>5833</v>
      </c>
      <c r="K7" s="37">
        <f t="shared" si="1"/>
        <v>5833</v>
      </c>
      <c r="L7" s="37">
        <f t="shared" si="1"/>
        <v>5833</v>
      </c>
      <c r="M7" s="37">
        <f t="shared" si="1"/>
        <v>5833</v>
      </c>
      <c r="N7" s="37">
        <f t="shared" si="1"/>
        <v>5833</v>
      </c>
      <c r="O7" s="37">
        <f t="shared" si="1"/>
        <v>5833</v>
      </c>
      <c r="P7" s="37">
        <f t="shared" si="1"/>
        <v>5833</v>
      </c>
      <c r="Q7" s="37">
        <f t="shared" si="2"/>
        <v>5837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30000</v>
      </c>
      <c r="E8" s="37" t="s">
        <v>525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6000</v>
      </c>
      <c r="E9" s="37" t="s">
        <v>525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72000</v>
      </c>
      <c r="E15" s="37" t="s">
        <v>193</v>
      </c>
      <c r="F15" s="37">
        <f>ROUND($D15/2,-3)</f>
        <v>36000</v>
      </c>
      <c r="G15" s="37"/>
      <c r="H15" s="37"/>
      <c r="I15" s="37"/>
      <c r="J15" s="37"/>
      <c r="K15" s="37"/>
      <c r="L15" s="37">
        <f>D15-F15</f>
        <v>36000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54000</v>
      </c>
      <c r="E17" s="37" t="s">
        <v>525</v>
      </c>
      <c r="F17" s="37">
        <f>ROUND($D17/12,0)</f>
        <v>4500</v>
      </c>
      <c r="G17" s="37">
        <f t="shared" si="1"/>
        <v>4500</v>
      </c>
      <c r="H17" s="37">
        <f t="shared" si="1"/>
        <v>4500</v>
      </c>
      <c r="I17" s="37">
        <f t="shared" si="1"/>
        <v>4500</v>
      </c>
      <c r="J17" s="37">
        <f t="shared" si="1"/>
        <v>4500</v>
      </c>
      <c r="K17" s="37">
        <f t="shared" si="1"/>
        <v>4500</v>
      </c>
      <c r="L17" s="37">
        <f t="shared" si="1"/>
        <v>4500</v>
      </c>
      <c r="M17" s="37">
        <f t="shared" si="1"/>
        <v>4500</v>
      </c>
      <c r="N17" s="37">
        <f t="shared" si="1"/>
        <v>4500</v>
      </c>
      <c r="O17" s="37">
        <f t="shared" si="1"/>
        <v>4500</v>
      </c>
      <c r="P17" s="37">
        <f t="shared" si="1"/>
        <v>4500</v>
      </c>
      <c r="Q17" s="37">
        <f>D17-SUM(F17:P17)</f>
        <v>4500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370000</v>
      </c>
      <c r="E24" s="37" t="s">
        <v>193</v>
      </c>
      <c r="F24" s="37">
        <f>ROUND($D24/2,-3)</f>
        <v>185000</v>
      </c>
      <c r="G24" s="37"/>
      <c r="H24" s="37"/>
      <c r="I24" s="37"/>
      <c r="J24" s="37"/>
      <c r="K24" s="37"/>
      <c r="L24" s="37">
        <f>D24-F24</f>
        <v>185000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1230000</v>
      </c>
      <c r="E25" s="108"/>
      <c r="F25" s="108">
        <f>ROUND(SUM(F3:F24),-3)</f>
        <v>287000</v>
      </c>
      <c r="G25" s="108">
        <f t="shared" ref="G25:P25" si="5">ROUND(SUM(G3:G24),-3)</f>
        <v>66000</v>
      </c>
      <c r="H25" s="108">
        <f t="shared" si="5"/>
        <v>66000</v>
      </c>
      <c r="I25" s="108">
        <f t="shared" si="5"/>
        <v>66000</v>
      </c>
      <c r="J25" s="108">
        <f t="shared" si="5"/>
        <v>66000</v>
      </c>
      <c r="K25" s="108">
        <f t="shared" si="5"/>
        <v>66000</v>
      </c>
      <c r="L25" s="108">
        <f t="shared" si="5"/>
        <v>287000</v>
      </c>
      <c r="M25" s="108">
        <f t="shared" si="5"/>
        <v>66000</v>
      </c>
      <c r="N25" s="108">
        <f t="shared" si="5"/>
        <v>66000</v>
      </c>
      <c r="O25" s="108">
        <f t="shared" si="5"/>
        <v>66000</v>
      </c>
      <c r="P25" s="108">
        <f t="shared" si="5"/>
        <v>66000</v>
      </c>
      <c r="Q25" s="108">
        <f t="shared" ref="Q25:Q33" si="6">D25-SUM(F25:P25)</f>
        <v>62000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309000</v>
      </c>
      <c r="E27" s="37" t="s">
        <v>525</v>
      </c>
      <c r="F27" s="37">
        <f t="shared" ref="F27:P33" si="8">ROUND($D27/12,0)</f>
        <v>25750</v>
      </c>
      <c r="G27" s="37">
        <f t="shared" si="8"/>
        <v>25750</v>
      </c>
      <c r="H27" s="37">
        <f t="shared" si="8"/>
        <v>25750</v>
      </c>
      <c r="I27" s="37">
        <f t="shared" si="8"/>
        <v>25750</v>
      </c>
      <c r="J27" s="37">
        <f t="shared" si="8"/>
        <v>25750</v>
      </c>
      <c r="K27" s="37">
        <f t="shared" si="8"/>
        <v>25750</v>
      </c>
      <c r="L27" s="37">
        <f t="shared" si="8"/>
        <v>25750</v>
      </c>
      <c r="M27" s="37">
        <f t="shared" si="8"/>
        <v>25750</v>
      </c>
      <c r="N27" s="37">
        <f t="shared" si="8"/>
        <v>25750</v>
      </c>
      <c r="O27" s="37">
        <f t="shared" si="8"/>
        <v>25750</v>
      </c>
      <c r="P27" s="37">
        <f t="shared" si="8"/>
        <v>25750</v>
      </c>
      <c r="Q27" s="37">
        <f t="shared" si="6"/>
        <v>25750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30000</v>
      </c>
      <c r="E29" s="37" t="s">
        <v>525</v>
      </c>
      <c r="F29" s="37">
        <f t="shared" si="8"/>
        <v>2500</v>
      </c>
      <c r="G29" s="37">
        <f t="shared" si="8"/>
        <v>2500</v>
      </c>
      <c r="H29" s="37">
        <f t="shared" si="8"/>
        <v>2500</v>
      </c>
      <c r="I29" s="37">
        <f t="shared" si="8"/>
        <v>2500</v>
      </c>
      <c r="J29" s="37">
        <f t="shared" si="8"/>
        <v>2500</v>
      </c>
      <c r="K29" s="37">
        <f t="shared" si="8"/>
        <v>2500</v>
      </c>
      <c r="L29" s="37">
        <f t="shared" si="8"/>
        <v>2500</v>
      </c>
      <c r="M29" s="37">
        <f t="shared" si="8"/>
        <v>2500</v>
      </c>
      <c r="N29" s="37">
        <f t="shared" si="8"/>
        <v>2500</v>
      </c>
      <c r="O29" s="37">
        <f t="shared" si="8"/>
        <v>2500</v>
      </c>
      <c r="P29" s="37">
        <f t="shared" si="8"/>
        <v>2500</v>
      </c>
      <c r="Q29" s="37">
        <f t="shared" si="6"/>
        <v>2500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58000</v>
      </c>
      <c r="E30" s="37" t="s">
        <v>525</v>
      </c>
      <c r="F30" s="37">
        <f t="shared" si="8"/>
        <v>4833</v>
      </c>
      <c r="G30" s="37">
        <f t="shared" si="8"/>
        <v>4833</v>
      </c>
      <c r="H30" s="37">
        <f t="shared" si="8"/>
        <v>4833</v>
      </c>
      <c r="I30" s="37">
        <f t="shared" si="8"/>
        <v>4833</v>
      </c>
      <c r="J30" s="37">
        <f t="shared" si="8"/>
        <v>4833</v>
      </c>
      <c r="K30" s="37">
        <f t="shared" si="8"/>
        <v>4833</v>
      </c>
      <c r="L30" s="37">
        <f t="shared" si="8"/>
        <v>4833</v>
      </c>
      <c r="M30" s="37">
        <f t="shared" si="8"/>
        <v>4833</v>
      </c>
      <c r="N30" s="37">
        <f t="shared" si="8"/>
        <v>4833</v>
      </c>
      <c r="O30" s="37">
        <f t="shared" si="8"/>
        <v>4833</v>
      </c>
      <c r="P30" s="37">
        <f t="shared" si="8"/>
        <v>4833</v>
      </c>
      <c r="Q30" s="37">
        <f t="shared" si="6"/>
        <v>4837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29000</v>
      </c>
      <c r="E31" s="37" t="s">
        <v>525</v>
      </c>
      <c r="F31" s="37">
        <f t="shared" si="8"/>
        <v>2417</v>
      </c>
      <c r="G31" s="37">
        <f t="shared" si="8"/>
        <v>2417</v>
      </c>
      <c r="H31" s="37">
        <f t="shared" si="8"/>
        <v>2417</v>
      </c>
      <c r="I31" s="37">
        <f t="shared" si="8"/>
        <v>2417</v>
      </c>
      <c r="J31" s="37">
        <f t="shared" si="8"/>
        <v>2417</v>
      </c>
      <c r="K31" s="37">
        <f t="shared" si="8"/>
        <v>2417</v>
      </c>
      <c r="L31" s="37">
        <f t="shared" si="8"/>
        <v>2417</v>
      </c>
      <c r="M31" s="37">
        <f t="shared" si="8"/>
        <v>2417</v>
      </c>
      <c r="N31" s="37">
        <f t="shared" si="8"/>
        <v>2417</v>
      </c>
      <c r="O31" s="37">
        <f t="shared" si="8"/>
        <v>2417</v>
      </c>
      <c r="P31" s="37">
        <f t="shared" si="8"/>
        <v>2417</v>
      </c>
      <c r="Q31" s="37">
        <f t="shared" si="6"/>
        <v>2413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50000</v>
      </c>
      <c r="E36" s="37" t="s">
        <v>193</v>
      </c>
      <c r="F36" s="37">
        <f>ROUND($D36/2,-3)</f>
        <v>25000</v>
      </c>
      <c r="G36" s="37"/>
      <c r="H36" s="37"/>
      <c r="I36" s="37"/>
      <c r="J36" s="37"/>
      <c r="K36" s="37"/>
      <c r="L36" s="37">
        <f>D36-F36</f>
        <v>25000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476000</v>
      </c>
      <c r="E37" s="108"/>
      <c r="F37" s="108">
        <f t="shared" ref="F37:P37" si="9">ROUND(SUM(F26:F36),-3)</f>
        <v>61000</v>
      </c>
      <c r="G37" s="108">
        <f t="shared" si="9"/>
        <v>36000</v>
      </c>
      <c r="H37" s="108">
        <f t="shared" si="9"/>
        <v>36000</v>
      </c>
      <c r="I37" s="108">
        <f t="shared" si="9"/>
        <v>36000</v>
      </c>
      <c r="J37" s="108">
        <f t="shared" si="9"/>
        <v>36000</v>
      </c>
      <c r="K37" s="108">
        <f t="shared" si="9"/>
        <v>36000</v>
      </c>
      <c r="L37" s="108">
        <f t="shared" si="9"/>
        <v>61000</v>
      </c>
      <c r="M37" s="108">
        <f t="shared" si="9"/>
        <v>36000</v>
      </c>
      <c r="N37" s="108">
        <f t="shared" si="9"/>
        <v>36000</v>
      </c>
      <c r="O37" s="108">
        <f t="shared" si="9"/>
        <v>36000</v>
      </c>
      <c r="P37" s="108">
        <f t="shared" si="9"/>
        <v>36000</v>
      </c>
      <c r="Q37" s="108">
        <f>D37-SUM(F37:P37)</f>
        <v>30000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1718000</v>
      </c>
      <c r="E48" s="37"/>
      <c r="F48" s="115">
        <f>F25+F37+F45+F47</f>
        <v>352000</v>
      </c>
      <c r="G48" s="115">
        <f t="shared" ref="G48:R48" si="14">G25+G37+G45+G47</f>
        <v>102000</v>
      </c>
      <c r="H48" s="115">
        <f t="shared" si="14"/>
        <v>102000</v>
      </c>
      <c r="I48" s="115">
        <f t="shared" si="14"/>
        <v>102000</v>
      </c>
      <c r="J48" s="115">
        <f t="shared" si="14"/>
        <v>102000</v>
      </c>
      <c r="K48" s="115">
        <f t="shared" si="14"/>
        <v>106000</v>
      </c>
      <c r="L48" s="115">
        <f t="shared" si="14"/>
        <v>348000</v>
      </c>
      <c r="M48" s="115">
        <f t="shared" si="14"/>
        <v>102000</v>
      </c>
      <c r="N48" s="115">
        <f t="shared" si="14"/>
        <v>106000</v>
      </c>
      <c r="O48" s="115">
        <f t="shared" si="14"/>
        <v>102000</v>
      </c>
      <c r="P48" s="115">
        <f t="shared" si="14"/>
        <v>102000</v>
      </c>
      <c r="Q48" s="115">
        <f t="shared" si="14"/>
        <v>92000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31109000</v>
      </c>
      <c r="E49" s="114" t="s">
        <v>202</v>
      </c>
      <c r="F49" s="37">
        <f>ROUND($D49/12*3,-3)</f>
        <v>7777000</v>
      </c>
      <c r="G49" s="37">
        <f>ROUND($D49/12,-3)</f>
        <v>2592000</v>
      </c>
      <c r="H49" s="37">
        <f t="shared" ref="H49:N53" si="15">ROUND($D49/12,-3)</f>
        <v>2592000</v>
      </c>
      <c r="I49" s="37">
        <f t="shared" si="15"/>
        <v>2592000</v>
      </c>
      <c r="J49" s="37">
        <f t="shared" si="15"/>
        <v>2592000</v>
      </c>
      <c r="K49" s="37">
        <f t="shared" si="15"/>
        <v>2592000</v>
      </c>
      <c r="L49" s="37">
        <f t="shared" si="15"/>
        <v>2592000</v>
      </c>
      <c r="M49" s="37">
        <f t="shared" si="15"/>
        <v>2592000</v>
      </c>
      <c r="N49" s="37">
        <f t="shared" si="15"/>
        <v>2592000</v>
      </c>
      <c r="O49" s="37">
        <f>D49-SUM(F49:N49)</f>
        <v>2596000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406000</v>
      </c>
      <c r="E50" s="114" t="s">
        <v>202</v>
      </c>
      <c r="F50" s="37">
        <f t="shared" ref="F50:F53" si="16">ROUND($D50/12*3,-3)</f>
        <v>102000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si="15"/>
        <v>34000</v>
      </c>
      <c r="N50" s="37">
        <f t="shared" si="15"/>
        <v>34000</v>
      </c>
      <c r="O50" s="37">
        <f t="shared" ref="O50:O53" si="18">D50-SUM(F50:N50)</f>
        <v>32000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2635000</v>
      </c>
      <c r="E51" s="114" t="s">
        <v>202</v>
      </c>
      <c r="F51" s="37">
        <f t="shared" si="16"/>
        <v>659000</v>
      </c>
      <c r="G51" s="37">
        <f t="shared" si="17"/>
        <v>220000</v>
      </c>
      <c r="H51" s="37">
        <f t="shared" si="15"/>
        <v>220000</v>
      </c>
      <c r="I51" s="37">
        <f t="shared" si="15"/>
        <v>220000</v>
      </c>
      <c r="J51" s="37">
        <f t="shared" si="15"/>
        <v>220000</v>
      </c>
      <c r="K51" s="37">
        <f t="shared" si="15"/>
        <v>220000</v>
      </c>
      <c r="L51" s="37">
        <f t="shared" si="15"/>
        <v>220000</v>
      </c>
      <c r="M51" s="37">
        <f t="shared" si="15"/>
        <v>220000</v>
      </c>
      <c r="N51" s="37">
        <f t="shared" si="15"/>
        <v>220000</v>
      </c>
      <c r="O51" s="37">
        <f t="shared" si="18"/>
        <v>216000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399000</v>
      </c>
      <c r="E52" s="114" t="s">
        <v>202</v>
      </c>
      <c r="F52" s="37">
        <f t="shared" si="16"/>
        <v>100000</v>
      </c>
      <c r="G52" s="37">
        <f t="shared" si="17"/>
        <v>33000</v>
      </c>
      <c r="H52" s="37">
        <f t="shared" si="15"/>
        <v>33000</v>
      </c>
      <c r="I52" s="37">
        <f t="shared" si="15"/>
        <v>33000</v>
      </c>
      <c r="J52" s="37">
        <f t="shared" si="15"/>
        <v>33000</v>
      </c>
      <c r="K52" s="37">
        <f t="shared" si="15"/>
        <v>33000</v>
      </c>
      <c r="L52" s="37">
        <f t="shared" si="15"/>
        <v>33000</v>
      </c>
      <c r="M52" s="37">
        <f t="shared" si="15"/>
        <v>33000</v>
      </c>
      <c r="N52" s="37">
        <f t="shared" si="15"/>
        <v>33000</v>
      </c>
      <c r="O52" s="37">
        <f t="shared" si="18"/>
        <v>35000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76000</v>
      </c>
      <c r="E54" s="37" t="s">
        <v>525</v>
      </c>
      <c r="F54" s="37">
        <f t="shared" ref="F54:P61" si="19">ROUND($D54/12,0)</f>
        <v>6333</v>
      </c>
      <c r="G54" s="37">
        <f t="shared" si="19"/>
        <v>6333</v>
      </c>
      <c r="H54" s="37">
        <f t="shared" si="19"/>
        <v>6333</v>
      </c>
      <c r="I54" s="37">
        <f t="shared" si="19"/>
        <v>6333</v>
      </c>
      <c r="J54" s="37">
        <f t="shared" si="19"/>
        <v>6333</v>
      </c>
      <c r="K54" s="37">
        <f t="shared" si="19"/>
        <v>6333</v>
      </c>
      <c r="L54" s="37">
        <f t="shared" si="19"/>
        <v>6333</v>
      </c>
      <c r="M54" s="37">
        <f t="shared" si="19"/>
        <v>6333</v>
      </c>
      <c r="N54" s="37">
        <f t="shared" si="19"/>
        <v>6333</v>
      </c>
      <c r="O54" s="37">
        <f t="shared" si="19"/>
        <v>6333</v>
      </c>
      <c r="P54" s="37">
        <f t="shared" si="19"/>
        <v>6333</v>
      </c>
      <c r="Q54" s="37">
        <f t="shared" ref="Q54:Q61" si="20">D54-SUM(F54:P54)</f>
        <v>6337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0</v>
      </c>
      <c r="E59" s="37" t="s">
        <v>525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822000</v>
      </c>
      <c r="E60" s="37" t="s">
        <v>195</v>
      </c>
      <c r="F60" s="37">
        <f>D60</f>
        <v>822000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4243000</v>
      </c>
      <c r="E62" s="37" t="s">
        <v>197</v>
      </c>
      <c r="F62" s="37"/>
      <c r="G62" s="37"/>
      <c r="H62" s="37"/>
      <c r="I62" s="37">
        <f>ROUND($D62/5,-3)</f>
        <v>849000</v>
      </c>
      <c r="J62" s="37"/>
      <c r="K62" s="37"/>
      <c r="L62" s="37"/>
      <c r="M62" s="37"/>
      <c r="N62" s="37">
        <f>D62-I62</f>
        <v>3394000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3851000</v>
      </c>
      <c r="E63" s="37" t="s">
        <v>195</v>
      </c>
      <c r="F63" s="37">
        <f>D63</f>
        <v>3851000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3430000</v>
      </c>
      <c r="E64" s="114" t="s">
        <v>202</v>
      </c>
      <c r="F64" s="37">
        <f>ROUND($D64/12*3,-3)</f>
        <v>858000</v>
      </c>
      <c r="G64" s="37">
        <f>ROUND($D64/12,-3)</f>
        <v>286000</v>
      </c>
      <c r="H64" s="37">
        <f t="shared" ref="H64:N66" si="21">ROUND($D64/12,-3)</f>
        <v>286000</v>
      </c>
      <c r="I64" s="37">
        <f t="shared" si="21"/>
        <v>286000</v>
      </c>
      <c r="J64" s="37">
        <f t="shared" si="21"/>
        <v>286000</v>
      </c>
      <c r="K64" s="37">
        <f t="shared" si="21"/>
        <v>286000</v>
      </c>
      <c r="L64" s="37">
        <f t="shared" si="21"/>
        <v>286000</v>
      </c>
      <c r="M64" s="37">
        <f t="shared" si="21"/>
        <v>286000</v>
      </c>
      <c r="N64" s="37">
        <f t="shared" si="21"/>
        <v>286000</v>
      </c>
      <c r="O64" s="37">
        <f>D64-SUM(F64:N64)</f>
        <v>284000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850000</v>
      </c>
      <c r="E65" s="114" t="s">
        <v>202</v>
      </c>
      <c r="F65" s="37">
        <f t="shared" ref="F65:F66" si="22">ROUND($D65/12*3,-3)</f>
        <v>213000</v>
      </c>
      <c r="G65" s="37">
        <f t="shared" ref="G65:G66" si="23">ROUND($D65/12,-3)</f>
        <v>71000</v>
      </c>
      <c r="H65" s="37">
        <f t="shared" si="21"/>
        <v>71000</v>
      </c>
      <c r="I65" s="37">
        <f t="shared" si="21"/>
        <v>71000</v>
      </c>
      <c r="J65" s="37">
        <f t="shared" si="21"/>
        <v>71000</v>
      </c>
      <c r="K65" s="37">
        <f t="shared" si="21"/>
        <v>71000</v>
      </c>
      <c r="L65" s="37">
        <f t="shared" si="21"/>
        <v>71000</v>
      </c>
      <c r="M65" s="37">
        <f t="shared" si="21"/>
        <v>71000</v>
      </c>
      <c r="N65" s="37">
        <f t="shared" si="21"/>
        <v>71000</v>
      </c>
      <c r="O65" s="37">
        <f t="shared" ref="O65:O66" si="24">D65-SUM(F65:N65)</f>
        <v>69000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2103000</v>
      </c>
      <c r="E66" s="114" t="s">
        <v>202</v>
      </c>
      <c r="F66" s="37">
        <f t="shared" si="22"/>
        <v>526000</v>
      </c>
      <c r="G66" s="37">
        <f t="shared" si="23"/>
        <v>175000</v>
      </c>
      <c r="H66" s="37">
        <f t="shared" si="21"/>
        <v>175000</v>
      </c>
      <c r="I66" s="37">
        <f t="shared" si="21"/>
        <v>175000</v>
      </c>
      <c r="J66" s="37">
        <f t="shared" si="21"/>
        <v>175000</v>
      </c>
      <c r="K66" s="37">
        <f t="shared" si="21"/>
        <v>175000</v>
      </c>
      <c r="L66" s="37">
        <f t="shared" si="21"/>
        <v>175000</v>
      </c>
      <c r="M66" s="37">
        <f t="shared" si="21"/>
        <v>175000</v>
      </c>
      <c r="N66" s="37">
        <f t="shared" si="21"/>
        <v>175000</v>
      </c>
      <c r="O66" s="37">
        <f t="shared" si="24"/>
        <v>177000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63000</v>
      </c>
      <c r="E67" s="37" t="s">
        <v>196</v>
      </c>
      <c r="F67" s="37"/>
      <c r="G67" s="37"/>
      <c r="H67" s="37">
        <f>D67</f>
        <v>63000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256000</v>
      </c>
      <c r="E68" s="37" t="s">
        <v>195</v>
      </c>
      <c r="F68" s="37">
        <f>D68</f>
        <v>256000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30000</v>
      </c>
      <c r="E69" s="37" t="s">
        <v>193</v>
      </c>
      <c r="F69" s="37">
        <f>ROUND($D69/2,-3)</f>
        <v>15000</v>
      </c>
      <c r="G69" s="37"/>
      <c r="H69" s="37"/>
      <c r="I69" s="37"/>
      <c r="J69" s="37"/>
      <c r="K69" s="37"/>
      <c r="L69" s="37">
        <f>D69-F69</f>
        <v>15000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50273000</v>
      </c>
      <c r="E70" s="108"/>
      <c r="F70" s="108">
        <f t="shared" ref="F70:P70" si="25">ROUND(SUM(F49:F69),-3)</f>
        <v>15185000</v>
      </c>
      <c r="G70" s="108">
        <f t="shared" si="25"/>
        <v>3417000</v>
      </c>
      <c r="H70" s="108">
        <f t="shared" si="25"/>
        <v>3480000</v>
      </c>
      <c r="I70" s="108">
        <f t="shared" si="25"/>
        <v>4266000</v>
      </c>
      <c r="J70" s="108">
        <f t="shared" si="25"/>
        <v>3417000</v>
      </c>
      <c r="K70" s="108">
        <f t="shared" si="25"/>
        <v>3417000</v>
      </c>
      <c r="L70" s="108">
        <f t="shared" si="25"/>
        <v>3432000</v>
      </c>
      <c r="M70" s="108">
        <f t="shared" si="25"/>
        <v>3417000</v>
      </c>
      <c r="N70" s="108">
        <f t="shared" si="25"/>
        <v>6811000</v>
      </c>
      <c r="O70" s="108">
        <f t="shared" si="25"/>
        <v>3415000</v>
      </c>
      <c r="P70" s="108">
        <f t="shared" si="25"/>
        <v>6000</v>
      </c>
      <c r="Q70" s="108">
        <f>D70-SUM(F70:P70)</f>
        <v>10000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7691000</v>
      </c>
      <c r="E72" s="114" t="s">
        <v>202</v>
      </c>
      <c r="F72" s="37">
        <f>ROUND($D72/12*3,-3)</f>
        <v>1923000</v>
      </c>
      <c r="G72" s="37">
        <f>ROUND($D72/12,-3)</f>
        <v>641000</v>
      </c>
      <c r="H72" s="37">
        <f t="shared" ref="H72:N75" si="26">ROUND($D72/12,-3)</f>
        <v>641000</v>
      </c>
      <c r="I72" s="37">
        <f t="shared" si="26"/>
        <v>641000</v>
      </c>
      <c r="J72" s="37">
        <f t="shared" si="26"/>
        <v>641000</v>
      </c>
      <c r="K72" s="37">
        <f t="shared" si="26"/>
        <v>641000</v>
      </c>
      <c r="L72" s="37">
        <f t="shared" si="26"/>
        <v>641000</v>
      </c>
      <c r="M72" s="37">
        <f t="shared" si="26"/>
        <v>641000</v>
      </c>
      <c r="N72" s="37">
        <f t="shared" si="26"/>
        <v>641000</v>
      </c>
      <c r="O72" s="37">
        <f>D72-SUM(F72:N72)</f>
        <v>640000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251000</v>
      </c>
      <c r="E75" s="114" t="s">
        <v>202</v>
      </c>
      <c r="F75" s="37">
        <f>ROUND($D75/12*3,-3)</f>
        <v>63000</v>
      </c>
      <c r="G75" s="37">
        <f>ROUND($D75/12,-3)</f>
        <v>21000</v>
      </c>
      <c r="H75" s="37">
        <f t="shared" si="26"/>
        <v>21000</v>
      </c>
      <c r="I75" s="37">
        <f t="shared" si="26"/>
        <v>21000</v>
      </c>
      <c r="J75" s="37">
        <f t="shared" si="26"/>
        <v>21000</v>
      </c>
      <c r="K75" s="37">
        <f t="shared" si="26"/>
        <v>21000</v>
      </c>
      <c r="L75" s="37">
        <f t="shared" si="26"/>
        <v>21000</v>
      </c>
      <c r="M75" s="37">
        <f t="shared" si="26"/>
        <v>21000</v>
      </c>
      <c r="N75" s="37">
        <f t="shared" si="26"/>
        <v>21000</v>
      </c>
      <c r="O75" s="37">
        <f>D75-SUM(F75:N75)</f>
        <v>20000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7942000</v>
      </c>
      <c r="E76" s="108"/>
      <c r="F76" s="108">
        <f>ROUND(SUM(F71:F75),-3)</f>
        <v>1986000</v>
      </c>
      <c r="G76" s="108">
        <f t="shared" ref="G76:N76" si="27">ROUND(SUM(G71:G75),-3)</f>
        <v>662000</v>
      </c>
      <c r="H76" s="108">
        <f t="shared" si="27"/>
        <v>662000</v>
      </c>
      <c r="I76" s="108">
        <f t="shared" si="27"/>
        <v>662000</v>
      </c>
      <c r="J76" s="108">
        <f t="shared" si="27"/>
        <v>662000</v>
      </c>
      <c r="K76" s="108">
        <f t="shared" si="27"/>
        <v>662000</v>
      </c>
      <c r="L76" s="108">
        <f t="shared" si="27"/>
        <v>662000</v>
      </c>
      <c r="M76" s="108">
        <f t="shared" si="27"/>
        <v>662000</v>
      </c>
      <c r="N76" s="108">
        <f t="shared" si="27"/>
        <v>662000</v>
      </c>
      <c r="O76" s="108">
        <f>D76-SUM(F76:N76)</f>
        <v>660000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896000</v>
      </c>
      <c r="E77" s="37" t="s">
        <v>681</v>
      </c>
      <c r="F77" s="224"/>
      <c r="G77" s="224"/>
      <c r="H77" s="224">
        <f>ROUND($D77/2,-3)</f>
        <v>448000</v>
      </c>
      <c r="I77" s="224"/>
      <c r="J77" s="224"/>
      <c r="K77" s="224"/>
      <c r="L77" s="224"/>
      <c r="M77" s="224"/>
      <c r="N77" s="224">
        <f>D77-H77</f>
        <v>448000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59111000</v>
      </c>
      <c r="E78" s="227"/>
      <c r="F78" s="227">
        <f>F76+F70+F77</f>
        <v>17171000</v>
      </c>
      <c r="G78" s="227">
        <f t="shared" ref="G78:Q78" si="29">G76+G70+G77</f>
        <v>4079000</v>
      </c>
      <c r="H78" s="227">
        <f t="shared" si="29"/>
        <v>4590000</v>
      </c>
      <c r="I78" s="227">
        <f t="shared" si="29"/>
        <v>4928000</v>
      </c>
      <c r="J78" s="227">
        <f t="shared" si="29"/>
        <v>4079000</v>
      </c>
      <c r="K78" s="227">
        <f t="shared" si="29"/>
        <v>4079000</v>
      </c>
      <c r="L78" s="227">
        <f t="shared" si="29"/>
        <v>4094000</v>
      </c>
      <c r="M78" s="227">
        <f t="shared" si="29"/>
        <v>4079000</v>
      </c>
      <c r="N78" s="227">
        <f t="shared" si="29"/>
        <v>7921000</v>
      </c>
      <c r="O78" s="227">
        <f t="shared" si="29"/>
        <v>4075000</v>
      </c>
      <c r="P78" s="227">
        <f t="shared" si="29"/>
        <v>6000</v>
      </c>
      <c r="Q78" s="227">
        <f t="shared" si="29"/>
        <v>10000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50000</v>
      </c>
      <c r="E80" s="108" t="s">
        <v>195</v>
      </c>
      <c r="F80" s="108">
        <f t="shared" ref="F80:F82" si="30">D80</f>
        <v>50000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50000</v>
      </c>
      <c r="E83" s="116"/>
      <c r="F83" s="116">
        <f>SUM(F79:F82)</f>
        <v>50000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60879000</v>
      </c>
      <c r="E87" s="37"/>
      <c r="F87" s="37">
        <f>F88+F89+F90+F91</f>
        <v>17573000</v>
      </c>
      <c r="G87" s="37">
        <f t="shared" ref="G87:Q87" si="32">G88+G89+G90+G91</f>
        <v>4181000</v>
      </c>
      <c r="H87" s="37">
        <f t="shared" si="32"/>
        <v>4692000</v>
      </c>
      <c r="I87" s="37">
        <f t="shared" si="32"/>
        <v>5030000</v>
      </c>
      <c r="J87" s="37">
        <f t="shared" si="32"/>
        <v>4181000</v>
      </c>
      <c r="K87" s="37">
        <f t="shared" si="32"/>
        <v>4185000</v>
      </c>
      <c r="L87" s="37">
        <f t="shared" si="32"/>
        <v>4442000</v>
      </c>
      <c r="M87" s="37">
        <f t="shared" si="32"/>
        <v>4181000</v>
      </c>
      <c r="N87" s="37">
        <f t="shared" si="32"/>
        <v>8027000</v>
      </c>
      <c r="O87" s="37">
        <f t="shared" si="32"/>
        <v>4177000</v>
      </c>
      <c r="P87" s="37">
        <f t="shared" si="32"/>
        <v>108000</v>
      </c>
      <c r="Q87" s="37">
        <f t="shared" si="32"/>
        <v>102000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350000</v>
      </c>
      <c r="E88" s="108" t="s">
        <v>193</v>
      </c>
      <c r="F88" s="108">
        <f>ROUND($D88/2,-3)</f>
        <v>175000</v>
      </c>
      <c r="G88" s="108"/>
      <c r="H88" s="108"/>
      <c r="I88" s="108"/>
      <c r="J88" s="108"/>
      <c r="K88" s="108"/>
      <c r="L88" s="108">
        <f>D88-F88</f>
        <v>175000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150000</v>
      </c>
      <c r="E89" s="108" t="s">
        <v>193</v>
      </c>
      <c r="F89" s="108">
        <f>ROUND($D89/2,-3)</f>
        <v>75000</v>
      </c>
      <c r="G89" s="108"/>
      <c r="H89" s="108"/>
      <c r="I89" s="108"/>
      <c r="J89" s="108"/>
      <c r="K89" s="108"/>
      <c r="L89" s="108">
        <f>D89-F89</f>
        <v>75000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5000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2000</v>
      </c>
      <c r="M90" s="108"/>
      <c r="N90" s="108"/>
      <c r="O90" s="108"/>
      <c r="P90" s="108"/>
      <c r="Q90" s="108">
        <f>ROUND($D90/2,-3)</f>
        <v>3000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60374000</v>
      </c>
      <c r="E91" s="108"/>
      <c r="F91" s="108">
        <f>F92+F93+F94+F95</f>
        <v>17323000</v>
      </c>
      <c r="G91" s="108">
        <f t="shared" ref="G91:Q91" si="34">G92+G93+G94+G95</f>
        <v>4181000</v>
      </c>
      <c r="H91" s="108">
        <f t="shared" si="34"/>
        <v>4692000</v>
      </c>
      <c r="I91" s="108">
        <f t="shared" si="34"/>
        <v>5030000</v>
      </c>
      <c r="J91" s="108">
        <f t="shared" si="34"/>
        <v>4181000</v>
      </c>
      <c r="K91" s="108">
        <f t="shared" si="34"/>
        <v>4185000</v>
      </c>
      <c r="L91" s="108">
        <f t="shared" si="34"/>
        <v>4190000</v>
      </c>
      <c r="M91" s="108">
        <f t="shared" si="34"/>
        <v>4181000</v>
      </c>
      <c r="N91" s="108">
        <f t="shared" si="34"/>
        <v>8027000</v>
      </c>
      <c r="O91" s="108">
        <f t="shared" si="34"/>
        <v>4177000</v>
      </c>
      <c r="P91" s="108">
        <f t="shared" si="34"/>
        <v>108000</v>
      </c>
      <c r="Q91" s="108">
        <f t="shared" si="34"/>
        <v>99000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3560000</v>
      </c>
      <c r="E92" s="114" t="s">
        <v>537</v>
      </c>
      <c r="F92" s="37">
        <f>ROUND($D92/12*5,-3)</f>
        <v>1483000</v>
      </c>
      <c r="G92" s="37">
        <f>ROUND($D92/12,-3)</f>
        <v>297000</v>
      </c>
      <c r="H92" s="37">
        <f t="shared" ref="H92:L92" si="35">ROUND($D92/12,-3)</f>
        <v>297000</v>
      </c>
      <c r="I92" s="37">
        <f t="shared" si="35"/>
        <v>297000</v>
      </c>
      <c r="J92" s="37">
        <f t="shared" si="35"/>
        <v>297000</v>
      </c>
      <c r="K92" s="37">
        <f t="shared" si="35"/>
        <v>297000</v>
      </c>
      <c r="L92" s="37">
        <f t="shared" si="35"/>
        <v>297000</v>
      </c>
      <c r="M92" s="37">
        <f>D92-SUM(F92:L92)</f>
        <v>295000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218000</v>
      </c>
      <c r="E93" s="109" t="s">
        <v>227</v>
      </c>
      <c r="F93" s="37">
        <f>ROUND($D93/12,-3)</f>
        <v>18000</v>
      </c>
      <c r="G93" s="37">
        <f t="shared" ref="G93:P93" si="36">ROUND($D93/12,-3)</f>
        <v>18000</v>
      </c>
      <c r="H93" s="37">
        <f t="shared" si="36"/>
        <v>18000</v>
      </c>
      <c r="I93" s="37">
        <f t="shared" si="36"/>
        <v>18000</v>
      </c>
      <c r="J93" s="37">
        <f t="shared" si="36"/>
        <v>18000</v>
      </c>
      <c r="K93" s="37">
        <f t="shared" si="36"/>
        <v>18000</v>
      </c>
      <c r="L93" s="37">
        <f t="shared" si="36"/>
        <v>18000</v>
      </c>
      <c r="M93" s="37">
        <f t="shared" si="36"/>
        <v>18000</v>
      </c>
      <c r="N93" s="37">
        <f t="shared" si="36"/>
        <v>18000</v>
      </c>
      <c r="O93" s="37">
        <f t="shared" si="36"/>
        <v>18000</v>
      </c>
      <c r="P93" s="37">
        <f t="shared" si="36"/>
        <v>18000</v>
      </c>
      <c r="Q93" s="37">
        <f>D93-SUM(F93:P93)</f>
        <v>20000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1260000</v>
      </c>
      <c r="E94" s="110" t="s">
        <v>229</v>
      </c>
      <c r="F94" s="37"/>
      <c r="G94" s="37"/>
      <c r="H94" s="37">
        <f>ROUND($D94/2,-3)</f>
        <v>630000</v>
      </c>
      <c r="I94" s="37"/>
      <c r="J94" s="37"/>
      <c r="K94" s="37"/>
      <c r="L94" s="37"/>
      <c r="M94" s="37"/>
      <c r="N94" s="37"/>
      <c r="O94" s="37">
        <f>D94-H94</f>
        <v>630000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55336000</v>
      </c>
      <c r="E95" s="37"/>
      <c r="F95" s="37">
        <f>F2+F86-F88-F89-F90-F92-F93-F94</f>
        <v>15822000</v>
      </c>
      <c r="G95" s="37">
        <f t="shared" ref="G95:Q95" si="37">G2-G88-G89-G90-G92-G93-G94</f>
        <v>3866000</v>
      </c>
      <c r="H95" s="37">
        <f t="shared" si="37"/>
        <v>3747000</v>
      </c>
      <c r="I95" s="37">
        <f t="shared" si="37"/>
        <v>4715000</v>
      </c>
      <c r="J95" s="37">
        <f t="shared" si="37"/>
        <v>3866000</v>
      </c>
      <c r="K95" s="37">
        <f t="shared" si="37"/>
        <v>3870000</v>
      </c>
      <c r="L95" s="37">
        <f t="shared" si="37"/>
        <v>3875000</v>
      </c>
      <c r="M95" s="37">
        <f t="shared" si="37"/>
        <v>3868000</v>
      </c>
      <c r="N95" s="37">
        <f t="shared" si="37"/>
        <v>8009000</v>
      </c>
      <c r="O95" s="37">
        <f t="shared" si="37"/>
        <v>3529000</v>
      </c>
      <c r="P95" s="37">
        <f t="shared" si="37"/>
        <v>90000</v>
      </c>
      <c r="Q95" s="37">
        <f t="shared" si="37"/>
        <v>79000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800000</v>
      </c>
    </row>
    <row r="99" spans="2:17" ht="32.4">
      <c r="B99" s="72" t="s">
        <v>235</v>
      </c>
      <c r="D99" s="30">
        <f>HLOOKUP(D1,縣庫撥款收入明細表!H:DD,5,FALSE)</f>
        <v>1590000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1170000</v>
      </c>
    </row>
    <row r="102" spans="2:17" ht="32.4">
      <c r="B102" s="71" t="s">
        <v>238</v>
      </c>
      <c r="D102" s="30">
        <f>HLOOKUP(D1,縣庫撥款收入明細表!H:DD,16,FALSE)</f>
        <v>204000</v>
      </c>
    </row>
    <row r="103" spans="2:17" ht="32.4">
      <c r="B103" s="72" t="s">
        <v>239</v>
      </c>
      <c r="D103" s="30">
        <f>HLOOKUP(D1,縣庫撥款收入明細表!H:DD,17,FALSE)</f>
        <v>0</v>
      </c>
    </row>
    <row r="104" spans="2:17" ht="32.4">
      <c r="B104" s="76" t="s">
        <v>240</v>
      </c>
      <c r="D104" s="30">
        <f>HLOOKUP(D1,縣庫撥款收入明細表!H:DD,18,FALSE)</f>
        <v>1260000</v>
      </c>
    </row>
    <row r="105" spans="2:17" ht="32.4">
      <c r="B105" s="72" t="s">
        <v>380</v>
      </c>
      <c r="D105" s="30">
        <f>HLOOKUP(D1,縣庫撥款收入明細表!H:DD,19,FALSE)</f>
        <v>0</v>
      </c>
    </row>
    <row r="106" spans="2:17" ht="32.4">
      <c r="B106" s="71" t="s">
        <v>241</v>
      </c>
      <c r="D106" s="30">
        <f>HLOOKUP(D1,縣庫撥款收入明細表!H:DD,20,FALSE)</f>
        <v>14000</v>
      </c>
    </row>
    <row r="107" spans="2:17" ht="32.4">
      <c r="B107" s="77" t="s">
        <v>242</v>
      </c>
      <c r="D107" s="30">
        <f>HLOOKUP(D1,縣庫撥款收入明細表!H:DD,21,FALSE)</f>
        <v>55336000</v>
      </c>
    </row>
    <row r="108" spans="2:17" ht="16.5" customHeight="1"/>
    <row r="109" spans="2:17" ht="16.5" customHeight="1">
      <c r="B109" s="4" t="s">
        <v>682</v>
      </c>
      <c r="D109" s="30">
        <f>D91-D76</f>
        <v>52432000</v>
      </c>
      <c r="F109" s="30">
        <f>F91-F76</f>
        <v>15337000</v>
      </c>
      <c r="G109" s="30">
        <f t="shared" ref="G109:Q109" si="38">G91-G76</f>
        <v>3519000</v>
      </c>
      <c r="H109" s="30">
        <f t="shared" si="38"/>
        <v>4030000</v>
      </c>
      <c r="I109" s="30">
        <f t="shared" si="38"/>
        <v>4368000</v>
      </c>
      <c r="J109" s="30">
        <f t="shared" si="38"/>
        <v>3519000</v>
      </c>
      <c r="K109" s="30">
        <f t="shared" si="38"/>
        <v>3523000</v>
      </c>
      <c r="L109" s="30">
        <f t="shared" si="38"/>
        <v>3528000</v>
      </c>
      <c r="M109" s="30">
        <f t="shared" si="38"/>
        <v>3519000</v>
      </c>
      <c r="N109" s="30">
        <f t="shared" si="38"/>
        <v>7365000</v>
      </c>
      <c r="O109" s="30">
        <f t="shared" si="38"/>
        <v>3517000</v>
      </c>
      <c r="P109" s="30">
        <f t="shared" si="38"/>
        <v>108000</v>
      </c>
      <c r="Q109" s="30">
        <f t="shared" si="38"/>
        <v>99000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8:C78"/>
    <mergeCell ref="A79:A83"/>
    <mergeCell ref="A1:B1"/>
    <mergeCell ref="A2:B2"/>
    <mergeCell ref="A3:A48"/>
    <mergeCell ref="A49:A70"/>
    <mergeCell ref="A71:A76"/>
  </mergeCells>
  <phoneticPr fontId="3" type="noConversion"/>
  <conditionalFormatting sqref="F95:Q95">
    <cfRule type="cellIs" dxfId="18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609</v>
      </c>
      <c r="D1" s="240" t="str">
        <f>VLOOKUP(C1,學校編號!A:B,2,FALSE)</f>
        <v>609忠孝國小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77324000</v>
      </c>
      <c r="E2" s="37"/>
      <c r="F2" s="37">
        <f>F48+F70+F76+F77+F83</f>
        <v>22165000</v>
      </c>
      <c r="G2" s="37">
        <f t="shared" ref="G2:Q2" si="0">G48+G70+G76+G77+G83</f>
        <v>5452000</v>
      </c>
      <c r="H2" s="37">
        <f t="shared" si="0"/>
        <v>5891000</v>
      </c>
      <c r="I2" s="37">
        <f t="shared" si="0"/>
        <v>6446000</v>
      </c>
      <c r="J2" s="37">
        <f t="shared" si="0"/>
        <v>5452000</v>
      </c>
      <c r="K2" s="37">
        <f t="shared" si="0"/>
        <v>5456000</v>
      </c>
      <c r="L2" s="37">
        <f t="shared" si="0"/>
        <v>5521000</v>
      </c>
      <c r="M2" s="37">
        <f t="shared" si="0"/>
        <v>5452000</v>
      </c>
      <c r="N2" s="37">
        <f t="shared" si="0"/>
        <v>9784000</v>
      </c>
      <c r="O2" s="37">
        <f t="shared" si="0"/>
        <v>5441000</v>
      </c>
      <c r="P2" s="37">
        <f t="shared" si="0"/>
        <v>127000</v>
      </c>
      <c r="Q2" s="37">
        <f t="shared" si="0"/>
        <v>137000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346000</v>
      </c>
      <c r="E3" s="37" t="s">
        <v>525</v>
      </c>
      <c r="F3" s="37">
        <f t="shared" ref="F3:P17" si="1">ROUND($D3/12,0)</f>
        <v>28833</v>
      </c>
      <c r="G3" s="37">
        <f t="shared" si="1"/>
        <v>28833</v>
      </c>
      <c r="H3" s="37">
        <f t="shared" si="1"/>
        <v>28833</v>
      </c>
      <c r="I3" s="37">
        <f t="shared" si="1"/>
        <v>28833</v>
      </c>
      <c r="J3" s="37">
        <f t="shared" si="1"/>
        <v>28833</v>
      </c>
      <c r="K3" s="37">
        <f t="shared" si="1"/>
        <v>28833</v>
      </c>
      <c r="L3" s="37">
        <f t="shared" si="1"/>
        <v>28833</v>
      </c>
      <c r="M3" s="37">
        <f t="shared" si="1"/>
        <v>28833</v>
      </c>
      <c r="N3" s="37">
        <f t="shared" si="1"/>
        <v>28833</v>
      </c>
      <c r="O3" s="37">
        <f t="shared" si="1"/>
        <v>28833</v>
      </c>
      <c r="P3" s="37">
        <f t="shared" si="1"/>
        <v>28833</v>
      </c>
      <c r="Q3" s="37">
        <f t="shared" ref="Q3:Q10" si="2">D3-SUM(F3:P3)</f>
        <v>28837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149000</v>
      </c>
      <c r="E4" s="37" t="s">
        <v>525</v>
      </c>
      <c r="F4" s="37">
        <f t="shared" si="1"/>
        <v>12417</v>
      </c>
      <c r="G4" s="37">
        <f t="shared" si="1"/>
        <v>12417</v>
      </c>
      <c r="H4" s="37">
        <f t="shared" si="1"/>
        <v>12417</v>
      </c>
      <c r="I4" s="37">
        <f t="shared" si="1"/>
        <v>12417</v>
      </c>
      <c r="J4" s="37">
        <f t="shared" si="1"/>
        <v>12417</v>
      </c>
      <c r="K4" s="37">
        <f t="shared" si="1"/>
        <v>12417</v>
      </c>
      <c r="L4" s="37">
        <f t="shared" si="1"/>
        <v>12417</v>
      </c>
      <c r="M4" s="37">
        <f t="shared" si="1"/>
        <v>12417</v>
      </c>
      <c r="N4" s="37">
        <f t="shared" si="1"/>
        <v>12417</v>
      </c>
      <c r="O4" s="37">
        <f t="shared" si="1"/>
        <v>12417</v>
      </c>
      <c r="P4" s="37">
        <f t="shared" si="1"/>
        <v>12417</v>
      </c>
      <c r="Q4" s="37">
        <f t="shared" si="2"/>
        <v>12413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73000</v>
      </c>
      <c r="E7" s="37" t="s">
        <v>525</v>
      </c>
      <c r="F7" s="37">
        <f t="shared" si="1"/>
        <v>6083</v>
      </c>
      <c r="G7" s="37">
        <f t="shared" si="1"/>
        <v>6083</v>
      </c>
      <c r="H7" s="37">
        <f t="shared" si="1"/>
        <v>6083</v>
      </c>
      <c r="I7" s="37">
        <f t="shared" si="1"/>
        <v>6083</v>
      </c>
      <c r="J7" s="37">
        <f t="shared" si="1"/>
        <v>6083</v>
      </c>
      <c r="K7" s="37">
        <f t="shared" si="1"/>
        <v>6083</v>
      </c>
      <c r="L7" s="37">
        <f t="shared" si="1"/>
        <v>6083</v>
      </c>
      <c r="M7" s="37">
        <f t="shared" si="1"/>
        <v>6083</v>
      </c>
      <c r="N7" s="37">
        <f t="shared" si="1"/>
        <v>6083</v>
      </c>
      <c r="O7" s="37">
        <f t="shared" si="1"/>
        <v>6083</v>
      </c>
      <c r="P7" s="37">
        <f t="shared" si="1"/>
        <v>6083</v>
      </c>
      <c r="Q7" s="37">
        <f t="shared" si="2"/>
        <v>6087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60000</v>
      </c>
      <c r="E8" s="37" t="s">
        <v>525</v>
      </c>
      <c r="F8" s="37">
        <f t="shared" si="1"/>
        <v>5000</v>
      </c>
      <c r="G8" s="37">
        <f t="shared" si="1"/>
        <v>5000</v>
      </c>
      <c r="H8" s="37">
        <f t="shared" si="1"/>
        <v>5000</v>
      </c>
      <c r="I8" s="37">
        <f t="shared" si="1"/>
        <v>5000</v>
      </c>
      <c r="J8" s="37">
        <f t="shared" si="1"/>
        <v>5000</v>
      </c>
      <c r="K8" s="37">
        <f t="shared" si="1"/>
        <v>5000</v>
      </c>
      <c r="L8" s="37">
        <f t="shared" si="1"/>
        <v>5000</v>
      </c>
      <c r="M8" s="37">
        <f t="shared" si="1"/>
        <v>5000</v>
      </c>
      <c r="N8" s="37">
        <f t="shared" si="1"/>
        <v>5000</v>
      </c>
      <c r="O8" s="37">
        <f t="shared" si="1"/>
        <v>5000</v>
      </c>
      <c r="P8" s="37">
        <f t="shared" si="1"/>
        <v>5000</v>
      </c>
      <c r="Q8" s="37">
        <f t="shared" si="2"/>
        <v>5000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6000</v>
      </c>
      <c r="E9" s="37" t="s">
        <v>525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164000</v>
      </c>
      <c r="E13" s="37" t="s">
        <v>525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88000</v>
      </c>
      <c r="E15" s="37" t="s">
        <v>193</v>
      </c>
      <c r="F15" s="37">
        <f>ROUND($D15/2,-3)</f>
        <v>44000</v>
      </c>
      <c r="G15" s="37"/>
      <c r="H15" s="37"/>
      <c r="I15" s="37"/>
      <c r="J15" s="37"/>
      <c r="K15" s="37"/>
      <c r="L15" s="37">
        <f>D15-F15</f>
        <v>44000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0</v>
      </c>
      <c r="E16" s="37" t="s">
        <v>525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59000</v>
      </c>
      <c r="E17" s="37" t="s">
        <v>525</v>
      </c>
      <c r="F17" s="37">
        <f>ROUND($D17/12,0)</f>
        <v>4917</v>
      </c>
      <c r="G17" s="37">
        <f t="shared" si="1"/>
        <v>4917</v>
      </c>
      <c r="H17" s="37">
        <f t="shared" si="1"/>
        <v>4917</v>
      </c>
      <c r="I17" s="37">
        <f t="shared" si="1"/>
        <v>4917</v>
      </c>
      <c r="J17" s="37">
        <f t="shared" si="1"/>
        <v>4917</v>
      </c>
      <c r="K17" s="37">
        <f t="shared" si="1"/>
        <v>4917</v>
      </c>
      <c r="L17" s="37">
        <f t="shared" si="1"/>
        <v>4917</v>
      </c>
      <c r="M17" s="37">
        <f t="shared" si="1"/>
        <v>4917</v>
      </c>
      <c r="N17" s="37">
        <f t="shared" si="1"/>
        <v>4917</v>
      </c>
      <c r="O17" s="37">
        <f t="shared" si="1"/>
        <v>4917</v>
      </c>
      <c r="P17" s="37">
        <f t="shared" si="1"/>
        <v>4917</v>
      </c>
      <c r="Q17" s="37">
        <f>D17-SUM(F17:P17)</f>
        <v>4913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50000</v>
      </c>
      <c r="E24" s="37" t="s">
        <v>193</v>
      </c>
      <c r="F24" s="37">
        <f>ROUND($D24/2,-3)</f>
        <v>25000</v>
      </c>
      <c r="G24" s="37"/>
      <c r="H24" s="37"/>
      <c r="I24" s="37"/>
      <c r="J24" s="37"/>
      <c r="K24" s="37"/>
      <c r="L24" s="37">
        <f>D24-F24</f>
        <v>25000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1055000</v>
      </c>
      <c r="E25" s="108"/>
      <c r="F25" s="108">
        <f>ROUND(SUM(F3:F24),-3)</f>
        <v>145000</v>
      </c>
      <c r="G25" s="108">
        <f t="shared" ref="G25:P25" si="5">ROUND(SUM(G3:G24),-3)</f>
        <v>76000</v>
      </c>
      <c r="H25" s="108">
        <f t="shared" si="5"/>
        <v>76000</v>
      </c>
      <c r="I25" s="108">
        <f t="shared" si="5"/>
        <v>76000</v>
      </c>
      <c r="J25" s="108">
        <f t="shared" si="5"/>
        <v>76000</v>
      </c>
      <c r="K25" s="108">
        <f t="shared" si="5"/>
        <v>76000</v>
      </c>
      <c r="L25" s="108">
        <f t="shared" si="5"/>
        <v>145000</v>
      </c>
      <c r="M25" s="108">
        <f t="shared" si="5"/>
        <v>76000</v>
      </c>
      <c r="N25" s="108">
        <f t="shared" si="5"/>
        <v>76000</v>
      </c>
      <c r="O25" s="108">
        <f t="shared" si="5"/>
        <v>76000</v>
      </c>
      <c r="P25" s="108">
        <f t="shared" si="5"/>
        <v>76000</v>
      </c>
      <c r="Q25" s="108">
        <f t="shared" ref="Q25:Q33" si="6">D25-SUM(F25:P25)</f>
        <v>81000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340000</v>
      </c>
      <c r="E27" s="37" t="s">
        <v>525</v>
      </c>
      <c r="F27" s="37">
        <f t="shared" ref="F27:P33" si="8">ROUND($D27/12,0)</f>
        <v>28333</v>
      </c>
      <c r="G27" s="37">
        <f t="shared" si="8"/>
        <v>28333</v>
      </c>
      <c r="H27" s="37">
        <f t="shared" si="8"/>
        <v>28333</v>
      </c>
      <c r="I27" s="37">
        <f t="shared" si="8"/>
        <v>28333</v>
      </c>
      <c r="J27" s="37">
        <f t="shared" si="8"/>
        <v>28333</v>
      </c>
      <c r="K27" s="37">
        <f t="shared" si="8"/>
        <v>28333</v>
      </c>
      <c r="L27" s="37">
        <f t="shared" si="8"/>
        <v>28333</v>
      </c>
      <c r="M27" s="37">
        <f t="shared" si="8"/>
        <v>28333</v>
      </c>
      <c r="N27" s="37">
        <f t="shared" si="8"/>
        <v>28333</v>
      </c>
      <c r="O27" s="37">
        <f t="shared" si="8"/>
        <v>28333</v>
      </c>
      <c r="P27" s="37">
        <f t="shared" si="8"/>
        <v>28333</v>
      </c>
      <c r="Q27" s="37">
        <f t="shared" si="6"/>
        <v>28337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35000</v>
      </c>
      <c r="E29" s="37" t="s">
        <v>525</v>
      </c>
      <c r="F29" s="37">
        <f t="shared" si="8"/>
        <v>2917</v>
      </c>
      <c r="G29" s="37">
        <f t="shared" si="8"/>
        <v>2917</v>
      </c>
      <c r="H29" s="37">
        <f t="shared" si="8"/>
        <v>2917</v>
      </c>
      <c r="I29" s="37">
        <f t="shared" si="8"/>
        <v>2917</v>
      </c>
      <c r="J29" s="37">
        <f t="shared" si="8"/>
        <v>2917</v>
      </c>
      <c r="K29" s="37">
        <f t="shared" si="8"/>
        <v>2917</v>
      </c>
      <c r="L29" s="37">
        <f t="shared" si="8"/>
        <v>2917</v>
      </c>
      <c r="M29" s="37">
        <f t="shared" si="8"/>
        <v>2917</v>
      </c>
      <c r="N29" s="37">
        <f t="shared" si="8"/>
        <v>2917</v>
      </c>
      <c r="O29" s="37">
        <f t="shared" si="8"/>
        <v>2917</v>
      </c>
      <c r="P29" s="37">
        <f t="shared" si="8"/>
        <v>2917</v>
      </c>
      <c r="Q29" s="37">
        <f t="shared" si="6"/>
        <v>2913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96000</v>
      </c>
      <c r="E30" s="37" t="s">
        <v>525</v>
      </c>
      <c r="F30" s="37">
        <f t="shared" si="8"/>
        <v>8000</v>
      </c>
      <c r="G30" s="37">
        <f t="shared" si="8"/>
        <v>8000</v>
      </c>
      <c r="H30" s="37">
        <f t="shared" si="8"/>
        <v>8000</v>
      </c>
      <c r="I30" s="37">
        <f t="shared" si="8"/>
        <v>8000</v>
      </c>
      <c r="J30" s="37">
        <f t="shared" si="8"/>
        <v>8000</v>
      </c>
      <c r="K30" s="37">
        <f t="shared" si="8"/>
        <v>8000</v>
      </c>
      <c r="L30" s="37">
        <f t="shared" si="8"/>
        <v>8000</v>
      </c>
      <c r="M30" s="37">
        <f t="shared" si="8"/>
        <v>8000</v>
      </c>
      <c r="N30" s="37">
        <f t="shared" si="8"/>
        <v>8000</v>
      </c>
      <c r="O30" s="37">
        <f t="shared" si="8"/>
        <v>8000</v>
      </c>
      <c r="P30" s="37">
        <f t="shared" si="8"/>
        <v>8000</v>
      </c>
      <c r="Q30" s="37">
        <f t="shared" si="6"/>
        <v>8000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48000</v>
      </c>
      <c r="E31" s="37" t="s">
        <v>525</v>
      </c>
      <c r="F31" s="37">
        <f t="shared" si="8"/>
        <v>4000</v>
      </c>
      <c r="G31" s="37">
        <f t="shared" si="8"/>
        <v>4000</v>
      </c>
      <c r="H31" s="37">
        <f t="shared" si="8"/>
        <v>4000</v>
      </c>
      <c r="I31" s="37">
        <f t="shared" si="8"/>
        <v>4000</v>
      </c>
      <c r="J31" s="37">
        <f t="shared" si="8"/>
        <v>4000</v>
      </c>
      <c r="K31" s="37">
        <f t="shared" si="8"/>
        <v>4000</v>
      </c>
      <c r="L31" s="37">
        <f t="shared" si="8"/>
        <v>4000</v>
      </c>
      <c r="M31" s="37">
        <f t="shared" si="8"/>
        <v>4000</v>
      </c>
      <c r="N31" s="37">
        <f t="shared" si="8"/>
        <v>4000</v>
      </c>
      <c r="O31" s="37">
        <f t="shared" si="8"/>
        <v>4000</v>
      </c>
      <c r="P31" s="37">
        <f t="shared" si="8"/>
        <v>4000</v>
      </c>
      <c r="Q31" s="37">
        <f t="shared" si="6"/>
        <v>4000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519000</v>
      </c>
      <c r="E37" s="108"/>
      <c r="F37" s="108">
        <f t="shared" ref="F37:P37" si="9">ROUND(SUM(F26:F36),-3)</f>
        <v>43000</v>
      </c>
      <c r="G37" s="108">
        <f t="shared" si="9"/>
        <v>43000</v>
      </c>
      <c r="H37" s="108">
        <f t="shared" si="9"/>
        <v>43000</v>
      </c>
      <c r="I37" s="108">
        <f t="shared" si="9"/>
        <v>43000</v>
      </c>
      <c r="J37" s="108">
        <f t="shared" si="9"/>
        <v>43000</v>
      </c>
      <c r="K37" s="108">
        <f t="shared" si="9"/>
        <v>43000</v>
      </c>
      <c r="L37" s="108">
        <f t="shared" si="9"/>
        <v>43000</v>
      </c>
      <c r="M37" s="108">
        <f t="shared" si="9"/>
        <v>43000</v>
      </c>
      <c r="N37" s="108">
        <f t="shared" si="9"/>
        <v>43000</v>
      </c>
      <c r="O37" s="108">
        <f t="shared" si="9"/>
        <v>43000</v>
      </c>
      <c r="P37" s="108">
        <f t="shared" si="9"/>
        <v>43000</v>
      </c>
      <c r="Q37" s="108">
        <f>D37-SUM(F37:P37)</f>
        <v>46000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1586000</v>
      </c>
      <c r="E48" s="37"/>
      <c r="F48" s="115">
        <f>F25+F37+F45+F47</f>
        <v>192000</v>
      </c>
      <c r="G48" s="115">
        <f t="shared" ref="G48:R48" si="14">G25+G37+G45+G47</f>
        <v>119000</v>
      </c>
      <c r="H48" s="115">
        <f t="shared" si="14"/>
        <v>119000</v>
      </c>
      <c r="I48" s="115">
        <f t="shared" si="14"/>
        <v>119000</v>
      </c>
      <c r="J48" s="115">
        <f t="shared" si="14"/>
        <v>119000</v>
      </c>
      <c r="K48" s="115">
        <f t="shared" si="14"/>
        <v>123000</v>
      </c>
      <c r="L48" s="115">
        <f t="shared" si="14"/>
        <v>188000</v>
      </c>
      <c r="M48" s="115">
        <f t="shared" si="14"/>
        <v>119000</v>
      </c>
      <c r="N48" s="115">
        <f t="shared" si="14"/>
        <v>123000</v>
      </c>
      <c r="O48" s="115">
        <f t="shared" si="14"/>
        <v>119000</v>
      </c>
      <c r="P48" s="115">
        <f t="shared" si="14"/>
        <v>119000</v>
      </c>
      <c r="Q48" s="115">
        <f t="shared" si="14"/>
        <v>127000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40190000</v>
      </c>
      <c r="E49" s="114" t="s">
        <v>202</v>
      </c>
      <c r="F49" s="37">
        <f>ROUND($D49/12*3,-3)</f>
        <v>10048000</v>
      </c>
      <c r="G49" s="37">
        <f>ROUND($D49/12,-3)</f>
        <v>3349000</v>
      </c>
      <c r="H49" s="37">
        <f t="shared" ref="H49:N53" si="15">ROUND($D49/12,-3)</f>
        <v>3349000</v>
      </c>
      <c r="I49" s="37">
        <f t="shared" si="15"/>
        <v>3349000</v>
      </c>
      <c r="J49" s="37">
        <f t="shared" si="15"/>
        <v>3349000</v>
      </c>
      <c r="K49" s="37">
        <f t="shared" si="15"/>
        <v>3349000</v>
      </c>
      <c r="L49" s="37">
        <f t="shared" si="15"/>
        <v>3349000</v>
      </c>
      <c r="M49" s="37">
        <f t="shared" si="15"/>
        <v>3349000</v>
      </c>
      <c r="N49" s="37">
        <f t="shared" si="15"/>
        <v>3349000</v>
      </c>
      <c r="O49" s="37">
        <f>D49-SUM(F49:N49)</f>
        <v>3350000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2024000</v>
      </c>
      <c r="E51" s="114" t="s">
        <v>202</v>
      </c>
      <c r="F51" s="37">
        <f t="shared" si="16"/>
        <v>506000</v>
      </c>
      <c r="G51" s="37">
        <f t="shared" si="17"/>
        <v>169000</v>
      </c>
      <c r="H51" s="37">
        <f t="shared" si="15"/>
        <v>169000</v>
      </c>
      <c r="I51" s="37">
        <f t="shared" si="15"/>
        <v>169000</v>
      </c>
      <c r="J51" s="37">
        <f t="shared" si="15"/>
        <v>169000</v>
      </c>
      <c r="K51" s="37">
        <f t="shared" si="15"/>
        <v>169000</v>
      </c>
      <c r="L51" s="37">
        <f t="shared" si="15"/>
        <v>169000</v>
      </c>
      <c r="M51" s="37">
        <f t="shared" si="15"/>
        <v>169000</v>
      </c>
      <c r="N51" s="37">
        <f t="shared" si="15"/>
        <v>169000</v>
      </c>
      <c r="O51" s="37">
        <f t="shared" si="18"/>
        <v>166000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398000</v>
      </c>
      <c r="E52" s="114" t="s">
        <v>202</v>
      </c>
      <c r="F52" s="37">
        <f t="shared" si="16"/>
        <v>100000</v>
      </c>
      <c r="G52" s="37">
        <f t="shared" si="17"/>
        <v>33000</v>
      </c>
      <c r="H52" s="37">
        <f t="shared" si="15"/>
        <v>33000</v>
      </c>
      <c r="I52" s="37">
        <f t="shared" si="15"/>
        <v>33000</v>
      </c>
      <c r="J52" s="37">
        <f t="shared" si="15"/>
        <v>33000</v>
      </c>
      <c r="K52" s="37">
        <f t="shared" si="15"/>
        <v>33000</v>
      </c>
      <c r="L52" s="37">
        <f t="shared" si="15"/>
        <v>33000</v>
      </c>
      <c r="M52" s="37">
        <f t="shared" si="15"/>
        <v>33000</v>
      </c>
      <c r="N52" s="37">
        <f t="shared" si="15"/>
        <v>33000</v>
      </c>
      <c r="O52" s="37">
        <f t="shared" si="18"/>
        <v>34000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98000</v>
      </c>
      <c r="E54" s="37" t="s">
        <v>525</v>
      </c>
      <c r="F54" s="37">
        <f t="shared" ref="F54:P61" si="19">ROUND($D54/12,0)</f>
        <v>8167</v>
      </c>
      <c r="G54" s="37">
        <f t="shared" si="19"/>
        <v>8167</v>
      </c>
      <c r="H54" s="37">
        <f t="shared" si="19"/>
        <v>8167</v>
      </c>
      <c r="I54" s="37">
        <f t="shared" si="19"/>
        <v>8167</v>
      </c>
      <c r="J54" s="37">
        <f t="shared" si="19"/>
        <v>8167</v>
      </c>
      <c r="K54" s="37">
        <f t="shared" si="19"/>
        <v>8167</v>
      </c>
      <c r="L54" s="37">
        <f t="shared" si="19"/>
        <v>8167</v>
      </c>
      <c r="M54" s="37">
        <f t="shared" si="19"/>
        <v>8167</v>
      </c>
      <c r="N54" s="37">
        <f t="shared" si="19"/>
        <v>8167</v>
      </c>
      <c r="O54" s="37">
        <f t="shared" si="19"/>
        <v>8167</v>
      </c>
      <c r="P54" s="37">
        <f t="shared" si="19"/>
        <v>8167</v>
      </c>
      <c r="Q54" s="37">
        <f t="shared" ref="Q54:Q61" si="20">D54-SUM(F54:P54)</f>
        <v>8163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0</v>
      </c>
      <c r="E59" s="37" t="s">
        <v>525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810000</v>
      </c>
      <c r="E60" s="37" t="s">
        <v>195</v>
      </c>
      <c r="F60" s="37">
        <f>D60</f>
        <v>810000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4970000</v>
      </c>
      <c r="E62" s="37" t="s">
        <v>197</v>
      </c>
      <c r="F62" s="37"/>
      <c r="G62" s="37"/>
      <c r="H62" s="37"/>
      <c r="I62" s="37">
        <f>ROUND($D62/5,-3)</f>
        <v>994000</v>
      </c>
      <c r="J62" s="37"/>
      <c r="K62" s="37"/>
      <c r="L62" s="37"/>
      <c r="M62" s="37"/>
      <c r="N62" s="37">
        <f>D62-I62</f>
        <v>3976000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4907000</v>
      </c>
      <c r="E63" s="37" t="s">
        <v>195</v>
      </c>
      <c r="F63" s="37">
        <f>D63</f>
        <v>4907000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4404000</v>
      </c>
      <c r="E64" s="114" t="s">
        <v>202</v>
      </c>
      <c r="F64" s="37">
        <f>ROUND($D64/12*3,-3)</f>
        <v>1101000</v>
      </c>
      <c r="G64" s="37">
        <f>ROUND($D64/12,-3)</f>
        <v>367000</v>
      </c>
      <c r="H64" s="37">
        <f t="shared" ref="H64:N66" si="21">ROUND($D64/12,-3)</f>
        <v>367000</v>
      </c>
      <c r="I64" s="37">
        <f t="shared" si="21"/>
        <v>367000</v>
      </c>
      <c r="J64" s="37">
        <f t="shared" si="21"/>
        <v>367000</v>
      </c>
      <c r="K64" s="37">
        <f t="shared" si="21"/>
        <v>367000</v>
      </c>
      <c r="L64" s="37">
        <f t="shared" si="21"/>
        <v>367000</v>
      </c>
      <c r="M64" s="37">
        <f t="shared" si="21"/>
        <v>367000</v>
      </c>
      <c r="N64" s="37">
        <f t="shared" si="21"/>
        <v>367000</v>
      </c>
      <c r="O64" s="37">
        <f>D64-SUM(F64:N64)</f>
        <v>367000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1076000</v>
      </c>
      <c r="E65" s="114" t="s">
        <v>202</v>
      </c>
      <c r="F65" s="37">
        <f t="shared" ref="F65:F66" si="22">ROUND($D65/12*3,-3)</f>
        <v>269000</v>
      </c>
      <c r="G65" s="37">
        <f t="shared" ref="G65:G66" si="23">ROUND($D65/12,-3)</f>
        <v>90000</v>
      </c>
      <c r="H65" s="37">
        <f t="shared" si="21"/>
        <v>90000</v>
      </c>
      <c r="I65" s="37">
        <f t="shared" si="21"/>
        <v>90000</v>
      </c>
      <c r="J65" s="37">
        <f t="shared" si="21"/>
        <v>90000</v>
      </c>
      <c r="K65" s="37">
        <f t="shared" si="21"/>
        <v>90000</v>
      </c>
      <c r="L65" s="37">
        <f t="shared" si="21"/>
        <v>90000</v>
      </c>
      <c r="M65" s="37">
        <f t="shared" si="21"/>
        <v>90000</v>
      </c>
      <c r="N65" s="37">
        <f t="shared" si="21"/>
        <v>90000</v>
      </c>
      <c r="O65" s="37">
        <f t="shared" ref="O65:O66" si="24">D65-SUM(F65:N65)</f>
        <v>87000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2699000</v>
      </c>
      <c r="E66" s="114" t="s">
        <v>202</v>
      </c>
      <c r="F66" s="37">
        <f t="shared" si="22"/>
        <v>675000</v>
      </c>
      <c r="G66" s="37">
        <f t="shared" si="23"/>
        <v>225000</v>
      </c>
      <c r="H66" s="37">
        <f t="shared" si="21"/>
        <v>225000</v>
      </c>
      <c r="I66" s="37">
        <f t="shared" si="21"/>
        <v>225000</v>
      </c>
      <c r="J66" s="37">
        <f t="shared" si="21"/>
        <v>225000</v>
      </c>
      <c r="K66" s="37">
        <f t="shared" si="21"/>
        <v>225000</v>
      </c>
      <c r="L66" s="37">
        <f t="shared" si="21"/>
        <v>225000</v>
      </c>
      <c r="M66" s="37">
        <f t="shared" si="21"/>
        <v>225000</v>
      </c>
      <c r="N66" s="37">
        <f t="shared" si="21"/>
        <v>225000</v>
      </c>
      <c r="O66" s="37">
        <f t="shared" si="24"/>
        <v>224000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86000</v>
      </c>
      <c r="E67" s="37" t="s">
        <v>196</v>
      </c>
      <c r="F67" s="37"/>
      <c r="G67" s="37"/>
      <c r="H67" s="37">
        <f>D67</f>
        <v>86000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275000</v>
      </c>
      <c r="E68" s="37" t="s">
        <v>195</v>
      </c>
      <c r="F68" s="37">
        <f>D68</f>
        <v>275000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61937000</v>
      </c>
      <c r="E70" s="108"/>
      <c r="F70" s="108">
        <f t="shared" ref="F70:P70" si="25">ROUND(SUM(F49:F69),-3)</f>
        <v>18699000</v>
      </c>
      <c r="G70" s="108">
        <f t="shared" si="25"/>
        <v>4241000</v>
      </c>
      <c r="H70" s="108">
        <f t="shared" si="25"/>
        <v>4327000</v>
      </c>
      <c r="I70" s="108">
        <f t="shared" si="25"/>
        <v>5235000</v>
      </c>
      <c r="J70" s="108">
        <f t="shared" si="25"/>
        <v>4241000</v>
      </c>
      <c r="K70" s="108">
        <f t="shared" si="25"/>
        <v>4241000</v>
      </c>
      <c r="L70" s="108">
        <f t="shared" si="25"/>
        <v>4241000</v>
      </c>
      <c r="M70" s="108">
        <f t="shared" si="25"/>
        <v>4241000</v>
      </c>
      <c r="N70" s="108">
        <f t="shared" si="25"/>
        <v>8217000</v>
      </c>
      <c r="O70" s="108">
        <f t="shared" si="25"/>
        <v>4236000</v>
      </c>
      <c r="P70" s="108">
        <f t="shared" si="25"/>
        <v>8000</v>
      </c>
      <c r="Q70" s="108">
        <f>D70-SUM(F70:P70)</f>
        <v>10000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12128000</v>
      </c>
      <c r="E72" s="114" t="s">
        <v>202</v>
      </c>
      <c r="F72" s="37">
        <f>ROUND($D72/12*3,-3)</f>
        <v>3032000</v>
      </c>
      <c r="G72" s="37">
        <f>ROUND($D72/12,-3)</f>
        <v>1011000</v>
      </c>
      <c r="H72" s="37">
        <f t="shared" ref="H72:N75" si="26">ROUND($D72/12,-3)</f>
        <v>1011000</v>
      </c>
      <c r="I72" s="37">
        <f t="shared" si="26"/>
        <v>1011000</v>
      </c>
      <c r="J72" s="37">
        <f t="shared" si="26"/>
        <v>1011000</v>
      </c>
      <c r="K72" s="37">
        <f t="shared" si="26"/>
        <v>1011000</v>
      </c>
      <c r="L72" s="37">
        <f t="shared" si="26"/>
        <v>1011000</v>
      </c>
      <c r="M72" s="37">
        <f t="shared" si="26"/>
        <v>1011000</v>
      </c>
      <c r="N72" s="37">
        <f t="shared" si="26"/>
        <v>1011000</v>
      </c>
      <c r="O72" s="37">
        <f>D72-SUM(F72:N72)</f>
        <v>1008000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968000</v>
      </c>
      <c r="E75" s="114" t="s">
        <v>202</v>
      </c>
      <c r="F75" s="37">
        <f>ROUND($D75/12*3,-3)</f>
        <v>242000</v>
      </c>
      <c r="G75" s="37">
        <f>ROUND($D75/12,-3)</f>
        <v>81000</v>
      </c>
      <c r="H75" s="37">
        <f t="shared" si="26"/>
        <v>81000</v>
      </c>
      <c r="I75" s="37">
        <f t="shared" si="26"/>
        <v>81000</v>
      </c>
      <c r="J75" s="37">
        <f t="shared" si="26"/>
        <v>81000</v>
      </c>
      <c r="K75" s="37">
        <f t="shared" si="26"/>
        <v>81000</v>
      </c>
      <c r="L75" s="37">
        <f t="shared" si="26"/>
        <v>81000</v>
      </c>
      <c r="M75" s="37">
        <f t="shared" si="26"/>
        <v>81000</v>
      </c>
      <c r="N75" s="37">
        <f t="shared" si="26"/>
        <v>81000</v>
      </c>
      <c r="O75" s="37">
        <f>D75-SUM(F75:N75)</f>
        <v>78000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13096000</v>
      </c>
      <c r="E76" s="108"/>
      <c r="F76" s="108">
        <f>ROUND(SUM(F71:F75),-3)</f>
        <v>3274000</v>
      </c>
      <c r="G76" s="108">
        <f t="shared" ref="G76:N76" si="27">ROUND(SUM(G71:G75),-3)</f>
        <v>1092000</v>
      </c>
      <c r="H76" s="108">
        <f t="shared" si="27"/>
        <v>1092000</v>
      </c>
      <c r="I76" s="108">
        <f t="shared" si="27"/>
        <v>1092000</v>
      </c>
      <c r="J76" s="108">
        <f t="shared" si="27"/>
        <v>1092000</v>
      </c>
      <c r="K76" s="108">
        <f t="shared" si="27"/>
        <v>1092000</v>
      </c>
      <c r="L76" s="108">
        <f t="shared" si="27"/>
        <v>1092000</v>
      </c>
      <c r="M76" s="108">
        <f t="shared" si="27"/>
        <v>1092000</v>
      </c>
      <c r="N76" s="108">
        <f t="shared" si="27"/>
        <v>1092000</v>
      </c>
      <c r="O76" s="108">
        <f>D76-SUM(F76:N76)</f>
        <v>1086000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705000</v>
      </c>
      <c r="E77" s="37" t="s">
        <v>681</v>
      </c>
      <c r="F77" s="224"/>
      <c r="G77" s="224"/>
      <c r="H77" s="224">
        <f>ROUND($D77/2,-3)</f>
        <v>353000</v>
      </c>
      <c r="I77" s="224"/>
      <c r="J77" s="224"/>
      <c r="K77" s="224"/>
      <c r="L77" s="224"/>
      <c r="M77" s="224"/>
      <c r="N77" s="224">
        <f>D77-H77</f>
        <v>352000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75738000</v>
      </c>
      <c r="E78" s="227"/>
      <c r="F78" s="227">
        <f>F76+F70+F77</f>
        <v>21973000</v>
      </c>
      <c r="G78" s="227">
        <f t="shared" ref="G78:Q78" si="29">G76+G70+G77</f>
        <v>5333000</v>
      </c>
      <c r="H78" s="227">
        <f t="shared" si="29"/>
        <v>5772000</v>
      </c>
      <c r="I78" s="227">
        <f t="shared" si="29"/>
        <v>6327000</v>
      </c>
      <c r="J78" s="227">
        <f t="shared" si="29"/>
        <v>5333000</v>
      </c>
      <c r="K78" s="227">
        <f t="shared" si="29"/>
        <v>5333000</v>
      </c>
      <c r="L78" s="227">
        <f t="shared" si="29"/>
        <v>5333000</v>
      </c>
      <c r="M78" s="227">
        <f t="shared" si="29"/>
        <v>5333000</v>
      </c>
      <c r="N78" s="227">
        <f t="shared" si="29"/>
        <v>9661000</v>
      </c>
      <c r="O78" s="227">
        <f t="shared" si="29"/>
        <v>5322000</v>
      </c>
      <c r="P78" s="227">
        <f t="shared" si="29"/>
        <v>8000</v>
      </c>
      <c r="Q78" s="227">
        <f t="shared" si="29"/>
        <v>10000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77324000</v>
      </c>
      <c r="E87" s="37"/>
      <c r="F87" s="37">
        <f>F88+F89+F90+F91</f>
        <v>22165000</v>
      </c>
      <c r="G87" s="37">
        <f t="shared" ref="G87:Q87" si="32">G88+G89+G90+G91</f>
        <v>5452000</v>
      </c>
      <c r="H87" s="37">
        <f t="shared" si="32"/>
        <v>5891000</v>
      </c>
      <c r="I87" s="37">
        <f t="shared" si="32"/>
        <v>6446000</v>
      </c>
      <c r="J87" s="37">
        <f t="shared" si="32"/>
        <v>5452000</v>
      </c>
      <c r="K87" s="37">
        <f t="shared" si="32"/>
        <v>5456000</v>
      </c>
      <c r="L87" s="37">
        <f t="shared" si="32"/>
        <v>5521000</v>
      </c>
      <c r="M87" s="37">
        <f t="shared" si="32"/>
        <v>5452000</v>
      </c>
      <c r="N87" s="37">
        <f t="shared" si="32"/>
        <v>9784000</v>
      </c>
      <c r="O87" s="37">
        <f t="shared" si="32"/>
        <v>5441000</v>
      </c>
      <c r="P87" s="37">
        <f t="shared" si="32"/>
        <v>127000</v>
      </c>
      <c r="Q87" s="37">
        <f t="shared" si="32"/>
        <v>137000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50000</v>
      </c>
      <c r="E88" s="108" t="s">
        <v>193</v>
      </c>
      <c r="F88" s="108">
        <f>ROUND($D88/2,-3)</f>
        <v>25000</v>
      </c>
      <c r="G88" s="108"/>
      <c r="H88" s="108"/>
      <c r="I88" s="108"/>
      <c r="J88" s="108"/>
      <c r="K88" s="108"/>
      <c r="L88" s="108">
        <f>D88-F88</f>
        <v>25000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6000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3000</v>
      </c>
      <c r="M90" s="108"/>
      <c r="N90" s="108"/>
      <c r="O90" s="108"/>
      <c r="P90" s="108"/>
      <c r="Q90" s="108">
        <f>ROUND($D90/2,-3)</f>
        <v>3000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77268000</v>
      </c>
      <c r="E91" s="108"/>
      <c r="F91" s="108">
        <f>F92+F93+F94+F95</f>
        <v>22140000</v>
      </c>
      <c r="G91" s="108">
        <f t="shared" ref="G91:Q91" si="34">G92+G93+G94+G95</f>
        <v>5452000</v>
      </c>
      <c r="H91" s="108">
        <f t="shared" si="34"/>
        <v>5891000</v>
      </c>
      <c r="I91" s="108">
        <f t="shared" si="34"/>
        <v>6446000</v>
      </c>
      <c r="J91" s="108">
        <f t="shared" si="34"/>
        <v>5452000</v>
      </c>
      <c r="K91" s="108">
        <f t="shared" si="34"/>
        <v>5456000</v>
      </c>
      <c r="L91" s="108">
        <f t="shared" si="34"/>
        <v>5493000</v>
      </c>
      <c r="M91" s="108">
        <f t="shared" si="34"/>
        <v>5452000</v>
      </c>
      <c r="N91" s="108">
        <f t="shared" si="34"/>
        <v>9784000</v>
      </c>
      <c r="O91" s="108">
        <f t="shared" si="34"/>
        <v>5441000</v>
      </c>
      <c r="P91" s="108">
        <f t="shared" si="34"/>
        <v>127000</v>
      </c>
      <c r="Q91" s="108">
        <f t="shared" si="34"/>
        <v>134000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2749000</v>
      </c>
      <c r="E92" s="114" t="s">
        <v>537</v>
      </c>
      <c r="F92" s="37">
        <f>ROUND($D92/12*5,-3)</f>
        <v>1145000</v>
      </c>
      <c r="G92" s="37">
        <f>ROUND($D92/12,-3)</f>
        <v>229000</v>
      </c>
      <c r="H92" s="37">
        <f t="shared" ref="H92:L92" si="35">ROUND($D92/12,-3)</f>
        <v>229000</v>
      </c>
      <c r="I92" s="37">
        <f t="shared" si="35"/>
        <v>229000</v>
      </c>
      <c r="J92" s="37">
        <f t="shared" si="35"/>
        <v>229000</v>
      </c>
      <c r="K92" s="37">
        <f t="shared" si="35"/>
        <v>229000</v>
      </c>
      <c r="L92" s="37">
        <f t="shared" si="35"/>
        <v>229000</v>
      </c>
      <c r="M92" s="37">
        <f>D92-SUM(F92:L92)</f>
        <v>230000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282000</v>
      </c>
      <c r="E93" s="109" t="s">
        <v>227</v>
      </c>
      <c r="F93" s="37">
        <f>ROUND($D93/12,-3)</f>
        <v>24000</v>
      </c>
      <c r="G93" s="37">
        <f t="shared" ref="G93:P93" si="36">ROUND($D93/12,-3)</f>
        <v>24000</v>
      </c>
      <c r="H93" s="37">
        <f t="shared" si="36"/>
        <v>24000</v>
      </c>
      <c r="I93" s="37">
        <f t="shared" si="36"/>
        <v>24000</v>
      </c>
      <c r="J93" s="37">
        <f t="shared" si="36"/>
        <v>24000</v>
      </c>
      <c r="K93" s="37">
        <f t="shared" si="36"/>
        <v>24000</v>
      </c>
      <c r="L93" s="37">
        <f t="shared" si="36"/>
        <v>24000</v>
      </c>
      <c r="M93" s="37">
        <f t="shared" si="36"/>
        <v>24000</v>
      </c>
      <c r="N93" s="37">
        <f t="shared" si="36"/>
        <v>24000</v>
      </c>
      <c r="O93" s="37">
        <f t="shared" si="36"/>
        <v>24000</v>
      </c>
      <c r="P93" s="37">
        <f t="shared" si="36"/>
        <v>24000</v>
      </c>
      <c r="Q93" s="37">
        <f>D93-SUM(F93:P93)</f>
        <v>18000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392000</v>
      </c>
      <c r="E94" s="110" t="s">
        <v>229</v>
      </c>
      <c r="F94" s="37"/>
      <c r="G94" s="37"/>
      <c r="H94" s="37">
        <f>ROUND($D94/2,-3)</f>
        <v>196000</v>
      </c>
      <c r="I94" s="37"/>
      <c r="J94" s="37"/>
      <c r="K94" s="37"/>
      <c r="L94" s="37"/>
      <c r="M94" s="37"/>
      <c r="N94" s="37"/>
      <c r="O94" s="37">
        <f>D94-H94</f>
        <v>196000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73845000</v>
      </c>
      <c r="E95" s="37"/>
      <c r="F95" s="37">
        <f>F2+F86-F88-F89-F90-F92-F93-F94</f>
        <v>20971000</v>
      </c>
      <c r="G95" s="37">
        <f t="shared" ref="G95:Q95" si="37">G2-G88-G89-G90-G92-G93-G94</f>
        <v>5199000</v>
      </c>
      <c r="H95" s="37">
        <f t="shared" si="37"/>
        <v>5442000</v>
      </c>
      <c r="I95" s="37">
        <f t="shared" si="37"/>
        <v>6193000</v>
      </c>
      <c r="J95" s="37">
        <f t="shared" si="37"/>
        <v>5199000</v>
      </c>
      <c r="K95" s="37">
        <f t="shared" si="37"/>
        <v>5203000</v>
      </c>
      <c r="L95" s="37">
        <f t="shared" si="37"/>
        <v>5240000</v>
      </c>
      <c r="M95" s="37">
        <f t="shared" si="37"/>
        <v>5198000</v>
      </c>
      <c r="N95" s="37">
        <f t="shared" si="37"/>
        <v>9760000</v>
      </c>
      <c r="O95" s="37">
        <f t="shared" si="37"/>
        <v>5221000</v>
      </c>
      <c r="P95" s="37">
        <f t="shared" si="37"/>
        <v>103000</v>
      </c>
      <c r="Q95" s="37">
        <f t="shared" si="37"/>
        <v>116000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800000</v>
      </c>
    </row>
    <row r="99" spans="2:17" ht="32.4">
      <c r="B99" s="72" t="s">
        <v>235</v>
      </c>
      <c r="D99" s="30">
        <f>HLOOKUP(D1,縣庫撥款收入明細表!H:DD,5,FALSE)</f>
        <v>790000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1159000</v>
      </c>
    </row>
    <row r="102" spans="2:17" ht="32.4">
      <c r="B102" s="71" t="s">
        <v>238</v>
      </c>
      <c r="D102" s="30">
        <f>HLOOKUP(D1,縣庫撥款收入明細表!H:DD,16,FALSE)</f>
        <v>264000</v>
      </c>
    </row>
    <row r="103" spans="2:17" ht="32.4">
      <c r="B103" s="72" t="s">
        <v>239</v>
      </c>
      <c r="D103" s="30">
        <f>HLOOKUP(D1,縣庫撥款收入明細表!H:DD,17,FALSE)</f>
        <v>0</v>
      </c>
    </row>
    <row r="104" spans="2:17" ht="32.4">
      <c r="B104" s="76" t="s">
        <v>240</v>
      </c>
      <c r="D104" s="30">
        <f>HLOOKUP(D1,縣庫撥款收入明細表!H:DD,18,FALSE)</f>
        <v>392000</v>
      </c>
    </row>
    <row r="105" spans="2:17" ht="32.4">
      <c r="B105" s="72" t="s">
        <v>380</v>
      </c>
      <c r="D105" s="30">
        <f>HLOOKUP(D1,縣庫撥款收入明細表!H:DD,19,FALSE)</f>
        <v>0</v>
      </c>
    </row>
    <row r="106" spans="2:17" ht="32.4">
      <c r="B106" s="71" t="s">
        <v>241</v>
      </c>
      <c r="D106" s="30">
        <f>HLOOKUP(D1,縣庫撥款收入明細表!H:DD,20,FALSE)</f>
        <v>18000</v>
      </c>
    </row>
    <row r="107" spans="2:17" ht="32.4">
      <c r="B107" s="77" t="s">
        <v>242</v>
      </c>
      <c r="D107" s="30">
        <f>HLOOKUP(D1,縣庫撥款收入明細表!H:DD,21,FALSE)</f>
        <v>73845000</v>
      </c>
    </row>
    <row r="108" spans="2:17" ht="16.5" customHeight="1"/>
    <row r="109" spans="2:17" ht="16.5" customHeight="1">
      <c r="B109" s="4" t="s">
        <v>682</v>
      </c>
      <c r="D109" s="30">
        <f>D91-D76</f>
        <v>64172000</v>
      </c>
      <c r="F109" s="30">
        <f>F91-F76</f>
        <v>18866000</v>
      </c>
      <c r="G109" s="30">
        <f t="shared" ref="G109:Q109" si="38">G91-G76</f>
        <v>4360000</v>
      </c>
      <c r="H109" s="30">
        <f t="shared" si="38"/>
        <v>4799000</v>
      </c>
      <c r="I109" s="30">
        <f t="shared" si="38"/>
        <v>5354000</v>
      </c>
      <c r="J109" s="30">
        <f t="shared" si="38"/>
        <v>4360000</v>
      </c>
      <c r="K109" s="30">
        <f t="shared" si="38"/>
        <v>4364000</v>
      </c>
      <c r="L109" s="30">
        <f t="shared" si="38"/>
        <v>4401000</v>
      </c>
      <c r="M109" s="30">
        <f t="shared" si="38"/>
        <v>4360000</v>
      </c>
      <c r="N109" s="30">
        <f t="shared" si="38"/>
        <v>8692000</v>
      </c>
      <c r="O109" s="30">
        <f t="shared" si="38"/>
        <v>4355000</v>
      </c>
      <c r="P109" s="30">
        <f t="shared" si="38"/>
        <v>127000</v>
      </c>
      <c r="Q109" s="30">
        <f t="shared" si="38"/>
        <v>134000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8:C78"/>
    <mergeCell ref="A79:A83"/>
    <mergeCell ref="A1:B1"/>
    <mergeCell ref="A2:B2"/>
    <mergeCell ref="A3:A48"/>
    <mergeCell ref="A49:A70"/>
    <mergeCell ref="A71:A76"/>
  </mergeCells>
  <phoneticPr fontId="3" type="noConversion"/>
  <conditionalFormatting sqref="F95:Q95">
    <cfRule type="cellIs" dxfId="186" priority="1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44"/>
  <sheetViews>
    <sheetView workbookViewId="0">
      <selection activeCell="C10" sqref="C10"/>
    </sheetView>
  </sheetViews>
  <sheetFormatPr defaultColWidth="9" defaultRowHeight="16.2"/>
  <cols>
    <col min="1" max="1" width="9.109375" style="82" customWidth="1"/>
    <col min="2" max="2" width="41.44140625" style="82" customWidth="1"/>
    <col min="3" max="3" width="50.109375" style="82" customWidth="1"/>
    <col min="4" max="4" width="19.77734375" style="82" customWidth="1"/>
    <col min="5" max="256" width="9" style="82"/>
    <col min="257" max="257" width="9.109375" style="82" customWidth="1"/>
    <col min="258" max="258" width="41.44140625" style="82" customWidth="1"/>
    <col min="259" max="259" width="50.109375" style="82" customWidth="1"/>
    <col min="260" max="260" width="19.77734375" style="82" customWidth="1"/>
    <col min="261" max="512" width="9" style="82"/>
    <col min="513" max="513" width="9.109375" style="82" customWidth="1"/>
    <col min="514" max="514" width="41.44140625" style="82" customWidth="1"/>
    <col min="515" max="515" width="50.109375" style="82" customWidth="1"/>
    <col min="516" max="516" width="19.77734375" style="82" customWidth="1"/>
    <col min="517" max="768" width="9" style="82"/>
    <col min="769" max="769" width="9.109375" style="82" customWidth="1"/>
    <col min="770" max="770" width="41.44140625" style="82" customWidth="1"/>
    <col min="771" max="771" width="50.109375" style="82" customWidth="1"/>
    <col min="772" max="772" width="19.77734375" style="82" customWidth="1"/>
    <col min="773" max="1024" width="9" style="82"/>
    <col min="1025" max="1025" width="9.109375" style="82" customWidth="1"/>
    <col min="1026" max="1026" width="41.44140625" style="82" customWidth="1"/>
    <col min="1027" max="1027" width="50.109375" style="82" customWidth="1"/>
    <col min="1028" max="1028" width="19.77734375" style="82" customWidth="1"/>
    <col min="1029" max="1280" width="9" style="82"/>
    <col min="1281" max="1281" width="9.109375" style="82" customWidth="1"/>
    <col min="1282" max="1282" width="41.44140625" style="82" customWidth="1"/>
    <col min="1283" max="1283" width="50.109375" style="82" customWidth="1"/>
    <col min="1284" max="1284" width="19.77734375" style="82" customWidth="1"/>
    <col min="1285" max="1536" width="9" style="82"/>
    <col min="1537" max="1537" width="9.109375" style="82" customWidth="1"/>
    <col min="1538" max="1538" width="41.44140625" style="82" customWidth="1"/>
    <col min="1539" max="1539" width="50.109375" style="82" customWidth="1"/>
    <col min="1540" max="1540" width="19.77734375" style="82" customWidth="1"/>
    <col min="1541" max="1792" width="9" style="82"/>
    <col min="1793" max="1793" width="9.109375" style="82" customWidth="1"/>
    <col min="1794" max="1794" width="41.44140625" style="82" customWidth="1"/>
    <col min="1795" max="1795" width="50.109375" style="82" customWidth="1"/>
    <col min="1796" max="1796" width="19.77734375" style="82" customWidth="1"/>
    <col min="1797" max="2048" width="9" style="82"/>
    <col min="2049" max="2049" width="9.109375" style="82" customWidth="1"/>
    <col min="2050" max="2050" width="41.44140625" style="82" customWidth="1"/>
    <col min="2051" max="2051" width="50.109375" style="82" customWidth="1"/>
    <col min="2052" max="2052" width="19.77734375" style="82" customWidth="1"/>
    <col min="2053" max="2304" width="9" style="82"/>
    <col min="2305" max="2305" width="9.109375" style="82" customWidth="1"/>
    <col min="2306" max="2306" width="41.44140625" style="82" customWidth="1"/>
    <col min="2307" max="2307" width="50.109375" style="82" customWidth="1"/>
    <col min="2308" max="2308" width="19.77734375" style="82" customWidth="1"/>
    <col min="2309" max="2560" width="9" style="82"/>
    <col min="2561" max="2561" width="9.109375" style="82" customWidth="1"/>
    <col min="2562" max="2562" width="41.44140625" style="82" customWidth="1"/>
    <col min="2563" max="2563" width="50.109375" style="82" customWidth="1"/>
    <col min="2564" max="2564" width="19.77734375" style="82" customWidth="1"/>
    <col min="2565" max="2816" width="9" style="82"/>
    <col min="2817" max="2817" width="9.109375" style="82" customWidth="1"/>
    <col min="2818" max="2818" width="41.44140625" style="82" customWidth="1"/>
    <col min="2819" max="2819" width="50.109375" style="82" customWidth="1"/>
    <col min="2820" max="2820" width="19.77734375" style="82" customWidth="1"/>
    <col min="2821" max="3072" width="9" style="82"/>
    <col min="3073" max="3073" width="9.109375" style="82" customWidth="1"/>
    <col min="3074" max="3074" width="41.44140625" style="82" customWidth="1"/>
    <col min="3075" max="3075" width="50.109375" style="82" customWidth="1"/>
    <col min="3076" max="3076" width="19.77734375" style="82" customWidth="1"/>
    <col min="3077" max="3328" width="9" style="82"/>
    <col min="3329" max="3329" width="9.109375" style="82" customWidth="1"/>
    <col min="3330" max="3330" width="41.44140625" style="82" customWidth="1"/>
    <col min="3331" max="3331" width="50.109375" style="82" customWidth="1"/>
    <col min="3332" max="3332" width="19.77734375" style="82" customWidth="1"/>
    <col min="3333" max="3584" width="9" style="82"/>
    <col min="3585" max="3585" width="9.109375" style="82" customWidth="1"/>
    <col min="3586" max="3586" width="41.44140625" style="82" customWidth="1"/>
    <col min="3587" max="3587" width="50.109375" style="82" customWidth="1"/>
    <col min="3588" max="3588" width="19.77734375" style="82" customWidth="1"/>
    <col min="3589" max="3840" width="9" style="82"/>
    <col min="3841" max="3841" width="9.109375" style="82" customWidth="1"/>
    <col min="3842" max="3842" width="41.44140625" style="82" customWidth="1"/>
    <col min="3843" max="3843" width="50.109375" style="82" customWidth="1"/>
    <col min="3844" max="3844" width="19.77734375" style="82" customWidth="1"/>
    <col min="3845" max="4096" width="9" style="82"/>
    <col min="4097" max="4097" width="9.109375" style="82" customWidth="1"/>
    <col min="4098" max="4098" width="41.44140625" style="82" customWidth="1"/>
    <col min="4099" max="4099" width="50.109375" style="82" customWidth="1"/>
    <col min="4100" max="4100" width="19.77734375" style="82" customWidth="1"/>
    <col min="4101" max="4352" width="9" style="82"/>
    <col min="4353" max="4353" width="9.109375" style="82" customWidth="1"/>
    <col min="4354" max="4354" width="41.44140625" style="82" customWidth="1"/>
    <col min="4355" max="4355" width="50.109375" style="82" customWidth="1"/>
    <col min="4356" max="4356" width="19.77734375" style="82" customWidth="1"/>
    <col min="4357" max="4608" width="9" style="82"/>
    <col min="4609" max="4609" width="9.109375" style="82" customWidth="1"/>
    <col min="4610" max="4610" width="41.44140625" style="82" customWidth="1"/>
    <col min="4611" max="4611" width="50.109375" style="82" customWidth="1"/>
    <col min="4612" max="4612" width="19.77734375" style="82" customWidth="1"/>
    <col min="4613" max="4864" width="9" style="82"/>
    <col min="4865" max="4865" width="9.109375" style="82" customWidth="1"/>
    <col min="4866" max="4866" width="41.44140625" style="82" customWidth="1"/>
    <col min="4867" max="4867" width="50.109375" style="82" customWidth="1"/>
    <col min="4868" max="4868" width="19.77734375" style="82" customWidth="1"/>
    <col min="4869" max="5120" width="9" style="82"/>
    <col min="5121" max="5121" width="9.109375" style="82" customWidth="1"/>
    <col min="5122" max="5122" width="41.44140625" style="82" customWidth="1"/>
    <col min="5123" max="5123" width="50.109375" style="82" customWidth="1"/>
    <col min="5124" max="5124" width="19.77734375" style="82" customWidth="1"/>
    <col min="5125" max="5376" width="9" style="82"/>
    <col min="5377" max="5377" width="9.109375" style="82" customWidth="1"/>
    <col min="5378" max="5378" width="41.44140625" style="82" customWidth="1"/>
    <col min="5379" max="5379" width="50.109375" style="82" customWidth="1"/>
    <col min="5380" max="5380" width="19.77734375" style="82" customWidth="1"/>
    <col min="5381" max="5632" width="9" style="82"/>
    <col min="5633" max="5633" width="9.109375" style="82" customWidth="1"/>
    <col min="5634" max="5634" width="41.44140625" style="82" customWidth="1"/>
    <col min="5635" max="5635" width="50.109375" style="82" customWidth="1"/>
    <col min="5636" max="5636" width="19.77734375" style="82" customWidth="1"/>
    <col min="5637" max="5888" width="9" style="82"/>
    <col min="5889" max="5889" width="9.109375" style="82" customWidth="1"/>
    <col min="5890" max="5890" width="41.44140625" style="82" customWidth="1"/>
    <col min="5891" max="5891" width="50.109375" style="82" customWidth="1"/>
    <col min="5892" max="5892" width="19.77734375" style="82" customWidth="1"/>
    <col min="5893" max="6144" width="9" style="82"/>
    <col min="6145" max="6145" width="9.109375" style="82" customWidth="1"/>
    <col min="6146" max="6146" width="41.44140625" style="82" customWidth="1"/>
    <col min="6147" max="6147" width="50.109375" style="82" customWidth="1"/>
    <col min="6148" max="6148" width="19.77734375" style="82" customWidth="1"/>
    <col min="6149" max="6400" width="9" style="82"/>
    <col min="6401" max="6401" width="9.109375" style="82" customWidth="1"/>
    <col min="6402" max="6402" width="41.44140625" style="82" customWidth="1"/>
    <col min="6403" max="6403" width="50.109375" style="82" customWidth="1"/>
    <col min="6404" max="6404" width="19.77734375" style="82" customWidth="1"/>
    <col min="6405" max="6656" width="9" style="82"/>
    <col min="6657" max="6657" width="9.109375" style="82" customWidth="1"/>
    <col min="6658" max="6658" width="41.44140625" style="82" customWidth="1"/>
    <col min="6659" max="6659" width="50.109375" style="82" customWidth="1"/>
    <col min="6660" max="6660" width="19.77734375" style="82" customWidth="1"/>
    <col min="6661" max="6912" width="9" style="82"/>
    <col min="6913" max="6913" width="9.109375" style="82" customWidth="1"/>
    <col min="6914" max="6914" width="41.44140625" style="82" customWidth="1"/>
    <col min="6915" max="6915" width="50.109375" style="82" customWidth="1"/>
    <col min="6916" max="6916" width="19.77734375" style="82" customWidth="1"/>
    <col min="6917" max="7168" width="9" style="82"/>
    <col min="7169" max="7169" width="9.109375" style="82" customWidth="1"/>
    <col min="7170" max="7170" width="41.44140625" style="82" customWidth="1"/>
    <col min="7171" max="7171" width="50.109375" style="82" customWidth="1"/>
    <col min="7172" max="7172" width="19.77734375" style="82" customWidth="1"/>
    <col min="7173" max="7424" width="9" style="82"/>
    <col min="7425" max="7425" width="9.109375" style="82" customWidth="1"/>
    <col min="7426" max="7426" width="41.44140625" style="82" customWidth="1"/>
    <col min="7427" max="7427" width="50.109375" style="82" customWidth="1"/>
    <col min="7428" max="7428" width="19.77734375" style="82" customWidth="1"/>
    <col min="7429" max="7680" width="9" style="82"/>
    <col min="7681" max="7681" width="9.109375" style="82" customWidth="1"/>
    <col min="7682" max="7682" width="41.44140625" style="82" customWidth="1"/>
    <col min="7683" max="7683" width="50.109375" style="82" customWidth="1"/>
    <col min="7684" max="7684" width="19.77734375" style="82" customWidth="1"/>
    <col min="7685" max="7936" width="9" style="82"/>
    <col min="7937" max="7937" width="9.109375" style="82" customWidth="1"/>
    <col min="7938" max="7938" width="41.44140625" style="82" customWidth="1"/>
    <col min="7939" max="7939" width="50.109375" style="82" customWidth="1"/>
    <col min="7940" max="7940" width="19.77734375" style="82" customWidth="1"/>
    <col min="7941" max="8192" width="9" style="82"/>
    <col min="8193" max="8193" width="9.109375" style="82" customWidth="1"/>
    <col min="8194" max="8194" width="41.44140625" style="82" customWidth="1"/>
    <col min="8195" max="8195" width="50.109375" style="82" customWidth="1"/>
    <col min="8196" max="8196" width="19.77734375" style="82" customWidth="1"/>
    <col min="8197" max="8448" width="9" style="82"/>
    <col min="8449" max="8449" width="9.109375" style="82" customWidth="1"/>
    <col min="8450" max="8450" width="41.44140625" style="82" customWidth="1"/>
    <col min="8451" max="8451" width="50.109375" style="82" customWidth="1"/>
    <col min="8452" max="8452" width="19.77734375" style="82" customWidth="1"/>
    <col min="8453" max="8704" width="9" style="82"/>
    <col min="8705" max="8705" width="9.109375" style="82" customWidth="1"/>
    <col min="8706" max="8706" width="41.44140625" style="82" customWidth="1"/>
    <col min="8707" max="8707" width="50.109375" style="82" customWidth="1"/>
    <col min="8708" max="8708" width="19.77734375" style="82" customWidth="1"/>
    <col min="8709" max="8960" width="9" style="82"/>
    <col min="8961" max="8961" width="9.109375" style="82" customWidth="1"/>
    <col min="8962" max="8962" width="41.44140625" style="82" customWidth="1"/>
    <col min="8963" max="8963" width="50.109375" style="82" customWidth="1"/>
    <col min="8964" max="8964" width="19.77734375" style="82" customWidth="1"/>
    <col min="8965" max="9216" width="9" style="82"/>
    <col min="9217" max="9217" width="9.109375" style="82" customWidth="1"/>
    <col min="9218" max="9218" width="41.44140625" style="82" customWidth="1"/>
    <col min="9219" max="9219" width="50.109375" style="82" customWidth="1"/>
    <col min="9220" max="9220" width="19.77734375" style="82" customWidth="1"/>
    <col min="9221" max="9472" width="9" style="82"/>
    <col min="9473" max="9473" width="9.109375" style="82" customWidth="1"/>
    <col min="9474" max="9474" width="41.44140625" style="82" customWidth="1"/>
    <col min="9475" max="9475" width="50.109375" style="82" customWidth="1"/>
    <col min="9476" max="9476" width="19.77734375" style="82" customWidth="1"/>
    <col min="9477" max="9728" width="9" style="82"/>
    <col min="9729" max="9729" width="9.109375" style="82" customWidth="1"/>
    <col min="9730" max="9730" width="41.44140625" style="82" customWidth="1"/>
    <col min="9731" max="9731" width="50.109375" style="82" customWidth="1"/>
    <col min="9732" max="9732" width="19.77734375" style="82" customWidth="1"/>
    <col min="9733" max="9984" width="9" style="82"/>
    <col min="9985" max="9985" width="9.109375" style="82" customWidth="1"/>
    <col min="9986" max="9986" width="41.44140625" style="82" customWidth="1"/>
    <col min="9987" max="9987" width="50.109375" style="82" customWidth="1"/>
    <col min="9988" max="9988" width="19.77734375" style="82" customWidth="1"/>
    <col min="9989" max="10240" width="9" style="82"/>
    <col min="10241" max="10241" width="9.109375" style="82" customWidth="1"/>
    <col min="10242" max="10242" width="41.44140625" style="82" customWidth="1"/>
    <col min="10243" max="10243" width="50.109375" style="82" customWidth="1"/>
    <col min="10244" max="10244" width="19.77734375" style="82" customWidth="1"/>
    <col min="10245" max="10496" width="9" style="82"/>
    <col min="10497" max="10497" width="9.109375" style="82" customWidth="1"/>
    <col min="10498" max="10498" width="41.44140625" style="82" customWidth="1"/>
    <col min="10499" max="10499" width="50.109375" style="82" customWidth="1"/>
    <col min="10500" max="10500" width="19.77734375" style="82" customWidth="1"/>
    <col min="10501" max="10752" width="9" style="82"/>
    <col min="10753" max="10753" width="9.109375" style="82" customWidth="1"/>
    <col min="10754" max="10754" width="41.44140625" style="82" customWidth="1"/>
    <col min="10755" max="10755" width="50.109375" style="82" customWidth="1"/>
    <col min="10756" max="10756" width="19.77734375" style="82" customWidth="1"/>
    <col min="10757" max="11008" width="9" style="82"/>
    <col min="11009" max="11009" width="9.109375" style="82" customWidth="1"/>
    <col min="11010" max="11010" width="41.44140625" style="82" customWidth="1"/>
    <col min="11011" max="11011" width="50.109375" style="82" customWidth="1"/>
    <col min="11012" max="11012" width="19.77734375" style="82" customWidth="1"/>
    <col min="11013" max="11264" width="9" style="82"/>
    <col min="11265" max="11265" width="9.109375" style="82" customWidth="1"/>
    <col min="11266" max="11266" width="41.44140625" style="82" customWidth="1"/>
    <col min="11267" max="11267" width="50.109375" style="82" customWidth="1"/>
    <col min="11268" max="11268" width="19.77734375" style="82" customWidth="1"/>
    <col min="11269" max="11520" width="9" style="82"/>
    <col min="11521" max="11521" width="9.109375" style="82" customWidth="1"/>
    <col min="11522" max="11522" width="41.44140625" style="82" customWidth="1"/>
    <col min="11523" max="11523" width="50.109375" style="82" customWidth="1"/>
    <col min="11524" max="11524" width="19.77734375" style="82" customWidth="1"/>
    <col min="11525" max="11776" width="9" style="82"/>
    <col min="11777" max="11777" width="9.109375" style="82" customWidth="1"/>
    <col min="11778" max="11778" width="41.44140625" style="82" customWidth="1"/>
    <col min="11779" max="11779" width="50.109375" style="82" customWidth="1"/>
    <col min="11780" max="11780" width="19.77734375" style="82" customWidth="1"/>
    <col min="11781" max="12032" width="9" style="82"/>
    <col min="12033" max="12033" width="9.109375" style="82" customWidth="1"/>
    <col min="12034" max="12034" width="41.44140625" style="82" customWidth="1"/>
    <col min="12035" max="12035" width="50.109375" style="82" customWidth="1"/>
    <col min="12036" max="12036" width="19.77734375" style="82" customWidth="1"/>
    <col min="12037" max="12288" width="9" style="82"/>
    <col min="12289" max="12289" width="9.109375" style="82" customWidth="1"/>
    <col min="12290" max="12290" width="41.44140625" style="82" customWidth="1"/>
    <col min="12291" max="12291" width="50.109375" style="82" customWidth="1"/>
    <col min="12292" max="12292" width="19.77734375" style="82" customWidth="1"/>
    <col min="12293" max="12544" width="9" style="82"/>
    <col min="12545" max="12545" width="9.109375" style="82" customWidth="1"/>
    <col min="12546" max="12546" width="41.44140625" style="82" customWidth="1"/>
    <col min="12547" max="12547" width="50.109375" style="82" customWidth="1"/>
    <col min="12548" max="12548" width="19.77734375" style="82" customWidth="1"/>
    <col min="12549" max="12800" width="9" style="82"/>
    <col min="12801" max="12801" width="9.109375" style="82" customWidth="1"/>
    <col min="12802" max="12802" width="41.44140625" style="82" customWidth="1"/>
    <col min="12803" max="12803" width="50.109375" style="82" customWidth="1"/>
    <col min="12804" max="12804" width="19.77734375" style="82" customWidth="1"/>
    <col min="12805" max="13056" width="9" style="82"/>
    <col min="13057" max="13057" width="9.109375" style="82" customWidth="1"/>
    <col min="13058" max="13058" width="41.44140625" style="82" customWidth="1"/>
    <col min="13059" max="13059" width="50.109375" style="82" customWidth="1"/>
    <col min="13060" max="13060" width="19.77734375" style="82" customWidth="1"/>
    <col min="13061" max="13312" width="9" style="82"/>
    <col min="13313" max="13313" width="9.109375" style="82" customWidth="1"/>
    <col min="13314" max="13314" width="41.44140625" style="82" customWidth="1"/>
    <col min="13315" max="13315" width="50.109375" style="82" customWidth="1"/>
    <col min="13316" max="13316" width="19.77734375" style="82" customWidth="1"/>
    <col min="13317" max="13568" width="9" style="82"/>
    <col min="13569" max="13569" width="9.109375" style="82" customWidth="1"/>
    <col min="13570" max="13570" width="41.44140625" style="82" customWidth="1"/>
    <col min="13571" max="13571" width="50.109375" style="82" customWidth="1"/>
    <col min="13572" max="13572" width="19.77734375" style="82" customWidth="1"/>
    <col min="13573" max="13824" width="9" style="82"/>
    <col min="13825" max="13825" width="9.109375" style="82" customWidth="1"/>
    <col min="13826" max="13826" width="41.44140625" style="82" customWidth="1"/>
    <col min="13827" max="13827" width="50.109375" style="82" customWidth="1"/>
    <col min="13828" max="13828" width="19.77734375" style="82" customWidth="1"/>
    <col min="13829" max="14080" width="9" style="82"/>
    <col min="14081" max="14081" width="9.109375" style="82" customWidth="1"/>
    <col min="14082" max="14082" width="41.44140625" style="82" customWidth="1"/>
    <col min="14083" max="14083" width="50.109375" style="82" customWidth="1"/>
    <col min="14084" max="14084" width="19.77734375" style="82" customWidth="1"/>
    <col min="14085" max="14336" width="9" style="82"/>
    <col min="14337" max="14337" width="9.109375" style="82" customWidth="1"/>
    <col min="14338" max="14338" width="41.44140625" style="82" customWidth="1"/>
    <col min="14339" max="14339" width="50.109375" style="82" customWidth="1"/>
    <col min="14340" max="14340" width="19.77734375" style="82" customWidth="1"/>
    <col min="14341" max="14592" width="9" style="82"/>
    <col min="14593" max="14593" width="9.109375" style="82" customWidth="1"/>
    <col min="14594" max="14594" width="41.44140625" style="82" customWidth="1"/>
    <col min="14595" max="14595" width="50.109375" style="82" customWidth="1"/>
    <col min="14596" max="14596" width="19.77734375" style="82" customWidth="1"/>
    <col min="14597" max="14848" width="9" style="82"/>
    <col min="14849" max="14849" width="9.109375" style="82" customWidth="1"/>
    <col min="14850" max="14850" width="41.44140625" style="82" customWidth="1"/>
    <col min="14851" max="14851" width="50.109375" style="82" customWidth="1"/>
    <col min="14852" max="14852" width="19.77734375" style="82" customWidth="1"/>
    <col min="14853" max="15104" width="9" style="82"/>
    <col min="15105" max="15105" width="9.109375" style="82" customWidth="1"/>
    <col min="15106" max="15106" width="41.44140625" style="82" customWidth="1"/>
    <col min="15107" max="15107" width="50.109375" style="82" customWidth="1"/>
    <col min="15108" max="15108" width="19.77734375" style="82" customWidth="1"/>
    <col min="15109" max="15360" width="9" style="82"/>
    <col min="15361" max="15361" width="9.109375" style="82" customWidth="1"/>
    <col min="15362" max="15362" width="41.44140625" style="82" customWidth="1"/>
    <col min="15363" max="15363" width="50.109375" style="82" customWidth="1"/>
    <col min="15364" max="15364" width="19.77734375" style="82" customWidth="1"/>
    <col min="15365" max="15616" width="9" style="82"/>
    <col min="15617" max="15617" width="9.109375" style="82" customWidth="1"/>
    <col min="15618" max="15618" width="41.44140625" style="82" customWidth="1"/>
    <col min="15619" max="15619" width="50.109375" style="82" customWidth="1"/>
    <col min="15620" max="15620" width="19.77734375" style="82" customWidth="1"/>
    <col min="15621" max="15872" width="9" style="82"/>
    <col min="15873" max="15873" width="9.109375" style="82" customWidth="1"/>
    <col min="15874" max="15874" width="41.44140625" style="82" customWidth="1"/>
    <col min="15875" max="15875" width="50.109375" style="82" customWidth="1"/>
    <col min="15876" max="15876" width="19.77734375" style="82" customWidth="1"/>
    <col min="15877" max="16128" width="9" style="82"/>
    <col min="16129" max="16129" width="9.109375" style="82" customWidth="1"/>
    <col min="16130" max="16130" width="41.44140625" style="82" customWidth="1"/>
    <col min="16131" max="16131" width="50.109375" style="82" customWidth="1"/>
    <col min="16132" max="16132" width="19.77734375" style="82" customWidth="1"/>
    <col min="16133" max="16384" width="9" style="82"/>
  </cols>
  <sheetData>
    <row r="1" spans="1:4" ht="16.8" thickBot="1">
      <c r="B1" s="191" t="s">
        <v>658</v>
      </c>
      <c r="C1" s="81" t="s">
        <v>180</v>
      </c>
    </row>
    <row r="2" spans="1:4" ht="23.1" customHeight="1">
      <c r="A2" s="192"/>
      <c r="B2" s="83" t="s">
        <v>491</v>
      </c>
      <c r="C2" s="84"/>
    </row>
    <row r="3" spans="1:4" ht="24.6" customHeight="1">
      <c r="B3" s="85" t="s">
        <v>492</v>
      </c>
      <c r="C3" s="86"/>
    </row>
    <row r="4" spans="1:4" ht="18.600000000000001" hidden="1" customHeight="1">
      <c r="B4" s="193" t="s">
        <v>659</v>
      </c>
      <c r="C4" s="86"/>
    </row>
    <row r="5" spans="1:4" ht="30">
      <c r="A5" s="194" t="s">
        <v>686</v>
      </c>
      <c r="B5" s="195" t="s">
        <v>687</v>
      </c>
      <c r="C5" s="88" t="s">
        <v>688</v>
      </c>
      <c r="D5" s="196"/>
    </row>
    <row r="6" spans="1:4" s="25" customFormat="1" ht="32.4">
      <c r="B6" s="197" t="s">
        <v>689</v>
      </c>
      <c r="C6" s="198" t="s">
        <v>690</v>
      </c>
    </row>
    <row r="7" spans="1:4" s="25" customFormat="1">
      <c r="B7" s="197" t="s">
        <v>691</v>
      </c>
      <c r="C7" s="197" t="s">
        <v>692</v>
      </c>
    </row>
    <row r="8" spans="1:4">
      <c r="B8" s="197" t="s">
        <v>693</v>
      </c>
      <c r="C8" s="87" t="s">
        <v>494</v>
      </c>
    </row>
    <row r="9" spans="1:4">
      <c r="B9" s="197" t="s">
        <v>694</v>
      </c>
      <c r="C9" s="197" t="s">
        <v>695</v>
      </c>
    </row>
    <row r="10" spans="1:4" s="26" customFormat="1">
      <c r="A10" s="199"/>
      <c r="B10" s="200" t="s">
        <v>209</v>
      </c>
      <c r="C10" s="88" t="s">
        <v>696</v>
      </c>
      <c r="D10" s="201" t="s">
        <v>662</v>
      </c>
    </row>
    <row r="11" spans="1:4" s="26" customFormat="1" ht="30">
      <c r="A11" s="26" t="s">
        <v>170</v>
      </c>
      <c r="B11" s="202" t="s">
        <v>697</v>
      </c>
      <c r="C11" s="88" t="s">
        <v>688</v>
      </c>
      <c r="D11" s="201"/>
    </row>
    <row r="12" spans="1:4">
      <c r="A12" s="196"/>
      <c r="B12" s="203" t="s">
        <v>698</v>
      </c>
      <c r="C12" s="204" t="s">
        <v>690</v>
      </c>
    </row>
    <row r="13" spans="1:4" ht="16.8" thickBot="1">
      <c r="A13" s="205" t="s">
        <v>699</v>
      </c>
      <c r="B13" s="206" t="s">
        <v>700</v>
      </c>
      <c r="C13" s="207" t="s">
        <v>701</v>
      </c>
    </row>
    <row r="14" spans="1:4" ht="19.8">
      <c r="B14" s="85" t="s">
        <v>495</v>
      </c>
      <c r="C14" s="86"/>
    </row>
    <row r="15" spans="1:4" ht="32.4">
      <c r="B15" s="208" t="s">
        <v>496</v>
      </c>
      <c r="C15" s="197" t="s">
        <v>664</v>
      </c>
    </row>
    <row r="16" spans="1:4" ht="32.4">
      <c r="B16" s="208" t="s">
        <v>209</v>
      </c>
      <c r="C16" s="197" t="s">
        <v>664</v>
      </c>
    </row>
    <row r="17" spans="1:3" ht="30">
      <c r="B17" s="89" t="s">
        <v>497</v>
      </c>
      <c r="C17" s="88" t="s">
        <v>661</v>
      </c>
    </row>
    <row r="18" spans="1:3" s="25" customFormat="1">
      <c r="B18" s="89" t="s">
        <v>498</v>
      </c>
      <c r="C18" s="88" t="s">
        <v>493</v>
      </c>
    </row>
    <row r="19" spans="1:3" ht="16.8" thickBot="1">
      <c r="B19" s="89" t="s">
        <v>499</v>
      </c>
      <c r="C19" s="90" t="s">
        <v>494</v>
      </c>
    </row>
    <row r="20" spans="1:3">
      <c r="A20" s="192"/>
      <c r="B20" s="92" t="s">
        <v>500</v>
      </c>
      <c r="C20" s="93"/>
    </row>
    <row r="21" spans="1:3">
      <c r="A21" s="209"/>
      <c r="B21" s="210" t="s">
        <v>501</v>
      </c>
      <c r="C21" s="87" t="s">
        <v>494</v>
      </c>
    </row>
    <row r="22" spans="1:3" ht="16.8" thickBot="1">
      <c r="A22" s="205"/>
      <c r="B22" s="89" t="s">
        <v>502</v>
      </c>
      <c r="C22" s="197" t="s">
        <v>665</v>
      </c>
    </row>
    <row r="23" spans="1:3" ht="19.8">
      <c r="B23" s="91" t="s">
        <v>503</v>
      </c>
      <c r="C23" s="93"/>
    </row>
    <row r="24" spans="1:3" ht="16.8" thickBot="1">
      <c r="B24" s="89" t="s">
        <v>504</v>
      </c>
      <c r="C24" s="197" t="s">
        <v>666</v>
      </c>
    </row>
    <row r="25" spans="1:3" ht="24.9" customHeight="1">
      <c r="A25" s="192"/>
      <c r="B25" s="91" t="s">
        <v>505</v>
      </c>
      <c r="C25" s="93"/>
    </row>
    <row r="26" spans="1:3">
      <c r="A26" s="209"/>
      <c r="B26" s="94" t="s">
        <v>506</v>
      </c>
      <c r="C26" s="87" t="s">
        <v>507</v>
      </c>
    </row>
    <row r="27" spans="1:3">
      <c r="A27" s="209"/>
      <c r="B27" s="94" t="s">
        <v>508</v>
      </c>
      <c r="C27" s="87" t="s">
        <v>493</v>
      </c>
    </row>
    <row r="28" spans="1:3" ht="16.8" thickBot="1">
      <c r="A28" s="205"/>
      <c r="B28" s="94" t="s">
        <v>509</v>
      </c>
      <c r="C28" s="87" t="s">
        <v>510</v>
      </c>
    </row>
    <row r="29" spans="1:3" ht="19.8">
      <c r="B29" s="91" t="s">
        <v>511</v>
      </c>
      <c r="C29" s="93"/>
    </row>
    <row r="30" spans="1:3" ht="32.4">
      <c r="B30" s="95" t="s">
        <v>512</v>
      </c>
      <c r="C30" s="203" t="s">
        <v>667</v>
      </c>
    </row>
    <row r="31" spans="1:3" ht="32.4">
      <c r="B31" s="96" t="s">
        <v>513</v>
      </c>
      <c r="C31" s="203" t="s">
        <v>667</v>
      </c>
    </row>
    <row r="32" spans="1:3" ht="32.4">
      <c r="B32" s="96" t="s">
        <v>514</v>
      </c>
      <c r="C32" s="203" t="s">
        <v>667</v>
      </c>
    </row>
    <row r="33" spans="1:3" ht="33" thickBot="1">
      <c r="B33" s="96" t="s">
        <v>515</v>
      </c>
      <c r="C33" s="203" t="s">
        <v>667</v>
      </c>
    </row>
    <row r="34" spans="1:3" ht="24.9" customHeight="1">
      <c r="A34" s="192"/>
      <c r="B34" s="83" t="s">
        <v>516</v>
      </c>
      <c r="C34" s="93"/>
    </row>
    <row r="35" spans="1:3" ht="32.4">
      <c r="A35" s="209"/>
      <c r="B35" s="97" t="s">
        <v>517</v>
      </c>
      <c r="C35" s="197" t="s">
        <v>668</v>
      </c>
    </row>
    <row r="36" spans="1:3">
      <c r="A36" s="209"/>
      <c r="B36" s="97" t="s">
        <v>518</v>
      </c>
      <c r="C36" s="98" t="s">
        <v>669</v>
      </c>
    </row>
    <row r="37" spans="1:3" ht="32.4">
      <c r="A37" s="209"/>
      <c r="B37" s="97" t="s">
        <v>382</v>
      </c>
      <c r="C37" s="197" t="s">
        <v>668</v>
      </c>
    </row>
    <row r="38" spans="1:3">
      <c r="A38" s="209"/>
      <c r="B38" s="97" t="s">
        <v>519</v>
      </c>
      <c r="C38" s="197" t="s">
        <v>670</v>
      </c>
    </row>
    <row r="39" spans="1:3" ht="32.4">
      <c r="A39" s="209"/>
      <c r="B39" s="97" t="s">
        <v>671</v>
      </c>
      <c r="C39" s="197" t="s">
        <v>668</v>
      </c>
    </row>
    <row r="40" spans="1:3">
      <c r="B40" s="99" t="s">
        <v>520</v>
      </c>
      <c r="C40" s="197" t="s">
        <v>672</v>
      </c>
    </row>
    <row r="41" spans="1:3" ht="30">
      <c r="B41" s="100" t="s">
        <v>521</v>
      </c>
      <c r="C41" s="88" t="s">
        <v>660</v>
      </c>
    </row>
    <row r="42" spans="1:3" ht="30">
      <c r="B42" s="100" t="s">
        <v>522</v>
      </c>
      <c r="C42" s="88" t="s">
        <v>660</v>
      </c>
    </row>
    <row r="43" spans="1:3">
      <c r="B43" s="101" t="s">
        <v>487</v>
      </c>
      <c r="C43" s="211" t="s">
        <v>227</v>
      </c>
    </row>
    <row r="44" spans="1:3" ht="34.5" customHeight="1">
      <c r="B44" s="102" t="s">
        <v>240</v>
      </c>
      <c r="C44" s="211" t="s">
        <v>672</v>
      </c>
    </row>
  </sheetData>
  <phoneticPr fontId="3" type="noConversion"/>
  <pageMargins left="0.75" right="0.75" top="1" bottom="1" header="0.5" footer="0.5"/>
  <pageSetup paperSize="9" scale="85" fitToHeight="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610</v>
      </c>
      <c r="D1" s="240" t="str">
        <f>VLOOKUP(C1,學校編號!A:B,2,FALSE)</f>
        <v>610北濱國小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25733000</v>
      </c>
      <c r="E2" s="37"/>
      <c r="F2" s="37">
        <f>F48+F70+F76+F77+F83</f>
        <v>7498000</v>
      </c>
      <c r="G2" s="37">
        <f t="shared" ref="G2:Q2" si="0">G48+G70+G76+G77+G83</f>
        <v>1771000</v>
      </c>
      <c r="H2" s="37">
        <f t="shared" si="0"/>
        <v>1828000</v>
      </c>
      <c r="I2" s="37">
        <f t="shared" si="0"/>
        <v>2180000</v>
      </c>
      <c r="J2" s="37">
        <f t="shared" si="0"/>
        <v>1771000</v>
      </c>
      <c r="K2" s="37">
        <f t="shared" si="0"/>
        <v>1775000</v>
      </c>
      <c r="L2" s="37">
        <f t="shared" si="0"/>
        <v>1790000</v>
      </c>
      <c r="M2" s="37">
        <f t="shared" si="0"/>
        <v>1771000</v>
      </c>
      <c r="N2" s="37">
        <f t="shared" si="0"/>
        <v>3438000</v>
      </c>
      <c r="O2" s="37">
        <f t="shared" si="0"/>
        <v>1766000</v>
      </c>
      <c r="P2" s="37">
        <f t="shared" si="0"/>
        <v>74000</v>
      </c>
      <c r="Q2" s="37">
        <f t="shared" si="0"/>
        <v>71000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65000</v>
      </c>
      <c r="E13" s="37" t="s">
        <v>525</v>
      </c>
      <c r="F13" s="37">
        <f>ROUND($D13/12,0)</f>
        <v>5417</v>
      </c>
      <c r="G13" s="37">
        <f t="shared" si="1"/>
        <v>5417</v>
      </c>
      <c r="H13" s="37">
        <f t="shared" si="1"/>
        <v>5417</v>
      </c>
      <c r="I13" s="37">
        <f t="shared" si="1"/>
        <v>5417</v>
      </c>
      <c r="J13" s="37">
        <f t="shared" si="1"/>
        <v>5417</v>
      </c>
      <c r="K13" s="37">
        <f t="shared" si="1"/>
        <v>5417</v>
      </c>
      <c r="L13" s="37">
        <f t="shared" si="1"/>
        <v>5417</v>
      </c>
      <c r="M13" s="37">
        <f t="shared" si="1"/>
        <v>5417</v>
      </c>
      <c r="N13" s="37">
        <f t="shared" si="1"/>
        <v>5417</v>
      </c>
      <c r="O13" s="37">
        <f t="shared" si="1"/>
        <v>5417</v>
      </c>
      <c r="P13" s="37">
        <f t="shared" si="1"/>
        <v>5417</v>
      </c>
      <c r="Q13" s="37">
        <f>D13-SUM(F13:P13)</f>
        <v>5413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28000</v>
      </c>
      <c r="E15" s="37" t="s">
        <v>193</v>
      </c>
      <c r="F15" s="37">
        <f>ROUND($D15/2,-3)</f>
        <v>14000</v>
      </c>
      <c r="G15" s="37"/>
      <c r="H15" s="37"/>
      <c r="I15" s="37"/>
      <c r="J15" s="37"/>
      <c r="K15" s="37"/>
      <c r="L15" s="37">
        <f>D15-F15</f>
        <v>14000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98000</v>
      </c>
      <c r="E16" s="37" t="s">
        <v>525</v>
      </c>
      <c r="F16" s="37">
        <f>ROUND($D16/12,0)</f>
        <v>8167</v>
      </c>
      <c r="G16" s="37">
        <f t="shared" si="1"/>
        <v>8167</v>
      </c>
      <c r="H16" s="37">
        <f t="shared" si="1"/>
        <v>8167</v>
      </c>
      <c r="I16" s="37">
        <f t="shared" si="1"/>
        <v>8167</v>
      </c>
      <c r="J16" s="37">
        <f t="shared" si="1"/>
        <v>8167</v>
      </c>
      <c r="K16" s="37">
        <f t="shared" si="1"/>
        <v>8167</v>
      </c>
      <c r="L16" s="37">
        <f t="shared" si="1"/>
        <v>8167</v>
      </c>
      <c r="M16" s="37">
        <f t="shared" si="1"/>
        <v>8167</v>
      </c>
      <c r="N16" s="37">
        <f t="shared" si="1"/>
        <v>8167</v>
      </c>
      <c r="O16" s="37">
        <f t="shared" si="1"/>
        <v>8167</v>
      </c>
      <c r="P16" s="37">
        <f t="shared" si="1"/>
        <v>8167</v>
      </c>
      <c r="Q16" s="37">
        <f>D16-SUM(F16:P16)</f>
        <v>8163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553000</v>
      </c>
      <c r="E25" s="108"/>
      <c r="F25" s="108">
        <f>ROUND(SUM(F3:F24),-3)</f>
        <v>58000</v>
      </c>
      <c r="G25" s="108">
        <f t="shared" ref="G25:P25" si="5">ROUND(SUM(G3:G24),-3)</f>
        <v>44000</v>
      </c>
      <c r="H25" s="108">
        <f t="shared" si="5"/>
        <v>44000</v>
      </c>
      <c r="I25" s="108">
        <f t="shared" si="5"/>
        <v>44000</v>
      </c>
      <c r="J25" s="108">
        <f t="shared" si="5"/>
        <v>44000</v>
      </c>
      <c r="K25" s="108">
        <f t="shared" si="5"/>
        <v>44000</v>
      </c>
      <c r="L25" s="108">
        <f t="shared" si="5"/>
        <v>58000</v>
      </c>
      <c r="M25" s="108">
        <f t="shared" si="5"/>
        <v>44000</v>
      </c>
      <c r="N25" s="108">
        <f t="shared" si="5"/>
        <v>44000</v>
      </c>
      <c r="O25" s="108">
        <f t="shared" si="5"/>
        <v>44000</v>
      </c>
      <c r="P25" s="108">
        <f t="shared" si="5"/>
        <v>44000</v>
      </c>
      <c r="Q25" s="108">
        <f t="shared" ref="Q25:Q33" si="6">D25-SUM(F25:P25)</f>
        <v>41000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26000</v>
      </c>
      <c r="E30" s="37" t="s">
        <v>525</v>
      </c>
      <c r="F30" s="37">
        <f t="shared" si="8"/>
        <v>2167</v>
      </c>
      <c r="G30" s="37">
        <f t="shared" si="8"/>
        <v>2167</v>
      </c>
      <c r="H30" s="37">
        <f t="shared" si="8"/>
        <v>2167</v>
      </c>
      <c r="I30" s="37">
        <f t="shared" si="8"/>
        <v>2167</v>
      </c>
      <c r="J30" s="37">
        <f t="shared" si="8"/>
        <v>2167</v>
      </c>
      <c r="K30" s="37">
        <f t="shared" si="8"/>
        <v>2167</v>
      </c>
      <c r="L30" s="37">
        <f t="shared" si="8"/>
        <v>2167</v>
      </c>
      <c r="M30" s="37">
        <f t="shared" si="8"/>
        <v>2167</v>
      </c>
      <c r="N30" s="37">
        <f t="shared" si="8"/>
        <v>2167</v>
      </c>
      <c r="O30" s="37">
        <f t="shared" si="8"/>
        <v>2167</v>
      </c>
      <c r="P30" s="37">
        <f t="shared" si="8"/>
        <v>2167</v>
      </c>
      <c r="Q30" s="37">
        <f t="shared" si="6"/>
        <v>2163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13000</v>
      </c>
      <c r="E31" s="37" t="s">
        <v>525</v>
      </c>
      <c r="F31" s="37">
        <f t="shared" si="8"/>
        <v>1083</v>
      </c>
      <c r="G31" s="37">
        <f t="shared" si="8"/>
        <v>1083</v>
      </c>
      <c r="H31" s="37">
        <f t="shared" si="8"/>
        <v>1083</v>
      </c>
      <c r="I31" s="37">
        <f t="shared" si="8"/>
        <v>1083</v>
      </c>
      <c r="J31" s="37">
        <f t="shared" si="8"/>
        <v>1083</v>
      </c>
      <c r="K31" s="37">
        <f t="shared" si="8"/>
        <v>1083</v>
      </c>
      <c r="L31" s="37">
        <f t="shared" si="8"/>
        <v>1083</v>
      </c>
      <c r="M31" s="37">
        <f t="shared" si="8"/>
        <v>1083</v>
      </c>
      <c r="N31" s="37">
        <f t="shared" si="8"/>
        <v>1083</v>
      </c>
      <c r="O31" s="37">
        <f t="shared" si="8"/>
        <v>1083</v>
      </c>
      <c r="P31" s="37">
        <f t="shared" si="8"/>
        <v>1083</v>
      </c>
      <c r="Q31" s="37">
        <f t="shared" si="6"/>
        <v>1087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10000</v>
      </c>
      <c r="E36" s="37" t="s">
        <v>193</v>
      </c>
      <c r="F36" s="37">
        <f>ROUND($D36/2,-3)</f>
        <v>5000</v>
      </c>
      <c r="G36" s="37"/>
      <c r="H36" s="37"/>
      <c r="I36" s="37"/>
      <c r="J36" s="37"/>
      <c r="K36" s="37"/>
      <c r="L36" s="37">
        <f>D36-F36</f>
        <v>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315000</v>
      </c>
      <c r="E37" s="108"/>
      <c r="F37" s="108">
        <f t="shared" ref="F37:P37" si="9">ROUND(SUM(F26:F36),-3)</f>
        <v>30000</v>
      </c>
      <c r="G37" s="108">
        <f t="shared" si="9"/>
        <v>25000</v>
      </c>
      <c r="H37" s="108">
        <f t="shared" si="9"/>
        <v>25000</v>
      </c>
      <c r="I37" s="108">
        <f t="shared" si="9"/>
        <v>25000</v>
      </c>
      <c r="J37" s="108">
        <f t="shared" si="9"/>
        <v>25000</v>
      </c>
      <c r="K37" s="108">
        <f t="shared" si="9"/>
        <v>25000</v>
      </c>
      <c r="L37" s="108">
        <f t="shared" si="9"/>
        <v>30000</v>
      </c>
      <c r="M37" s="108">
        <f t="shared" si="9"/>
        <v>25000</v>
      </c>
      <c r="N37" s="108">
        <f t="shared" si="9"/>
        <v>25000</v>
      </c>
      <c r="O37" s="108">
        <f t="shared" si="9"/>
        <v>25000</v>
      </c>
      <c r="P37" s="108">
        <f t="shared" si="9"/>
        <v>25000</v>
      </c>
      <c r="Q37" s="108">
        <f>D37-SUM(F37:P37)</f>
        <v>30000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880000</v>
      </c>
      <c r="E48" s="37"/>
      <c r="F48" s="115">
        <f>F25+F37+F45+F47</f>
        <v>92000</v>
      </c>
      <c r="G48" s="115">
        <f t="shared" ref="G48:R48" si="14">G25+G37+G45+G47</f>
        <v>69000</v>
      </c>
      <c r="H48" s="115">
        <f t="shared" si="14"/>
        <v>69000</v>
      </c>
      <c r="I48" s="115">
        <f t="shared" si="14"/>
        <v>69000</v>
      </c>
      <c r="J48" s="115">
        <f t="shared" si="14"/>
        <v>69000</v>
      </c>
      <c r="K48" s="115">
        <f t="shared" si="14"/>
        <v>73000</v>
      </c>
      <c r="L48" s="115">
        <f t="shared" si="14"/>
        <v>88000</v>
      </c>
      <c r="M48" s="115">
        <f t="shared" si="14"/>
        <v>69000</v>
      </c>
      <c r="N48" s="115">
        <f t="shared" si="14"/>
        <v>73000</v>
      </c>
      <c r="O48" s="115">
        <f t="shared" si="14"/>
        <v>69000</v>
      </c>
      <c r="P48" s="115">
        <f t="shared" si="14"/>
        <v>69000</v>
      </c>
      <c r="Q48" s="115">
        <f t="shared" si="14"/>
        <v>71000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14300000</v>
      </c>
      <c r="E49" s="114" t="s">
        <v>202</v>
      </c>
      <c r="F49" s="37">
        <f>ROUND($D49/12*3,-3)</f>
        <v>3575000</v>
      </c>
      <c r="G49" s="37">
        <f>ROUND($D49/12,-3)</f>
        <v>1192000</v>
      </c>
      <c r="H49" s="37">
        <f t="shared" ref="H49:N53" si="15">ROUND($D49/12,-3)</f>
        <v>1192000</v>
      </c>
      <c r="I49" s="37">
        <f t="shared" si="15"/>
        <v>1192000</v>
      </c>
      <c r="J49" s="37">
        <f t="shared" si="15"/>
        <v>1192000</v>
      </c>
      <c r="K49" s="37">
        <f t="shared" si="15"/>
        <v>1192000</v>
      </c>
      <c r="L49" s="37">
        <f t="shared" si="15"/>
        <v>1192000</v>
      </c>
      <c r="M49" s="37">
        <f t="shared" si="15"/>
        <v>1192000</v>
      </c>
      <c r="N49" s="37">
        <f t="shared" si="15"/>
        <v>1192000</v>
      </c>
      <c r="O49" s="37">
        <f>D49-SUM(F49:N49)</f>
        <v>1189000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1412000</v>
      </c>
      <c r="E51" s="114" t="s">
        <v>202</v>
      </c>
      <c r="F51" s="37">
        <f t="shared" si="16"/>
        <v>353000</v>
      </c>
      <c r="G51" s="37">
        <f t="shared" si="17"/>
        <v>118000</v>
      </c>
      <c r="H51" s="37">
        <f t="shared" si="15"/>
        <v>118000</v>
      </c>
      <c r="I51" s="37">
        <f t="shared" si="15"/>
        <v>118000</v>
      </c>
      <c r="J51" s="37">
        <f t="shared" si="15"/>
        <v>118000</v>
      </c>
      <c r="K51" s="37">
        <f t="shared" si="15"/>
        <v>118000</v>
      </c>
      <c r="L51" s="37">
        <f t="shared" si="15"/>
        <v>118000</v>
      </c>
      <c r="M51" s="37">
        <f t="shared" si="15"/>
        <v>118000</v>
      </c>
      <c r="N51" s="37">
        <f t="shared" si="15"/>
        <v>118000</v>
      </c>
      <c r="O51" s="37">
        <f t="shared" si="18"/>
        <v>115000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445000</v>
      </c>
      <c r="E60" s="37" t="s">
        <v>195</v>
      </c>
      <c r="F60" s="37">
        <f>D60</f>
        <v>445000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2047000</v>
      </c>
      <c r="E62" s="37" t="s">
        <v>197</v>
      </c>
      <c r="F62" s="37"/>
      <c r="G62" s="37"/>
      <c r="H62" s="37"/>
      <c r="I62" s="37">
        <f>ROUND($D62/5,-3)</f>
        <v>409000</v>
      </c>
      <c r="J62" s="37"/>
      <c r="K62" s="37"/>
      <c r="L62" s="37"/>
      <c r="M62" s="37"/>
      <c r="N62" s="37">
        <f>D62-I62</f>
        <v>1638000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1738000</v>
      </c>
      <c r="E63" s="37" t="s">
        <v>195</v>
      </c>
      <c r="F63" s="37">
        <f>D63</f>
        <v>1738000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1622000</v>
      </c>
      <c r="E64" s="114" t="s">
        <v>202</v>
      </c>
      <c r="F64" s="37">
        <f>ROUND($D64/12*3,-3)</f>
        <v>406000</v>
      </c>
      <c r="G64" s="37">
        <f>ROUND($D64/12,-3)</f>
        <v>135000</v>
      </c>
      <c r="H64" s="37">
        <f t="shared" ref="H64:N66" si="21">ROUND($D64/12,-3)</f>
        <v>135000</v>
      </c>
      <c r="I64" s="37">
        <f t="shared" si="21"/>
        <v>135000</v>
      </c>
      <c r="J64" s="37">
        <f t="shared" si="21"/>
        <v>135000</v>
      </c>
      <c r="K64" s="37">
        <f t="shared" si="21"/>
        <v>135000</v>
      </c>
      <c r="L64" s="37">
        <f t="shared" si="21"/>
        <v>135000</v>
      </c>
      <c r="M64" s="37">
        <f t="shared" si="21"/>
        <v>135000</v>
      </c>
      <c r="N64" s="37">
        <f t="shared" si="21"/>
        <v>135000</v>
      </c>
      <c r="O64" s="37">
        <f>D64-SUM(F64:N64)</f>
        <v>136000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423000</v>
      </c>
      <c r="E65" s="114" t="s">
        <v>202</v>
      </c>
      <c r="F65" s="37">
        <f t="shared" ref="F65:F66" si="22">ROUND($D65/12*3,-3)</f>
        <v>106000</v>
      </c>
      <c r="G65" s="37">
        <f t="shared" ref="G65:G66" si="23">ROUND($D65/12,-3)</f>
        <v>35000</v>
      </c>
      <c r="H65" s="37">
        <f t="shared" si="21"/>
        <v>35000</v>
      </c>
      <c r="I65" s="37">
        <f t="shared" si="21"/>
        <v>35000</v>
      </c>
      <c r="J65" s="37">
        <f t="shared" si="21"/>
        <v>35000</v>
      </c>
      <c r="K65" s="37">
        <f t="shared" si="21"/>
        <v>35000</v>
      </c>
      <c r="L65" s="37">
        <f t="shared" si="21"/>
        <v>35000</v>
      </c>
      <c r="M65" s="37">
        <f t="shared" si="21"/>
        <v>35000</v>
      </c>
      <c r="N65" s="37">
        <f t="shared" si="21"/>
        <v>35000</v>
      </c>
      <c r="O65" s="37">
        <f t="shared" ref="O65:O66" si="24">D65-SUM(F65:N65)</f>
        <v>37000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835000</v>
      </c>
      <c r="E66" s="114" t="s">
        <v>202</v>
      </c>
      <c r="F66" s="37">
        <f t="shared" si="22"/>
        <v>209000</v>
      </c>
      <c r="G66" s="37">
        <f t="shared" si="23"/>
        <v>70000</v>
      </c>
      <c r="H66" s="37">
        <f t="shared" si="21"/>
        <v>70000</v>
      </c>
      <c r="I66" s="37">
        <f t="shared" si="21"/>
        <v>70000</v>
      </c>
      <c r="J66" s="37">
        <f t="shared" si="21"/>
        <v>70000</v>
      </c>
      <c r="K66" s="37">
        <f t="shared" si="21"/>
        <v>70000</v>
      </c>
      <c r="L66" s="37">
        <f t="shared" si="21"/>
        <v>70000</v>
      </c>
      <c r="M66" s="37">
        <f t="shared" si="21"/>
        <v>70000</v>
      </c>
      <c r="N66" s="37">
        <f t="shared" si="21"/>
        <v>70000</v>
      </c>
      <c r="O66" s="37">
        <f t="shared" si="24"/>
        <v>66000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31000</v>
      </c>
      <c r="E67" s="37" t="s">
        <v>196</v>
      </c>
      <c r="F67" s="37"/>
      <c r="G67" s="37"/>
      <c r="H67" s="37">
        <f>D67</f>
        <v>31000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128000</v>
      </c>
      <c r="E68" s="37" t="s">
        <v>195</v>
      </c>
      <c r="F68" s="37">
        <f>D68</f>
        <v>128000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23301000</v>
      </c>
      <c r="E70" s="108"/>
      <c r="F70" s="108">
        <f t="shared" ref="F70:P70" si="25">ROUND(SUM(F49:F69),-3)</f>
        <v>7031000</v>
      </c>
      <c r="G70" s="108">
        <f t="shared" si="25"/>
        <v>1577000</v>
      </c>
      <c r="H70" s="108">
        <f t="shared" si="25"/>
        <v>1608000</v>
      </c>
      <c r="I70" s="108">
        <f t="shared" si="25"/>
        <v>1986000</v>
      </c>
      <c r="J70" s="108">
        <f t="shared" si="25"/>
        <v>1577000</v>
      </c>
      <c r="K70" s="108">
        <f t="shared" si="25"/>
        <v>1577000</v>
      </c>
      <c r="L70" s="108">
        <f t="shared" si="25"/>
        <v>1577000</v>
      </c>
      <c r="M70" s="108">
        <f t="shared" si="25"/>
        <v>1577000</v>
      </c>
      <c r="N70" s="108">
        <f t="shared" si="25"/>
        <v>3215000</v>
      </c>
      <c r="O70" s="108">
        <f t="shared" si="25"/>
        <v>1571000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1501000</v>
      </c>
      <c r="E72" s="114" t="s">
        <v>202</v>
      </c>
      <c r="F72" s="37">
        <f>ROUND($D72/12*3,-3)</f>
        <v>375000</v>
      </c>
      <c r="G72" s="37">
        <f>ROUND($D72/12,-3)</f>
        <v>125000</v>
      </c>
      <c r="H72" s="37">
        <f t="shared" ref="H72:N75" si="26">ROUND($D72/12,-3)</f>
        <v>125000</v>
      </c>
      <c r="I72" s="37">
        <f t="shared" si="26"/>
        <v>125000</v>
      </c>
      <c r="J72" s="37">
        <f t="shared" si="26"/>
        <v>125000</v>
      </c>
      <c r="K72" s="37">
        <f t="shared" si="26"/>
        <v>125000</v>
      </c>
      <c r="L72" s="37">
        <f t="shared" si="26"/>
        <v>125000</v>
      </c>
      <c r="M72" s="37">
        <f t="shared" si="26"/>
        <v>125000</v>
      </c>
      <c r="N72" s="37">
        <f t="shared" si="26"/>
        <v>125000</v>
      </c>
      <c r="O72" s="37">
        <f>D72-SUM(F72:N72)</f>
        <v>126000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1501000</v>
      </c>
      <c r="E76" s="108"/>
      <c r="F76" s="108">
        <f>ROUND(SUM(F71:F75),-3)</f>
        <v>375000</v>
      </c>
      <c r="G76" s="108">
        <f t="shared" ref="G76:N76" si="27">ROUND(SUM(G71:G75),-3)</f>
        <v>125000</v>
      </c>
      <c r="H76" s="108">
        <f t="shared" si="27"/>
        <v>125000</v>
      </c>
      <c r="I76" s="108">
        <f t="shared" si="27"/>
        <v>125000</v>
      </c>
      <c r="J76" s="108">
        <f t="shared" si="27"/>
        <v>125000</v>
      </c>
      <c r="K76" s="108">
        <f t="shared" si="27"/>
        <v>125000</v>
      </c>
      <c r="L76" s="108">
        <f t="shared" si="27"/>
        <v>125000</v>
      </c>
      <c r="M76" s="108">
        <f t="shared" si="27"/>
        <v>125000</v>
      </c>
      <c r="N76" s="108">
        <f t="shared" si="27"/>
        <v>125000</v>
      </c>
      <c r="O76" s="108">
        <f>D76-SUM(F76:N76)</f>
        <v>126000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51000</v>
      </c>
      <c r="E77" s="37" t="s">
        <v>681</v>
      </c>
      <c r="F77" s="224"/>
      <c r="G77" s="224"/>
      <c r="H77" s="224">
        <f>ROUND($D77/2,-3)</f>
        <v>26000</v>
      </c>
      <c r="I77" s="224"/>
      <c r="J77" s="224"/>
      <c r="K77" s="224"/>
      <c r="L77" s="224"/>
      <c r="M77" s="224"/>
      <c r="N77" s="224">
        <f>D77-H77</f>
        <v>25000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24853000</v>
      </c>
      <c r="E78" s="227"/>
      <c r="F78" s="227">
        <f>F76+F70+F77</f>
        <v>7406000</v>
      </c>
      <c r="G78" s="227">
        <f t="shared" ref="G78:Q78" si="29">G76+G70+G77</f>
        <v>1702000</v>
      </c>
      <c r="H78" s="227">
        <f t="shared" si="29"/>
        <v>1759000</v>
      </c>
      <c r="I78" s="227">
        <f t="shared" si="29"/>
        <v>2111000</v>
      </c>
      <c r="J78" s="227">
        <f t="shared" si="29"/>
        <v>1702000</v>
      </c>
      <c r="K78" s="227">
        <f t="shared" si="29"/>
        <v>1702000</v>
      </c>
      <c r="L78" s="227">
        <f t="shared" si="29"/>
        <v>1702000</v>
      </c>
      <c r="M78" s="227">
        <f t="shared" si="29"/>
        <v>1702000</v>
      </c>
      <c r="N78" s="227">
        <f t="shared" si="29"/>
        <v>3365000</v>
      </c>
      <c r="O78" s="227">
        <f t="shared" si="29"/>
        <v>1697000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25733000</v>
      </c>
      <c r="E87" s="37"/>
      <c r="F87" s="37">
        <f>F88+F89+F90+F91</f>
        <v>7498000</v>
      </c>
      <c r="G87" s="37">
        <f t="shared" ref="G87:Q87" si="32">G88+G89+G90+G91</f>
        <v>1771000</v>
      </c>
      <c r="H87" s="37">
        <f t="shared" si="32"/>
        <v>1828000</v>
      </c>
      <c r="I87" s="37">
        <f t="shared" si="32"/>
        <v>2180000</v>
      </c>
      <c r="J87" s="37">
        <f t="shared" si="32"/>
        <v>1771000</v>
      </c>
      <c r="K87" s="37">
        <f t="shared" si="32"/>
        <v>1775000</v>
      </c>
      <c r="L87" s="37">
        <f t="shared" si="32"/>
        <v>1790000</v>
      </c>
      <c r="M87" s="37">
        <f t="shared" si="32"/>
        <v>1771000</v>
      </c>
      <c r="N87" s="37">
        <f t="shared" si="32"/>
        <v>3438000</v>
      </c>
      <c r="O87" s="37">
        <f t="shared" si="32"/>
        <v>1766000</v>
      </c>
      <c r="P87" s="37">
        <f t="shared" si="32"/>
        <v>74000</v>
      </c>
      <c r="Q87" s="37">
        <f t="shared" si="32"/>
        <v>71000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10000</v>
      </c>
      <c r="E88" s="108" t="s">
        <v>193</v>
      </c>
      <c r="F88" s="108">
        <f>ROUND($D88/2,-3)</f>
        <v>5000</v>
      </c>
      <c r="G88" s="108"/>
      <c r="H88" s="108"/>
      <c r="I88" s="108"/>
      <c r="J88" s="108"/>
      <c r="K88" s="108"/>
      <c r="L88" s="108">
        <f>D88-F88</f>
        <v>5000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3000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1000</v>
      </c>
      <c r="M90" s="108"/>
      <c r="N90" s="108"/>
      <c r="O90" s="108"/>
      <c r="P90" s="108"/>
      <c r="Q90" s="108">
        <f>ROUND($D90/2,-3)</f>
        <v>2000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25720000</v>
      </c>
      <c r="E91" s="108"/>
      <c r="F91" s="108">
        <f>F92+F93+F94+F95</f>
        <v>7493000</v>
      </c>
      <c r="G91" s="108">
        <f t="shared" ref="G91:Q91" si="34">G92+G93+G94+G95</f>
        <v>1771000</v>
      </c>
      <c r="H91" s="108">
        <f t="shared" si="34"/>
        <v>1828000</v>
      </c>
      <c r="I91" s="108">
        <f t="shared" si="34"/>
        <v>2180000</v>
      </c>
      <c r="J91" s="108">
        <f t="shared" si="34"/>
        <v>1771000</v>
      </c>
      <c r="K91" s="108">
        <f t="shared" si="34"/>
        <v>1775000</v>
      </c>
      <c r="L91" s="108">
        <f t="shared" si="34"/>
        <v>1784000</v>
      </c>
      <c r="M91" s="108">
        <f t="shared" si="34"/>
        <v>1771000</v>
      </c>
      <c r="N91" s="108">
        <f t="shared" si="34"/>
        <v>3438000</v>
      </c>
      <c r="O91" s="108">
        <f t="shared" si="34"/>
        <v>1766000</v>
      </c>
      <c r="P91" s="108">
        <f t="shared" si="34"/>
        <v>74000</v>
      </c>
      <c r="Q91" s="108">
        <f t="shared" si="34"/>
        <v>69000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1015000</v>
      </c>
      <c r="E92" s="114" t="s">
        <v>537</v>
      </c>
      <c r="F92" s="37">
        <f>ROUND($D92/12*5,-3)</f>
        <v>423000</v>
      </c>
      <c r="G92" s="37">
        <f>ROUND($D92/12,-3)</f>
        <v>85000</v>
      </c>
      <c r="H92" s="37">
        <f t="shared" ref="H92:L92" si="35">ROUND($D92/12,-3)</f>
        <v>85000</v>
      </c>
      <c r="I92" s="37">
        <f t="shared" si="35"/>
        <v>85000</v>
      </c>
      <c r="J92" s="37">
        <f t="shared" si="35"/>
        <v>85000</v>
      </c>
      <c r="K92" s="37">
        <f t="shared" si="35"/>
        <v>85000</v>
      </c>
      <c r="L92" s="37">
        <f t="shared" si="35"/>
        <v>85000</v>
      </c>
      <c r="M92" s="37">
        <f>D92-SUM(F92:L92)</f>
        <v>82000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0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420000</v>
      </c>
      <c r="E94" s="110" t="s">
        <v>229</v>
      </c>
      <c r="F94" s="37"/>
      <c r="G94" s="37"/>
      <c r="H94" s="37">
        <f>ROUND($D94/2,-3)</f>
        <v>210000</v>
      </c>
      <c r="I94" s="37"/>
      <c r="J94" s="37"/>
      <c r="K94" s="37"/>
      <c r="L94" s="37"/>
      <c r="M94" s="37"/>
      <c r="N94" s="37"/>
      <c r="O94" s="37">
        <f>D94-H94</f>
        <v>210000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24195000</v>
      </c>
      <c r="E95" s="37"/>
      <c r="F95" s="37">
        <f>F2+F86-F88-F89-F90-F92-F93-F94</f>
        <v>7062000</v>
      </c>
      <c r="G95" s="37">
        <f t="shared" ref="G95:Q95" si="37">G2-G88-G89-G90-G92-G93-G94</f>
        <v>1678000</v>
      </c>
      <c r="H95" s="37">
        <f t="shared" si="37"/>
        <v>1525000</v>
      </c>
      <c r="I95" s="37">
        <f t="shared" si="37"/>
        <v>2087000</v>
      </c>
      <c r="J95" s="37">
        <f t="shared" si="37"/>
        <v>1678000</v>
      </c>
      <c r="K95" s="37">
        <f t="shared" si="37"/>
        <v>1682000</v>
      </c>
      <c r="L95" s="37">
        <f t="shared" si="37"/>
        <v>1691000</v>
      </c>
      <c r="M95" s="37">
        <f t="shared" si="37"/>
        <v>1681000</v>
      </c>
      <c r="N95" s="37">
        <f t="shared" si="37"/>
        <v>3430000</v>
      </c>
      <c r="O95" s="37">
        <f t="shared" si="37"/>
        <v>1548000</v>
      </c>
      <c r="P95" s="37">
        <f t="shared" si="37"/>
        <v>66000</v>
      </c>
      <c r="Q95" s="37">
        <f t="shared" si="37"/>
        <v>67000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0</v>
      </c>
    </row>
    <row r="99" spans="2:17" ht="32.4">
      <c r="B99" s="72" t="s">
        <v>235</v>
      </c>
      <c r="D99" s="30">
        <f>HLOOKUP(D1,縣庫撥款收入明細表!H:DD,5,FALSE)</f>
        <v>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1015000</v>
      </c>
    </row>
    <row r="102" spans="2:17" ht="32.4">
      <c r="B102" s="71" t="s">
        <v>238</v>
      </c>
      <c r="D102" s="30">
        <f>HLOOKUP(D1,縣庫撥款收入明細表!H:DD,16,FALSE)</f>
        <v>84000</v>
      </c>
    </row>
    <row r="103" spans="2:17" ht="32.4">
      <c r="B103" s="72" t="s">
        <v>239</v>
      </c>
      <c r="D103" s="30">
        <f>HLOOKUP(D1,縣庫撥款收入明細表!H:DD,17,FALSE)</f>
        <v>0</v>
      </c>
    </row>
    <row r="104" spans="2:17" ht="32.4">
      <c r="B104" s="76" t="s">
        <v>240</v>
      </c>
      <c r="D104" s="30">
        <f>HLOOKUP(D1,縣庫撥款收入明細表!H:DD,18,FALSE)</f>
        <v>420000</v>
      </c>
    </row>
    <row r="105" spans="2:17" ht="32.4">
      <c r="B105" s="72" t="s">
        <v>380</v>
      </c>
      <c r="D105" s="30">
        <f>HLOOKUP(D1,縣庫撥款收入明細表!H:DD,19,FALSE)</f>
        <v>0</v>
      </c>
    </row>
    <row r="106" spans="2:17" ht="32.4">
      <c r="B106" s="71" t="s">
        <v>241</v>
      </c>
      <c r="D106" s="30">
        <f>HLOOKUP(D1,縣庫撥款收入明細表!H:DD,20,FALSE)</f>
        <v>6000</v>
      </c>
    </row>
    <row r="107" spans="2:17" ht="32.4">
      <c r="B107" s="77" t="s">
        <v>242</v>
      </c>
      <c r="D107" s="30">
        <f>HLOOKUP(D1,縣庫撥款收入明細表!H:DD,21,FALSE)</f>
        <v>24195000</v>
      </c>
    </row>
    <row r="108" spans="2:17" ht="16.5" customHeight="1"/>
    <row r="109" spans="2:17" ht="16.5" customHeight="1">
      <c r="B109" s="4" t="s">
        <v>682</v>
      </c>
      <c r="D109" s="30">
        <f>D91-D76</f>
        <v>24219000</v>
      </c>
      <c r="F109" s="30">
        <f>F91-F76</f>
        <v>7118000</v>
      </c>
      <c r="G109" s="30">
        <f t="shared" ref="G109:Q109" si="38">G91-G76</f>
        <v>1646000</v>
      </c>
      <c r="H109" s="30">
        <f t="shared" si="38"/>
        <v>1703000</v>
      </c>
      <c r="I109" s="30">
        <f t="shared" si="38"/>
        <v>2055000</v>
      </c>
      <c r="J109" s="30">
        <f t="shared" si="38"/>
        <v>1646000</v>
      </c>
      <c r="K109" s="30">
        <f t="shared" si="38"/>
        <v>1650000</v>
      </c>
      <c r="L109" s="30">
        <f t="shared" si="38"/>
        <v>1659000</v>
      </c>
      <c r="M109" s="30">
        <f t="shared" si="38"/>
        <v>1646000</v>
      </c>
      <c r="N109" s="30">
        <f t="shared" si="38"/>
        <v>3313000</v>
      </c>
      <c r="O109" s="30">
        <f t="shared" si="38"/>
        <v>1640000</v>
      </c>
      <c r="P109" s="30">
        <f t="shared" si="38"/>
        <v>74000</v>
      </c>
      <c r="Q109" s="30">
        <f t="shared" si="38"/>
        <v>69000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8:C78"/>
    <mergeCell ref="A79:A83"/>
    <mergeCell ref="A1:B1"/>
    <mergeCell ref="A2:B2"/>
    <mergeCell ref="A3:A48"/>
    <mergeCell ref="A49:A70"/>
    <mergeCell ref="A71:A76"/>
  </mergeCells>
  <phoneticPr fontId="3" type="noConversion"/>
  <conditionalFormatting sqref="F95:Q95">
    <cfRule type="cellIs" dxfId="184" priority="1" operator="lessThan">
      <formula>0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611</v>
      </c>
      <c r="D1" s="240" t="str">
        <f>VLOOKUP(C1,學校編號!A:B,2,FALSE)</f>
        <v>611鑄強國小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95288000</v>
      </c>
      <c r="E2" s="37"/>
      <c r="F2" s="37">
        <f>F48+F70+F76+F77+F83</f>
        <v>27018000</v>
      </c>
      <c r="G2" s="37">
        <f t="shared" ref="G2:Q2" si="0">G48+G70+G76+G77+G83</f>
        <v>6669000</v>
      </c>
      <c r="H2" s="37">
        <f t="shared" si="0"/>
        <v>7379000</v>
      </c>
      <c r="I2" s="37">
        <f t="shared" si="0"/>
        <v>7950000</v>
      </c>
      <c r="J2" s="37">
        <f t="shared" si="0"/>
        <v>6669000</v>
      </c>
      <c r="K2" s="37">
        <f t="shared" si="0"/>
        <v>6671000</v>
      </c>
      <c r="L2" s="37">
        <f t="shared" si="0"/>
        <v>6903000</v>
      </c>
      <c r="M2" s="37">
        <f t="shared" si="0"/>
        <v>6669000</v>
      </c>
      <c r="N2" s="37">
        <f t="shared" si="0"/>
        <v>12407000</v>
      </c>
      <c r="O2" s="37">
        <f t="shared" si="0"/>
        <v>6674000</v>
      </c>
      <c r="P2" s="37">
        <f t="shared" si="0"/>
        <v>142000</v>
      </c>
      <c r="Q2" s="37">
        <f t="shared" si="0"/>
        <v>137000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401000</v>
      </c>
      <c r="E3" s="37" t="s">
        <v>525</v>
      </c>
      <c r="F3" s="37">
        <f t="shared" ref="F3:P17" si="1">ROUND($D3/12,0)</f>
        <v>33417</v>
      </c>
      <c r="G3" s="37">
        <f t="shared" si="1"/>
        <v>33417</v>
      </c>
      <c r="H3" s="37">
        <f t="shared" si="1"/>
        <v>33417</v>
      </c>
      <c r="I3" s="37">
        <f t="shared" si="1"/>
        <v>33417</v>
      </c>
      <c r="J3" s="37">
        <f t="shared" si="1"/>
        <v>33417</v>
      </c>
      <c r="K3" s="37">
        <f t="shared" si="1"/>
        <v>33417</v>
      </c>
      <c r="L3" s="37">
        <f t="shared" si="1"/>
        <v>33417</v>
      </c>
      <c r="M3" s="37">
        <f t="shared" si="1"/>
        <v>33417</v>
      </c>
      <c r="N3" s="37">
        <f t="shared" si="1"/>
        <v>33417</v>
      </c>
      <c r="O3" s="37">
        <f t="shared" si="1"/>
        <v>33417</v>
      </c>
      <c r="P3" s="37">
        <f t="shared" si="1"/>
        <v>33417</v>
      </c>
      <c r="Q3" s="37">
        <f t="shared" ref="Q3:Q10" si="2">D3-SUM(F3:P3)</f>
        <v>33413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172000</v>
      </c>
      <c r="E4" s="37" t="s">
        <v>525</v>
      </c>
      <c r="F4" s="37">
        <f t="shared" si="1"/>
        <v>14333</v>
      </c>
      <c r="G4" s="37">
        <f t="shared" si="1"/>
        <v>14333</v>
      </c>
      <c r="H4" s="37">
        <f t="shared" si="1"/>
        <v>14333</v>
      </c>
      <c r="I4" s="37">
        <f t="shared" si="1"/>
        <v>14333</v>
      </c>
      <c r="J4" s="37">
        <f t="shared" si="1"/>
        <v>14333</v>
      </c>
      <c r="K4" s="37">
        <f t="shared" si="1"/>
        <v>14333</v>
      </c>
      <c r="L4" s="37">
        <f t="shared" si="1"/>
        <v>14333</v>
      </c>
      <c r="M4" s="37">
        <f t="shared" si="1"/>
        <v>14333</v>
      </c>
      <c r="N4" s="37">
        <f t="shared" si="1"/>
        <v>14333</v>
      </c>
      <c r="O4" s="37">
        <f t="shared" si="1"/>
        <v>14333</v>
      </c>
      <c r="P4" s="37">
        <f t="shared" si="1"/>
        <v>14333</v>
      </c>
      <c r="Q4" s="37">
        <f t="shared" si="2"/>
        <v>14337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76000</v>
      </c>
      <c r="E7" s="37" t="s">
        <v>525</v>
      </c>
      <c r="F7" s="37">
        <f t="shared" si="1"/>
        <v>6333</v>
      </c>
      <c r="G7" s="37">
        <f t="shared" si="1"/>
        <v>6333</v>
      </c>
      <c r="H7" s="37">
        <f t="shared" si="1"/>
        <v>6333</v>
      </c>
      <c r="I7" s="37">
        <f t="shared" si="1"/>
        <v>6333</v>
      </c>
      <c r="J7" s="37">
        <f t="shared" si="1"/>
        <v>6333</v>
      </c>
      <c r="K7" s="37">
        <f t="shared" si="1"/>
        <v>6333</v>
      </c>
      <c r="L7" s="37">
        <f t="shared" si="1"/>
        <v>6333</v>
      </c>
      <c r="M7" s="37">
        <f t="shared" si="1"/>
        <v>6333</v>
      </c>
      <c r="N7" s="37">
        <f t="shared" si="1"/>
        <v>6333</v>
      </c>
      <c r="O7" s="37">
        <f t="shared" si="1"/>
        <v>6333</v>
      </c>
      <c r="P7" s="37">
        <f t="shared" si="1"/>
        <v>6333</v>
      </c>
      <c r="Q7" s="37">
        <f t="shared" si="2"/>
        <v>6337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72000</v>
      </c>
      <c r="E8" s="37" t="s">
        <v>525</v>
      </c>
      <c r="F8" s="37">
        <f t="shared" si="1"/>
        <v>6000</v>
      </c>
      <c r="G8" s="37">
        <f t="shared" si="1"/>
        <v>6000</v>
      </c>
      <c r="H8" s="37">
        <f t="shared" si="1"/>
        <v>6000</v>
      </c>
      <c r="I8" s="37">
        <f t="shared" si="1"/>
        <v>6000</v>
      </c>
      <c r="J8" s="37">
        <f t="shared" si="1"/>
        <v>6000</v>
      </c>
      <c r="K8" s="37">
        <f t="shared" si="1"/>
        <v>6000</v>
      </c>
      <c r="L8" s="37">
        <f t="shared" si="1"/>
        <v>6000</v>
      </c>
      <c r="M8" s="37">
        <f t="shared" si="1"/>
        <v>6000</v>
      </c>
      <c r="N8" s="37">
        <f t="shared" si="1"/>
        <v>6000</v>
      </c>
      <c r="O8" s="37">
        <f t="shared" si="1"/>
        <v>6000</v>
      </c>
      <c r="P8" s="37">
        <f t="shared" si="1"/>
        <v>6000</v>
      </c>
      <c r="Q8" s="37">
        <f t="shared" si="2"/>
        <v>6000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6000</v>
      </c>
      <c r="E9" s="37" t="s">
        <v>525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69000</v>
      </c>
      <c r="E13" s="37" t="s">
        <v>525</v>
      </c>
      <c r="F13" s="37">
        <f>ROUND($D13/12,0)</f>
        <v>5750</v>
      </c>
      <c r="G13" s="37">
        <f t="shared" si="1"/>
        <v>5750</v>
      </c>
      <c r="H13" s="37">
        <f t="shared" si="1"/>
        <v>5750</v>
      </c>
      <c r="I13" s="37">
        <f t="shared" si="1"/>
        <v>5750</v>
      </c>
      <c r="J13" s="37">
        <f t="shared" si="1"/>
        <v>5750</v>
      </c>
      <c r="K13" s="37">
        <f t="shared" si="1"/>
        <v>5750</v>
      </c>
      <c r="L13" s="37">
        <f t="shared" si="1"/>
        <v>5750</v>
      </c>
      <c r="M13" s="37">
        <f t="shared" si="1"/>
        <v>5750</v>
      </c>
      <c r="N13" s="37">
        <f t="shared" si="1"/>
        <v>5750</v>
      </c>
      <c r="O13" s="37">
        <f t="shared" si="1"/>
        <v>5750</v>
      </c>
      <c r="P13" s="37">
        <f t="shared" si="1"/>
        <v>5750</v>
      </c>
      <c r="Q13" s="37">
        <f>D13-SUM(F13:P13)</f>
        <v>5750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104000</v>
      </c>
      <c r="E15" s="37" t="s">
        <v>193</v>
      </c>
      <c r="F15" s="37">
        <f>ROUND($D15/2,-3)</f>
        <v>52000</v>
      </c>
      <c r="G15" s="37"/>
      <c r="H15" s="37"/>
      <c r="I15" s="37"/>
      <c r="J15" s="37"/>
      <c r="K15" s="37"/>
      <c r="L15" s="37">
        <f>D15-F15</f>
        <v>52000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95000</v>
      </c>
      <c r="E16" s="37" t="s">
        <v>525</v>
      </c>
      <c r="F16" s="37">
        <f>ROUND($D16/12,0)</f>
        <v>7917</v>
      </c>
      <c r="G16" s="37">
        <f t="shared" si="1"/>
        <v>7917</v>
      </c>
      <c r="H16" s="37">
        <f t="shared" si="1"/>
        <v>7917</v>
      </c>
      <c r="I16" s="37">
        <f t="shared" si="1"/>
        <v>7917</v>
      </c>
      <c r="J16" s="37">
        <f t="shared" si="1"/>
        <v>7917</v>
      </c>
      <c r="K16" s="37">
        <f t="shared" si="1"/>
        <v>7917</v>
      </c>
      <c r="L16" s="37">
        <f t="shared" si="1"/>
        <v>7917</v>
      </c>
      <c r="M16" s="37">
        <f t="shared" si="1"/>
        <v>7917</v>
      </c>
      <c r="N16" s="37">
        <f t="shared" si="1"/>
        <v>7917</v>
      </c>
      <c r="O16" s="37">
        <f t="shared" si="1"/>
        <v>7917</v>
      </c>
      <c r="P16" s="37">
        <f t="shared" si="1"/>
        <v>7917</v>
      </c>
      <c r="Q16" s="37">
        <f>D16-SUM(F16:P16)</f>
        <v>7913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65000</v>
      </c>
      <c r="E17" s="37" t="s">
        <v>525</v>
      </c>
      <c r="F17" s="37">
        <f>ROUND($D17/12,0)</f>
        <v>5417</v>
      </c>
      <c r="G17" s="37">
        <f t="shared" si="1"/>
        <v>5417</v>
      </c>
      <c r="H17" s="37">
        <f t="shared" si="1"/>
        <v>5417</v>
      </c>
      <c r="I17" s="37">
        <f t="shared" si="1"/>
        <v>5417</v>
      </c>
      <c r="J17" s="37">
        <f t="shared" si="1"/>
        <v>5417</v>
      </c>
      <c r="K17" s="37">
        <f t="shared" si="1"/>
        <v>5417</v>
      </c>
      <c r="L17" s="37">
        <f t="shared" si="1"/>
        <v>5417</v>
      </c>
      <c r="M17" s="37">
        <f t="shared" si="1"/>
        <v>5417</v>
      </c>
      <c r="N17" s="37">
        <f t="shared" si="1"/>
        <v>5417</v>
      </c>
      <c r="O17" s="37">
        <f t="shared" si="1"/>
        <v>5417</v>
      </c>
      <c r="P17" s="37">
        <f t="shared" si="1"/>
        <v>5417</v>
      </c>
      <c r="Q17" s="37">
        <f>D17-SUM(F17:P17)</f>
        <v>5413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350000</v>
      </c>
      <c r="E24" s="37" t="s">
        <v>193</v>
      </c>
      <c r="F24" s="37">
        <f>ROUND($D24/2,-3)</f>
        <v>175000</v>
      </c>
      <c r="G24" s="37"/>
      <c r="H24" s="37"/>
      <c r="I24" s="37"/>
      <c r="J24" s="37"/>
      <c r="K24" s="37"/>
      <c r="L24" s="37">
        <f>D24-F24</f>
        <v>175000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1410000</v>
      </c>
      <c r="E25" s="108"/>
      <c r="F25" s="108">
        <f>ROUND(SUM(F3:F24),-3)</f>
        <v>307000</v>
      </c>
      <c r="G25" s="108">
        <f t="shared" ref="G25:P25" si="5">ROUND(SUM(G3:G24),-3)</f>
        <v>80000</v>
      </c>
      <c r="H25" s="108">
        <f t="shared" si="5"/>
        <v>80000</v>
      </c>
      <c r="I25" s="108">
        <f t="shared" si="5"/>
        <v>80000</v>
      </c>
      <c r="J25" s="108">
        <f t="shared" si="5"/>
        <v>80000</v>
      </c>
      <c r="K25" s="108">
        <f t="shared" si="5"/>
        <v>80000</v>
      </c>
      <c r="L25" s="108">
        <f t="shared" si="5"/>
        <v>307000</v>
      </c>
      <c r="M25" s="108">
        <f t="shared" si="5"/>
        <v>80000</v>
      </c>
      <c r="N25" s="108">
        <f t="shared" si="5"/>
        <v>80000</v>
      </c>
      <c r="O25" s="108">
        <f t="shared" si="5"/>
        <v>80000</v>
      </c>
      <c r="P25" s="108">
        <f t="shared" si="5"/>
        <v>80000</v>
      </c>
      <c r="Q25" s="108">
        <f t="shared" ref="Q25:Q33" si="6">D25-SUM(F25:P25)</f>
        <v>76000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369000</v>
      </c>
      <c r="E27" s="37" t="s">
        <v>525</v>
      </c>
      <c r="F27" s="37">
        <f t="shared" ref="F27:P33" si="8">ROUND($D27/12,0)</f>
        <v>30750</v>
      </c>
      <c r="G27" s="37">
        <f t="shared" si="8"/>
        <v>30750</v>
      </c>
      <c r="H27" s="37">
        <f t="shared" si="8"/>
        <v>30750</v>
      </c>
      <c r="I27" s="37">
        <f t="shared" si="8"/>
        <v>30750</v>
      </c>
      <c r="J27" s="37">
        <f t="shared" si="8"/>
        <v>30750</v>
      </c>
      <c r="K27" s="37">
        <f t="shared" si="8"/>
        <v>30750</v>
      </c>
      <c r="L27" s="37">
        <f t="shared" si="8"/>
        <v>30750</v>
      </c>
      <c r="M27" s="37">
        <f t="shared" si="8"/>
        <v>30750</v>
      </c>
      <c r="N27" s="37">
        <f t="shared" si="8"/>
        <v>30750</v>
      </c>
      <c r="O27" s="37">
        <f t="shared" si="8"/>
        <v>30750</v>
      </c>
      <c r="P27" s="37">
        <f t="shared" si="8"/>
        <v>30750</v>
      </c>
      <c r="Q27" s="37">
        <f t="shared" si="6"/>
        <v>30750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39000</v>
      </c>
      <c r="E29" s="37" t="s">
        <v>525</v>
      </c>
      <c r="F29" s="37">
        <f t="shared" si="8"/>
        <v>3250</v>
      </c>
      <c r="G29" s="37">
        <f t="shared" si="8"/>
        <v>3250</v>
      </c>
      <c r="H29" s="37">
        <f t="shared" si="8"/>
        <v>3250</v>
      </c>
      <c r="I29" s="37">
        <f t="shared" si="8"/>
        <v>3250</v>
      </c>
      <c r="J29" s="37">
        <f t="shared" si="8"/>
        <v>3250</v>
      </c>
      <c r="K29" s="37">
        <f t="shared" si="8"/>
        <v>3250</v>
      </c>
      <c r="L29" s="37">
        <f t="shared" si="8"/>
        <v>3250</v>
      </c>
      <c r="M29" s="37">
        <f t="shared" si="8"/>
        <v>3250</v>
      </c>
      <c r="N29" s="37">
        <f t="shared" si="8"/>
        <v>3250</v>
      </c>
      <c r="O29" s="37">
        <f t="shared" si="8"/>
        <v>3250</v>
      </c>
      <c r="P29" s="37">
        <f t="shared" si="8"/>
        <v>3250</v>
      </c>
      <c r="Q29" s="37">
        <f t="shared" si="6"/>
        <v>3250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104000</v>
      </c>
      <c r="E30" s="37" t="s">
        <v>525</v>
      </c>
      <c r="F30" s="37">
        <f t="shared" si="8"/>
        <v>8667</v>
      </c>
      <c r="G30" s="37">
        <f t="shared" si="8"/>
        <v>8667</v>
      </c>
      <c r="H30" s="37">
        <f t="shared" si="8"/>
        <v>8667</v>
      </c>
      <c r="I30" s="37">
        <f t="shared" si="8"/>
        <v>8667</v>
      </c>
      <c r="J30" s="37">
        <f t="shared" si="8"/>
        <v>8667</v>
      </c>
      <c r="K30" s="37">
        <f t="shared" si="8"/>
        <v>8667</v>
      </c>
      <c r="L30" s="37">
        <f t="shared" si="8"/>
        <v>8667</v>
      </c>
      <c r="M30" s="37">
        <f t="shared" si="8"/>
        <v>8667</v>
      </c>
      <c r="N30" s="37">
        <f t="shared" si="8"/>
        <v>8667</v>
      </c>
      <c r="O30" s="37">
        <f t="shared" si="8"/>
        <v>8667</v>
      </c>
      <c r="P30" s="37">
        <f t="shared" si="8"/>
        <v>8667</v>
      </c>
      <c r="Q30" s="37">
        <f t="shared" si="6"/>
        <v>8663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52000</v>
      </c>
      <c r="E31" s="37" t="s">
        <v>525</v>
      </c>
      <c r="F31" s="37">
        <f t="shared" si="8"/>
        <v>4333</v>
      </c>
      <c r="G31" s="37">
        <f t="shared" si="8"/>
        <v>4333</v>
      </c>
      <c r="H31" s="37">
        <f t="shared" si="8"/>
        <v>4333</v>
      </c>
      <c r="I31" s="37">
        <f t="shared" si="8"/>
        <v>4333</v>
      </c>
      <c r="J31" s="37">
        <f t="shared" si="8"/>
        <v>4333</v>
      </c>
      <c r="K31" s="37">
        <f t="shared" si="8"/>
        <v>4333</v>
      </c>
      <c r="L31" s="37">
        <f t="shared" si="8"/>
        <v>4333</v>
      </c>
      <c r="M31" s="37">
        <f t="shared" si="8"/>
        <v>4333</v>
      </c>
      <c r="N31" s="37">
        <f t="shared" si="8"/>
        <v>4333</v>
      </c>
      <c r="O31" s="37">
        <f t="shared" si="8"/>
        <v>4333</v>
      </c>
      <c r="P31" s="37">
        <f t="shared" si="8"/>
        <v>4333</v>
      </c>
      <c r="Q31" s="37">
        <f t="shared" si="6"/>
        <v>4337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36000</v>
      </c>
      <c r="E32" s="37" t="s">
        <v>525</v>
      </c>
      <c r="F32" s="37">
        <f t="shared" si="8"/>
        <v>3000</v>
      </c>
      <c r="G32" s="37">
        <f t="shared" si="8"/>
        <v>3000</v>
      </c>
      <c r="H32" s="37">
        <f t="shared" si="8"/>
        <v>3000</v>
      </c>
      <c r="I32" s="37">
        <f t="shared" si="8"/>
        <v>3000</v>
      </c>
      <c r="J32" s="37">
        <f t="shared" si="8"/>
        <v>3000</v>
      </c>
      <c r="K32" s="37">
        <f t="shared" si="8"/>
        <v>3000</v>
      </c>
      <c r="L32" s="37">
        <f t="shared" si="8"/>
        <v>3000</v>
      </c>
      <c r="M32" s="37">
        <f t="shared" si="8"/>
        <v>3000</v>
      </c>
      <c r="N32" s="37">
        <f t="shared" si="8"/>
        <v>3000</v>
      </c>
      <c r="O32" s="37">
        <f t="shared" si="8"/>
        <v>3000</v>
      </c>
      <c r="P32" s="37">
        <f t="shared" si="8"/>
        <v>3000</v>
      </c>
      <c r="Q32" s="37">
        <f t="shared" si="6"/>
        <v>3000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22000</v>
      </c>
      <c r="E33" s="37" t="s">
        <v>525</v>
      </c>
      <c r="F33" s="37">
        <f t="shared" si="8"/>
        <v>1833</v>
      </c>
      <c r="G33" s="37">
        <f t="shared" si="8"/>
        <v>1833</v>
      </c>
      <c r="H33" s="37">
        <f t="shared" si="8"/>
        <v>1833</v>
      </c>
      <c r="I33" s="37">
        <f t="shared" si="8"/>
        <v>1833</v>
      </c>
      <c r="J33" s="37">
        <f t="shared" si="8"/>
        <v>1833</v>
      </c>
      <c r="K33" s="37">
        <f t="shared" si="8"/>
        <v>1833</v>
      </c>
      <c r="L33" s="37">
        <f t="shared" si="8"/>
        <v>1833</v>
      </c>
      <c r="M33" s="37">
        <f t="shared" si="8"/>
        <v>1833</v>
      </c>
      <c r="N33" s="37">
        <f t="shared" si="8"/>
        <v>1833</v>
      </c>
      <c r="O33" s="37">
        <f t="shared" si="8"/>
        <v>1833</v>
      </c>
      <c r="P33" s="37">
        <f t="shared" si="8"/>
        <v>1833</v>
      </c>
      <c r="Q33" s="37">
        <f t="shared" si="6"/>
        <v>1837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15000</v>
      </c>
      <c r="E36" s="37" t="s">
        <v>193</v>
      </c>
      <c r="F36" s="37">
        <f>ROUND($D36/2,-3)</f>
        <v>8000</v>
      </c>
      <c r="G36" s="37"/>
      <c r="H36" s="37"/>
      <c r="I36" s="37"/>
      <c r="J36" s="37"/>
      <c r="K36" s="37"/>
      <c r="L36" s="37">
        <f>D36-F36</f>
        <v>7000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637000</v>
      </c>
      <c r="E37" s="108"/>
      <c r="F37" s="108">
        <f t="shared" ref="F37:P37" si="9">ROUND(SUM(F26:F36),-3)</f>
        <v>60000</v>
      </c>
      <c r="G37" s="108">
        <f t="shared" si="9"/>
        <v>52000</v>
      </c>
      <c r="H37" s="108">
        <f t="shared" si="9"/>
        <v>52000</v>
      </c>
      <c r="I37" s="108">
        <f t="shared" si="9"/>
        <v>52000</v>
      </c>
      <c r="J37" s="108">
        <f t="shared" si="9"/>
        <v>52000</v>
      </c>
      <c r="K37" s="108">
        <f t="shared" si="9"/>
        <v>52000</v>
      </c>
      <c r="L37" s="108">
        <f t="shared" si="9"/>
        <v>59000</v>
      </c>
      <c r="M37" s="108">
        <f t="shared" si="9"/>
        <v>52000</v>
      </c>
      <c r="N37" s="108">
        <f t="shared" si="9"/>
        <v>52000</v>
      </c>
      <c r="O37" s="108">
        <f t="shared" si="9"/>
        <v>52000</v>
      </c>
      <c r="P37" s="108">
        <f t="shared" si="9"/>
        <v>52000</v>
      </c>
      <c r="Q37" s="108">
        <f>D37-SUM(F37:P37)</f>
        <v>50000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2053000</v>
      </c>
      <c r="E48" s="37"/>
      <c r="F48" s="115">
        <f>F25+F37+F45+F47</f>
        <v>369000</v>
      </c>
      <c r="G48" s="115">
        <f t="shared" ref="G48:R48" si="14">G25+G37+G45+G47</f>
        <v>132000</v>
      </c>
      <c r="H48" s="115">
        <f t="shared" si="14"/>
        <v>132000</v>
      </c>
      <c r="I48" s="115">
        <f t="shared" si="14"/>
        <v>132000</v>
      </c>
      <c r="J48" s="115">
        <f t="shared" si="14"/>
        <v>132000</v>
      </c>
      <c r="K48" s="115">
        <f t="shared" si="14"/>
        <v>134000</v>
      </c>
      <c r="L48" s="115">
        <f t="shared" si="14"/>
        <v>366000</v>
      </c>
      <c r="M48" s="115">
        <f t="shared" si="14"/>
        <v>132000</v>
      </c>
      <c r="N48" s="115">
        <f t="shared" si="14"/>
        <v>134000</v>
      </c>
      <c r="O48" s="115">
        <f t="shared" si="14"/>
        <v>132000</v>
      </c>
      <c r="P48" s="115">
        <f t="shared" si="14"/>
        <v>132000</v>
      </c>
      <c r="Q48" s="115">
        <f t="shared" si="14"/>
        <v>126000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46863000</v>
      </c>
      <c r="E49" s="114" t="s">
        <v>202</v>
      </c>
      <c r="F49" s="37">
        <f>ROUND($D49/12*3,-3)</f>
        <v>11716000</v>
      </c>
      <c r="G49" s="37">
        <f>ROUND($D49/12,-3)</f>
        <v>3905000</v>
      </c>
      <c r="H49" s="37">
        <f t="shared" ref="H49:N53" si="15">ROUND($D49/12,-3)</f>
        <v>3905000</v>
      </c>
      <c r="I49" s="37">
        <f t="shared" si="15"/>
        <v>3905000</v>
      </c>
      <c r="J49" s="37">
        <f t="shared" si="15"/>
        <v>3905000</v>
      </c>
      <c r="K49" s="37">
        <f t="shared" si="15"/>
        <v>3905000</v>
      </c>
      <c r="L49" s="37">
        <f t="shared" si="15"/>
        <v>3905000</v>
      </c>
      <c r="M49" s="37">
        <f t="shared" si="15"/>
        <v>3905000</v>
      </c>
      <c r="N49" s="37">
        <f t="shared" si="15"/>
        <v>3905000</v>
      </c>
      <c r="O49" s="37">
        <f>D49-SUM(F49:N49)</f>
        <v>3907000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812000</v>
      </c>
      <c r="E50" s="114" t="s">
        <v>202</v>
      </c>
      <c r="F50" s="37">
        <f t="shared" ref="F50:F53" si="16">ROUND($D50/12*3,-3)</f>
        <v>203000</v>
      </c>
      <c r="G50" s="37">
        <f t="shared" ref="G50:G53" si="17">ROUND($D50/12,-3)</f>
        <v>68000</v>
      </c>
      <c r="H50" s="37">
        <f t="shared" si="15"/>
        <v>68000</v>
      </c>
      <c r="I50" s="37">
        <f t="shared" si="15"/>
        <v>68000</v>
      </c>
      <c r="J50" s="37">
        <f t="shared" si="15"/>
        <v>68000</v>
      </c>
      <c r="K50" s="37">
        <f t="shared" si="15"/>
        <v>68000</v>
      </c>
      <c r="L50" s="37">
        <f t="shared" si="15"/>
        <v>68000</v>
      </c>
      <c r="M50" s="37">
        <f t="shared" si="15"/>
        <v>68000</v>
      </c>
      <c r="N50" s="37">
        <f t="shared" si="15"/>
        <v>68000</v>
      </c>
      <c r="O50" s="37">
        <f t="shared" ref="O50:O53" si="18">D50-SUM(F50:N50)</f>
        <v>65000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2088000</v>
      </c>
      <c r="E51" s="114" t="s">
        <v>202</v>
      </c>
      <c r="F51" s="37">
        <f t="shared" si="16"/>
        <v>522000</v>
      </c>
      <c r="G51" s="37">
        <f t="shared" si="17"/>
        <v>174000</v>
      </c>
      <c r="H51" s="37">
        <f t="shared" si="15"/>
        <v>174000</v>
      </c>
      <c r="I51" s="37">
        <f t="shared" si="15"/>
        <v>174000</v>
      </c>
      <c r="J51" s="37">
        <f t="shared" si="15"/>
        <v>174000</v>
      </c>
      <c r="K51" s="37">
        <f t="shared" si="15"/>
        <v>174000</v>
      </c>
      <c r="L51" s="37">
        <f t="shared" si="15"/>
        <v>174000</v>
      </c>
      <c r="M51" s="37">
        <f t="shared" si="15"/>
        <v>174000</v>
      </c>
      <c r="N51" s="37">
        <f t="shared" si="15"/>
        <v>174000</v>
      </c>
      <c r="O51" s="37">
        <f t="shared" si="18"/>
        <v>174000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399000</v>
      </c>
      <c r="E52" s="114" t="s">
        <v>202</v>
      </c>
      <c r="F52" s="37">
        <f t="shared" si="16"/>
        <v>100000</v>
      </c>
      <c r="G52" s="37">
        <f t="shared" si="17"/>
        <v>33000</v>
      </c>
      <c r="H52" s="37">
        <f t="shared" si="15"/>
        <v>33000</v>
      </c>
      <c r="I52" s="37">
        <f t="shared" si="15"/>
        <v>33000</v>
      </c>
      <c r="J52" s="37">
        <f t="shared" si="15"/>
        <v>33000</v>
      </c>
      <c r="K52" s="37">
        <f t="shared" si="15"/>
        <v>33000</v>
      </c>
      <c r="L52" s="37">
        <f t="shared" si="15"/>
        <v>33000</v>
      </c>
      <c r="M52" s="37">
        <f t="shared" si="15"/>
        <v>33000</v>
      </c>
      <c r="N52" s="37">
        <f t="shared" si="15"/>
        <v>33000</v>
      </c>
      <c r="O52" s="37">
        <f t="shared" si="18"/>
        <v>35000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121000</v>
      </c>
      <c r="E54" s="37" t="s">
        <v>525</v>
      </c>
      <c r="F54" s="37">
        <f t="shared" ref="F54:P61" si="19">ROUND($D54/12,0)</f>
        <v>10083</v>
      </c>
      <c r="G54" s="37">
        <f t="shared" si="19"/>
        <v>10083</v>
      </c>
      <c r="H54" s="37">
        <f t="shared" si="19"/>
        <v>10083</v>
      </c>
      <c r="I54" s="37">
        <f t="shared" si="19"/>
        <v>10083</v>
      </c>
      <c r="J54" s="37">
        <f t="shared" si="19"/>
        <v>10083</v>
      </c>
      <c r="K54" s="37">
        <f t="shared" si="19"/>
        <v>10083</v>
      </c>
      <c r="L54" s="37">
        <f t="shared" si="19"/>
        <v>10083</v>
      </c>
      <c r="M54" s="37">
        <f t="shared" si="19"/>
        <v>10083</v>
      </c>
      <c r="N54" s="37">
        <f t="shared" si="19"/>
        <v>10083</v>
      </c>
      <c r="O54" s="37">
        <f t="shared" si="19"/>
        <v>10083</v>
      </c>
      <c r="P54" s="37">
        <f t="shared" si="19"/>
        <v>10083</v>
      </c>
      <c r="Q54" s="37">
        <f t="shared" ref="Q54:Q61" si="20">D54-SUM(F54:P54)</f>
        <v>10087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0</v>
      </c>
      <c r="E59" s="37" t="s">
        <v>525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925000</v>
      </c>
      <c r="E60" s="37" t="s">
        <v>195</v>
      </c>
      <c r="F60" s="37">
        <f>D60</f>
        <v>925000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6407000</v>
      </c>
      <c r="E62" s="37" t="s">
        <v>197</v>
      </c>
      <c r="F62" s="37"/>
      <c r="G62" s="37"/>
      <c r="H62" s="37"/>
      <c r="I62" s="37">
        <f>ROUND($D62/5,-3)</f>
        <v>1281000</v>
      </c>
      <c r="J62" s="37"/>
      <c r="K62" s="37"/>
      <c r="L62" s="37"/>
      <c r="M62" s="37"/>
      <c r="N62" s="37">
        <f>D62-I62</f>
        <v>5126000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5801000</v>
      </c>
      <c r="E63" s="37" t="s">
        <v>195</v>
      </c>
      <c r="F63" s="37">
        <f>D63</f>
        <v>5801000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5188000</v>
      </c>
      <c r="E64" s="114" t="s">
        <v>202</v>
      </c>
      <c r="F64" s="37">
        <f>ROUND($D64/12*3,-3)</f>
        <v>1297000</v>
      </c>
      <c r="G64" s="37">
        <f>ROUND($D64/12,-3)</f>
        <v>432000</v>
      </c>
      <c r="H64" s="37">
        <f t="shared" ref="H64:N66" si="21">ROUND($D64/12,-3)</f>
        <v>432000</v>
      </c>
      <c r="I64" s="37">
        <f t="shared" si="21"/>
        <v>432000</v>
      </c>
      <c r="J64" s="37">
        <f t="shared" si="21"/>
        <v>432000</v>
      </c>
      <c r="K64" s="37">
        <f t="shared" si="21"/>
        <v>432000</v>
      </c>
      <c r="L64" s="37">
        <f t="shared" si="21"/>
        <v>432000</v>
      </c>
      <c r="M64" s="37">
        <f t="shared" si="21"/>
        <v>432000</v>
      </c>
      <c r="N64" s="37">
        <f t="shared" si="21"/>
        <v>432000</v>
      </c>
      <c r="O64" s="37">
        <f>D64-SUM(F64:N64)</f>
        <v>435000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1295000</v>
      </c>
      <c r="E65" s="114" t="s">
        <v>202</v>
      </c>
      <c r="F65" s="37">
        <f t="shared" ref="F65:F66" si="22">ROUND($D65/12*3,-3)</f>
        <v>324000</v>
      </c>
      <c r="G65" s="37">
        <f t="shared" ref="G65:G66" si="23">ROUND($D65/12,-3)</f>
        <v>108000</v>
      </c>
      <c r="H65" s="37">
        <f t="shared" si="21"/>
        <v>108000</v>
      </c>
      <c r="I65" s="37">
        <f t="shared" si="21"/>
        <v>108000</v>
      </c>
      <c r="J65" s="37">
        <f t="shared" si="21"/>
        <v>108000</v>
      </c>
      <c r="K65" s="37">
        <f t="shared" si="21"/>
        <v>108000</v>
      </c>
      <c r="L65" s="37">
        <f t="shared" si="21"/>
        <v>108000</v>
      </c>
      <c r="M65" s="37">
        <f t="shared" si="21"/>
        <v>108000</v>
      </c>
      <c r="N65" s="37">
        <f t="shared" si="21"/>
        <v>108000</v>
      </c>
      <c r="O65" s="37">
        <f t="shared" ref="O65:O66" si="24">D65-SUM(F65:N65)</f>
        <v>107000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3112000</v>
      </c>
      <c r="E66" s="114" t="s">
        <v>202</v>
      </c>
      <c r="F66" s="37">
        <f t="shared" si="22"/>
        <v>778000</v>
      </c>
      <c r="G66" s="37">
        <f t="shared" si="23"/>
        <v>259000</v>
      </c>
      <c r="H66" s="37">
        <f t="shared" si="21"/>
        <v>259000</v>
      </c>
      <c r="I66" s="37">
        <f t="shared" si="21"/>
        <v>259000</v>
      </c>
      <c r="J66" s="37">
        <f t="shared" si="21"/>
        <v>259000</v>
      </c>
      <c r="K66" s="37">
        <f t="shared" si="21"/>
        <v>259000</v>
      </c>
      <c r="L66" s="37">
        <f t="shared" si="21"/>
        <v>259000</v>
      </c>
      <c r="M66" s="37">
        <f t="shared" si="21"/>
        <v>259000</v>
      </c>
      <c r="N66" s="37">
        <f t="shared" si="21"/>
        <v>259000</v>
      </c>
      <c r="O66" s="37">
        <f t="shared" si="24"/>
        <v>262000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99000</v>
      </c>
      <c r="E67" s="37" t="s">
        <v>196</v>
      </c>
      <c r="F67" s="37"/>
      <c r="G67" s="37"/>
      <c r="H67" s="37">
        <f>D67</f>
        <v>99000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294000</v>
      </c>
      <c r="E68" s="37" t="s">
        <v>195</v>
      </c>
      <c r="F68" s="37">
        <f>D68</f>
        <v>294000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73404000</v>
      </c>
      <c r="E70" s="108"/>
      <c r="F70" s="108">
        <f t="shared" ref="F70:P70" si="25">ROUND(SUM(F49:F69),-3)</f>
        <v>21970000</v>
      </c>
      <c r="G70" s="108">
        <f t="shared" si="25"/>
        <v>4989000</v>
      </c>
      <c r="H70" s="108">
        <f t="shared" si="25"/>
        <v>5088000</v>
      </c>
      <c r="I70" s="108">
        <f t="shared" si="25"/>
        <v>6270000</v>
      </c>
      <c r="J70" s="108">
        <f t="shared" si="25"/>
        <v>4989000</v>
      </c>
      <c r="K70" s="108">
        <f t="shared" si="25"/>
        <v>4989000</v>
      </c>
      <c r="L70" s="108">
        <f t="shared" si="25"/>
        <v>4989000</v>
      </c>
      <c r="M70" s="108">
        <f t="shared" si="25"/>
        <v>4989000</v>
      </c>
      <c r="N70" s="108">
        <f t="shared" si="25"/>
        <v>10115000</v>
      </c>
      <c r="O70" s="108">
        <f t="shared" si="25"/>
        <v>4995000</v>
      </c>
      <c r="P70" s="108">
        <f t="shared" si="25"/>
        <v>10000</v>
      </c>
      <c r="Q70" s="108">
        <f>D70-SUM(F70:P70)</f>
        <v>11000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17240000</v>
      </c>
      <c r="E72" s="114" t="s">
        <v>202</v>
      </c>
      <c r="F72" s="37">
        <f>ROUND($D72/12*3,-3)</f>
        <v>4310000</v>
      </c>
      <c r="G72" s="37">
        <f>ROUND($D72/12,-3)</f>
        <v>1437000</v>
      </c>
      <c r="H72" s="37">
        <f t="shared" ref="H72:N75" si="26">ROUND($D72/12,-3)</f>
        <v>1437000</v>
      </c>
      <c r="I72" s="37">
        <f t="shared" si="26"/>
        <v>1437000</v>
      </c>
      <c r="J72" s="37">
        <f t="shared" si="26"/>
        <v>1437000</v>
      </c>
      <c r="K72" s="37">
        <f t="shared" si="26"/>
        <v>1437000</v>
      </c>
      <c r="L72" s="37">
        <f t="shared" si="26"/>
        <v>1437000</v>
      </c>
      <c r="M72" s="37">
        <f t="shared" si="26"/>
        <v>1437000</v>
      </c>
      <c r="N72" s="37">
        <f t="shared" si="26"/>
        <v>1437000</v>
      </c>
      <c r="O72" s="37">
        <f>D72-SUM(F72:N72)</f>
        <v>1434000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1335000</v>
      </c>
      <c r="E75" s="114" t="s">
        <v>202</v>
      </c>
      <c r="F75" s="37">
        <f>ROUND($D75/12*3,-3)</f>
        <v>334000</v>
      </c>
      <c r="G75" s="37">
        <f>ROUND($D75/12,-3)</f>
        <v>111000</v>
      </c>
      <c r="H75" s="37">
        <f t="shared" si="26"/>
        <v>111000</v>
      </c>
      <c r="I75" s="37">
        <f t="shared" si="26"/>
        <v>111000</v>
      </c>
      <c r="J75" s="37">
        <f t="shared" si="26"/>
        <v>111000</v>
      </c>
      <c r="K75" s="37">
        <f t="shared" si="26"/>
        <v>111000</v>
      </c>
      <c r="L75" s="37">
        <f t="shared" si="26"/>
        <v>111000</v>
      </c>
      <c r="M75" s="37">
        <f t="shared" si="26"/>
        <v>111000</v>
      </c>
      <c r="N75" s="37">
        <f t="shared" si="26"/>
        <v>111000</v>
      </c>
      <c r="O75" s="37">
        <f>D75-SUM(F75:N75)</f>
        <v>113000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18575000</v>
      </c>
      <c r="E76" s="108"/>
      <c r="F76" s="108">
        <f>ROUND(SUM(F71:F75),-3)</f>
        <v>4644000</v>
      </c>
      <c r="G76" s="108">
        <f t="shared" ref="G76:N76" si="27">ROUND(SUM(G71:G75),-3)</f>
        <v>1548000</v>
      </c>
      <c r="H76" s="108">
        <f t="shared" si="27"/>
        <v>1548000</v>
      </c>
      <c r="I76" s="108">
        <f t="shared" si="27"/>
        <v>1548000</v>
      </c>
      <c r="J76" s="108">
        <f t="shared" si="27"/>
        <v>1548000</v>
      </c>
      <c r="K76" s="108">
        <f t="shared" si="27"/>
        <v>1548000</v>
      </c>
      <c r="L76" s="108">
        <f t="shared" si="27"/>
        <v>1548000</v>
      </c>
      <c r="M76" s="108">
        <f t="shared" si="27"/>
        <v>1548000</v>
      </c>
      <c r="N76" s="108">
        <f t="shared" si="27"/>
        <v>1548000</v>
      </c>
      <c r="O76" s="108">
        <f>D76-SUM(F76:N76)</f>
        <v>1547000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1221000</v>
      </c>
      <c r="E77" s="37" t="s">
        <v>681</v>
      </c>
      <c r="F77" s="224"/>
      <c r="G77" s="224"/>
      <c r="H77" s="224">
        <f>ROUND($D77/2,-3)</f>
        <v>611000</v>
      </c>
      <c r="I77" s="224"/>
      <c r="J77" s="224"/>
      <c r="K77" s="224"/>
      <c r="L77" s="224"/>
      <c r="M77" s="224"/>
      <c r="N77" s="224">
        <f>D77-H77</f>
        <v>610000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93200000</v>
      </c>
      <c r="E78" s="227"/>
      <c r="F78" s="227">
        <f>F76+F70+F77</f>
        <v>26614000</v>
      </c>
      <c r="G78" s="227">
        <f t="shared" ref="G78:Q78" si="29">G76+G70+G77</f>
        <v>6537000</v>
      </c>
      <c r="H78" s="227">
        <f t="shared" si="29"/>
        <v>7247000</v>
      </c>
      <c r="I78" s="227">
        <f t="shared" si="29"/>
        <v>7818000</v>
      </c>
      <c r="J78" s="227">
        <f t="shared" si="29"/>
        <v>6537000</v>
      </c>
      <c r="K78" s="227">
        <f t="shared" si="29"/>
        <v>6537000</v>
      </c>
      <c r="L78" s="227">
        <f t="shared" si="29"/>
        <v>6537000</v>
      </c>
      <c r="M78" s="227">
        <f t="shared" si="29"/>
        <v>6537000</v>
      </c>
      <c r="N78" s="227">
        <f t="shared" si="29"/>
        <v>12273000</v>
      </c>
      <c r="O78" s="227">
        <f t="shared" si="29"/>
        <v>6542000</v>
      </c>
      <c r="P78" s="227">
        <f t="shared" si="29"/>
        <v>10000</v>
      </c>
      <c r="Q78" s="227">
        <f t="shared" si="29"/>
        <v>11000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35000</v>
      </c>
      <c r="E82" s="108" t="s">
        <v>195</v>
      </c>
      <c r="F82" s="108">
        <f t="shared" si="30"/>
        <v>35000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35000</v>
      </c>
      <c r="E83" s="116"/>
      <c r="F83" s="116">
        <f>SUM(F79:F82)</f>
        <v>35000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95288000</v>
      </c>
      <c r="E87" s="37"/>
      <c r="F87" s="37">
        <f>F88+F89+F90+F91</f>
        <v>27018000</v>
      </c>
      <c r="G87" s="37">
        <f t="shared" ref="G87:Q87" si="32">G88+G89+G90+G91</f>
        <v>6669000</v>
      </c>
      <c r="H87" s="37">
        <f t="shared" si="32"/>
        <v>7379000</v>
      </c>
      <c r="I87" s="37">
        <f t="shared" si="32"/>
        <v>7950000</v>
      </c>
      <c r="J87" s="37">
        <f t="shared" si="32"/>
        <v>6669000</v>
      </c>
      <c r="K87" s="37">
        <f t="shared" si="32"/>
        <v>6671000</v>
      </c>
      <c r="L87" s="37">
        <f t="shared" si="32"/>
        <v>6903000</v>
      </c>
      <c r="M87" s="37">
        <f t="shared" si="32"/>
        <v>6669000</v>
      </c>
      <c r="N87" s="37">
        <f t="shared" si="32"/>
        <v>12407000</v>
      </c>
      <c r="O87" s="37">
        <f t="shared" si="32"/>
        <v>6674000</v>
      </c>
      <c r="P87" s="37">
        <f t="shared" si="32"/>
        <v>142000</v>
      </c>
      <c r="Q87" s="37">
        <f t="shared" si="32"/>
        <v>137000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400000</v>
      </c>
      <c r="E88" s="108" t="s">
        <v>193</v>
      </c>
      <c r="F88" s="108">
        <f>ROUND($D88/2,-3)</f>
        <v>200000</v>
      </c>
      <c r="G88" s="108"/>
      <c r="H88" s="108"/>
      <c r="I88" s="108"/>
      <c r="J88" s="108"/>
      <c r="K88" s="108"/>
      <c r="L88" s="108">
        <f>D88-F88</f>
        <v>200000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8000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4000</v>
      </c>
      <c r="M90" s="108"/>
      <c r="N90" s="108"/>
      <c r="O90" s="108"/>
      <c r="P90" s="108"/>
      <c r="Q90" s="108">
        <f>ROUND($D90/2,-3)</f>
        <v>4000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94880000</v>
      </c>
      <c r="E91" s="108"/>
      <c r="F91" s="108">
        <f>F92+F93+F94+F95</f>
        <v>26818000</v>
      </c>
      <c r="G91" s="108">
        <f t="shared" ref="G91:Q91" si="34">G92+G93+G94+G95</f>
        <v>6669000</v>
      </c>
      <c r="H91" s="108">
        <f t="shared" si="34"/>
        <v>7379000</v>
      </c>
      <c r="I91" s="108">
        <f t="shared" si="34"/>
        <v>7950000</v>
      </c>
      <c r="J91" s="108">
        <f t="shared" si="34"/>
        <v>6669000</v>
      </c>
      <c r="K91" s="108">
        <f t="shared" si="34"/>
        <v>6671000</v>
      </c>
      <c r="L91" s="108">
        <f t="shared" si="34"/>
        <v>6699000</v>
      </c>
      <c r="M91" s="108">
        <f t="shared" si="34"/>
        <v>6669000</v>
      </c>
      <c r="N91" s="108">
        <f t="shared" si="34"/>
        <v>12407000</v>
      </c>
      <c r="O91" s="108">
        <f t="shared" si="34"/>
        <v>6674000</v>
      </c>
      <c r="P91" s="108">
        <f t="shared" si="34"/>
        <v>142000</v>
      </c>
      <c r="Q91" s="108">
        <f t="shared" si="34"/>
        <v>133000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2089000</v>
      </c>
      <c r="E92" s="114" t="s">
        <v>537</v>
      </c>
      <c r="F92" s="37">
        <f>ROUND($D92/12*5,-3)</f>
        <v>870000</v>
      </c>
      <c r="G92" s="37">
        <f>ROUND($D92/12,-3)</f>
        <v>174000</v>
      </c>
      <c r="H92" s="37">
        <f t="shared" ref="H92:L92" si="35">ROUND($D92/12,-3)</f>
        <v>174000</v>
      </c>
      <c r="I92" s="37">
        <f t="shared" si="35"/>
        <v>174000</v>
      </c>
      <c r="J92" s="37">
        <f t="shared" si="35"/>
        <v>174000</v>
      </c>
      <c r="K92" s="37">
        <f t="shared" si="35"/>
        <v>174000</v>
      </c>
      <c r="L92" s="37">
        <f t="shared" si="35"/>
        <v>174000</v>
      </c>
      <c r="M92" s="37">
        <f>D92-SUM(F92:L92)</f>
        <v>175000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345000</v>
      </c>
      <c r="E93" s="109" t="s">
        <v>227</v>
      </c>
      <c r="F93" s="37">
        <f>ROUND($D93/12,-3)</f>
        <v>29000</v>
      </c>
      <c r="G93" s="37">
        <f t="shared" ref="G93:P93" si="36">ROUND($D93/12,-3)</f>
        <v>29000</v>
      </c>
      <c r="H93" s="37">
        <f t="shared" si="36"/>
        <v>29000</v>
      </c>
      <c r="I93" s="37">
        <f t="shared" si="36"/>
        <v>29000</v>
      </c>
      <c r="J93" s="37">
        <f t="shared" si="36"/>
        <v>29000</v>
      </c>
      <c r="K93" s="37">
        <f t="shared" si="36"/>
        <v>29000</v>
      </c>
      <c r="L93" s="37">
        <f t="shared" si="36"/>
        <v>29000</v>
      </c>
      <c r="M93" s="37">
        <f t="shared" si="36"/>
        <v>29000</v>
      </c>
      <c r="N93" s="37">
        <f t="shared" si="36"/>
        <v>29000</v>
      </c>
      <c r="O93" s="37">
        <f t="shared" si="36"/>
        <v>29000</v>
      </c>
      <c r="P93" s="37">
        <f t="shared" si="36"/>
        <v>29000</v>
      </c>
      <c r="Q93" s="37">
        <f>D93-SUM(F93:P93)</f>
        <v>26000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616000</v>
      </c>
      <c r="E94" s="110" t="s">
        <v>229</v>
      </c>
      <c r="F94" s="37"/>
      <c r="G94" s="37"/>
      <c r="H94" s="37">
        <f>ROUND($D94/2,-3)</f>
        <v>308000</v>
      </c>
      <c r="I94" s="37"/>
      <c r="J94" s="37"/>
      <c r="K94" s="37"/>
      <c r="L94" s="37"/>
      <c r="M94" s="37"/>
      <c r="N94" s="37"/>
      <c r="O94" s="37">
        <f>D94-H94</f>
        <v>308000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91830000</v>
      </c>
      <c r="E95" s="37"/>
      <c r="F95" s="37">
        <f>F2+F86-F88-F89-F90-F92-F93-F94</f>
        <v>25919000</v>
      </c>
      <c r="G95" s="37">
        <f t="shared" ref="G95:Q95" si="37">G2-G88-G89-G90-G92-G93-G94</f>
        <v>6466000</v>
      </c>
      <c r="H95" s="37">
        <f t="shared" si="37"/>
        <v>6868000</v>
      </c>
      <c r="I95" s="37">
        <f t="shared" si="37"/>
        <v>7747000</v>
      </c>
      <c r="J95" s="37">
        <f t="shared" si="37"/>
        <v>6466000</v>
      </c>
      <c r="K95" s="37">
        <f t="shared" si="37"/>
        <v>6468000</v>
      </c>
      <c r="L95" s="37">
        <f t="shared" si="37"/>
        <v>6496000</v>
      </c>
      <c r="M95" s="37">
        <f t="shared" si="37"/>
        <v>6465000</v>
      </c>
      <c r="N95" s="37">
        <f t="shared" si="37"/>
        <v>12378000</v>
      </c>
      <c r="O95" s="37">
        <f t="shared" si="37"/>
        <v>6337000</v>
      </c>
      <c r="P95" s="37">
        <f t="shared" si="37"/>
        <v>113000</v>
      </c>
      <c r="Q95" s="37">
        <f t="shared" si="37"/>
        <v>107000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800000</v>
      </c>
    </row>
    <row r="99" spans="2:17" ht="32.4">
      <c r="B99" s="72" t="s">
        <v>235</v>
      </c>
      <c r="D99" s="30">
        <f>HLOOKUP(D1,縣庫撥款收入明細表!H:DD,5,FALSE)</f>
        <v>130000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1159000</v>
      </c>
    </row>
    <row r="102" spans="2:17" ht="32.4">
      <c r="B102" s="71" t="s">
        <v>238</v>
      </c>
      <c r="D102" s="30">
        <f>HLOOKUP(D1,縣庫撥款收入明細表!H:DD,16,FALSE)</f>
        <v>324000</v>
      </c>
    </row>
    <row r="103" spans="2:17" ht="32.4">
      <c r="B103" s="72" t="s">
        <v>239</v>
      </c>
      <c r="D103" s="30">
        <f>HLOOKUP(D1,縣庫撥款收入明細表!H:DD,17,FALSE)</f>
        <v>0</v>
      </c>
    </row>
    <row r="104" spans="2:17" ht="32.4">
      <c r="B104" s="76" t="s">
        <v>240</v>
      </c>
      <c r="D104" s="30">
        <f>HLOOKUP(D1,縣庫撥款收入明細表!H:DD,18,FALSE)</f>
        <v>616000</v>
      </c>
    </row>
    <row r="105" spans="2:17" ht="32.4">
      <c r="B105" s="72" t="s">
        <v>380</v>
      </c>
      <c r="D105" s="30">
        <f>HLOOKUP(D1,縣庫撥款收入明細表!H:DD,19,FALSE)</f>
        <v>0</v>
      </c>
    </row>
    <row r="106" spans="2:17" ht="32.4">
      <c r="B106" s="71" t="s">
        <v>241</v>
      </c>
      <c r="D106" s="30">
        <f>HLOOKUP(D1,縣庫撥款收入明細表!H:DD,20,FALSE)</f>
        <v>21000</v>
      </c>
    </row>
    <row r="107" spans="2:17" ht="32.4">
      <c r="B107" s="77" t="s">
        <v>242</v>
      </c>
      <c r="D107" s="30">
        <f>HLOOKUP(D1,縣庫撥款收入明細表!H:DD,21,FALSE)</f>
        <v>91830000</v>
      </c>
    </row>
    <row r="108" spans="2:17" ht="16.5" customHeight="1"/>
    <row r="109" spans="2:17" ht="16.5" customHeight="1">
      <c r="B109" s="4" t="s">
        <v>682</v>
      </c>
      <c r="D109" s="30">
        <f>D91-D76</f>
        <v>76305000</v>
      </c>
      <c r="F109" s="30">
        <f>F91-F76</f>
        <v>22174000</v>
      </c>
      <c r="G109" s="30">
        <f t="shared" ref="G109:Q109" si="38">G91-G76</f>
        <v>5121000</v>
      </c>
      <c r="H109" s="30">
        <f t="shared" si="38"/>
        <v>5831000</v>
      </c>
      <c r="I109" s="30">
        <f t="shared" si="38"/>
        <v>6402000</v>
      </c>
      <c r="J109" s="30">
        <f t="shared" si="38"/>
        <v>5121000</v>
      </c>
      <c r="K109" s="30">
        <f t="shared" si="38"/>
        <v>5123000</v>
      </c>
      <c r="L109" s="30">
        <f t="shared" si="38"/>
        <v>5151000</v>
      </c>
      <c r="M109" s="30">
        <f t="shared" si="38"/>
        <v>5121000</v>
      </c>
      <c r="N109" s="30">
        <f t="shared" si="38"/>
        <v>10859000</v>
      </c>
      <c r="O109" s="30">
        <f t="shared" si="38"/>
        <v>5127000</v>
      </c>
      <c r="P109" s="30">
        <f t="shared" si="38"/>
        <v>142000</v>
      </c>
      <c r="Q109" s="30">
        <f t="shared" si="38"/>
        <v>133000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8:C78"/>
    <mergeCell ref="A79:A83"/>
    <mergeCell ref="A1:B1"/>
    <mergeCell ref="A2:B2"/>
    <mergeCell ref="A3:A48"/>
    <mergeCell ref="A49:A70"/>
    <mergeCell ref="A71:A76"/>
  </mergeCells>
  <phoneticPr fontId="3" type="noConversion"/>
  <conditionalFormatting sqref="F95:Q95">
    <cfRule type="cellIs" dxfId="182" priority="1" operator="lessThan">
      <formula>0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612</v>
      </c>
      <c r="D1" s="240" t="str">
        <f>VLOOKUP(C1,學校編號!A:B,2,FALSE)</f>
        <v>612國福國小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28253000</v>
      </c>
      <c r="E2" s="37"/>
      <c r="F2" s="37">
        <f>F48+F70+F76+F77+F83</f>
        <v>8217000</v>
      </c>
      <c r="G2" s="37">
        <f t="shared" ref="G2:Q2" si="0">G48+G70+G76+G77+G83</f>
        <v>2024000</v>
      </c>
      <c r="H2" s="37">
        <f t="shared" si="0"/>
        <v>2054000</v>
      </c>
      <c r="I2" s="37">
        <f t="shared" si="0"/>
        <v>2352000</v>
      </c>
      <c r="J2" s="37">
        <f t="shared" si="0"/>
        <v>2024000</v>
      </c>
      <c r="K2" s="37">
        <f t="shared" si="0"/>
        <v>2024000</v>
      </c>
      <c r="L2" s="37">
        <f t="shared" si="0"/>
        <v>2039000</v>
      </c>
      <c r="M2" s="37">
        <f t="shared" si="0"/>
        <v>2024000</v>
      </c>
      <c r="N2" s="37">
        <f t="shared" si="0"/>
        <v>3340000</v>
      </c>
      <c r="O2" s="37">
        <f t="shared" si="0"/>
        <v>2026000</v>
      </c>
      <c r="P2" s="37">
        <f t="shared" si="0"/>
        <v>67000</v>
      </c>
      <c r="Q2" s="37">
        <f t="shared" si="0"/>
        <v>62000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30000</v>
      </c>
      <c r="E15" s="37" t="s">
        <v>193</v>
      </c>
      <c r="F15" s="37">
        <f>ROUND($D15/2,-3)</f>
        <v>15000</v>
      </c>
      <c r="G15" s="37"/>
      <c r="H15" s="37"/>
      <c r="I15" s="37"/>
      <c r="J15" s="37"/>
      <c r="K15" s="37"/>
      <c r="L15" s="37">
        <f>D15-F15</f>
        <v>15000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496000</v>
      </c>
      <c r="E25" s="108"/>
      <c r="F25" s="108">
        <f>ROUND(SUM(F3:F24),-3)</f>
        <v>54000</v>
      </c>
      <c r="G25" s="108">
        <f t="shared" ref="G25:P25" si="5">ROUND(SUM(G3:G24),-3)</f>
        <v>39000</v>
      </c>
      <c r="H25" s="108">
        <f t="shared" si="5"/>
        <v>39000</v>
      </c>
      <c r="I25" s="108">
        <f t="shared" si="5"/>
        <v>39000</v>
      </c>
      <c r="J25" s="108">
        <f t="shared" si="5"/>
        <v>39000</v>
      </c>
      <c r="K25" s="108">
        <f t="shared" si="5"/>
        <v>39000</v>
      </c>
      <c r="L25" s="108">
        <f t="shared" si="5"/>
        <v>54000</v>
      </c>
      <c r="M25" s="108">
        <f t="shared" si="5"/>
        <v>39000</v>
      </c>
      <c r="N25" s="108">
        <f t="shared" si="5"/>
        <v>39000</v>
      </c>
      <c r="O25" s="108">
        <f t="shared" si="5"/>
        <v>39000</v>
      </c>
      <c r="P25" s="108">
        <f t="shared" si="5"/>
        <v>39000</v>
      </c>
      <c r="Q25" s="108">
        <f t="shared" ref="Q25:Q33" si="6">D25-SUM(F25:P25)</f>
        <v>37000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8000</v>
      </c>
      <c r="E30" s="37" t="s">
        <v>525</v>
      </c>
      <c r="F30" s="37">
        <f t="shared" si="8"/>
        <v>667</v>
      </c>
      <c r="G30" s="37">
        <f t="shared" si="8"/>
        <v>667</v>
      </c>
      <c r="H30" s="37">
        <f t="shared" si="8"/>
        <v>667</v>
      </c>
      <c r="I30" s="37">
        <f t="shared" si="8"/>
        <v>667</v>
      </c>
      <c r="J30" s="37">
        <f t="shared" si="8"/>
        <v>667</v>
      </c>
      <c r="K30" s="37">
        <f t="shared" si="8"/>
        <v>667</v>
      </c>
      <c r="L30" s="37">
        <f t="shared" si="8"/>
        <v>667</v>
      </c>
      <c r="M30" s="37">
        <f t="shared" si="8"/>
        <v>667</v>
      </c>
      <c r="N30" s="37">
        <f t="shared" si="8"/>
        <v>667</v>
      </c>
      <c r="O30" s="37">
        <f t="shared" si="8"/>
        <v>667</v>
      </c>
      <c r="P30" s="37">
        <f t="shared" si="8"/>
        <v>667</v>
      </c>
      <c r="Q30" s="37">
        <f t="shared" si="6"/>
        <v>663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4000</v>
      </c>
      <c r="E31" s="37" t="s">
        <v>525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278000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25000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774000</v>
      </c>
      <c r="E48" s="37"/>
      <c r="F48" s="115">
        <f>F25+F37+F45+F47</f>
        <v>77000</v>
      </c>
      <c r="G48" s="115">
        <f t="shared" ref="G48:R48" si="14">G25+G37+G45+G47</f>
        <v>62000</v>
      </c>
      <c r="H48" s="115">
        <f t="shared" si="14"/>
        <v>62000</v>
      </c>
      <c r="I48" s="115">
        <f t="shared" si="14"/>
        <v>62000</v>
      </c>
      <c r="J48" s="115">
        <f t="shared" si="14"/>
        <v>62000</v>
      </c>
      <c r="K48" s="115">
        <f t="shared" si="14"/>
        <v>62000</v>
      </c>
      <c r="L48" s="115">
        <f t="shared" si="14"/>
        <v>77000</v>
      </c>
      <c r="M48" s="115">
        <f t="shared" si="14"/>
        <v>62000</v>
      </c>
      <c r="N48" s="115">
        <f t="shared" si="14"/>
        <v>62000</v>
      </c>
      <c r="O48" s="115">
        <f t="shared" si="14"/>
        <v>62000</v>
      </c>
      <c r="P48" s="115">
        <f t="shared" si="14"/>
        <v>62000</v>
      </c>
      <c r="Q48" s="115">
        <f t="shared" si="14"/>
        <v>62000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13166000</v>
      </c>
      <c r="E49" s="114" t="s">
        <v>202</v>
      </c>
      <c r="F49" s="37">
        <f>ROUND($D49/12*3,-3)</f>
        <v>3292000</v>
      </c>
      <c r="G49" s="37">
        <f>ROUND($D49/12,-3)</f>
        <v>1097000</v>
      </c>
      <c r="H49" s="37">
        <f t="shared" ref="H49:N53" si="15">ROUND($D49/12,-3)</f>
        <v>1097000</v>
      </c>
      <c r="I49" s="37">
        <f t="shared" si="15"/>
        <v>1097000</v>
      </c>
      <c r="J49" s="37">
        <f t="shared" si="15"/>
        <v>1097000</v>
      </c>
      <c r="K49" s="37">
        <f t="shared" si="15"/>
        <v>1097000</v>
      </c>
      <c r="L49" s="37">
        <f t="shared" si="15"/>
        <v>1097000</v>
      </c>
      <c r="M49" s="37">
        <f t="shared" si="15"/>
        <v>1097000</v>
      </c>
      <c r="N49" s="37">
        <f t="shared" si="15"/>
        <v>1097000</v>
      </c>
      <c r="O49" s="37">
        <f>D49-SUM(F49:N49)</f>
        <v>1098000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406000</v>
      </c>
      <c r="E50" s="114" t="s">
        <v>202</v>
      </c>
      <c r="F50" s="37">
        <f t="shared" ref="F50:F53" si="16">ROUND($D50/12*3,-3)</f>
        <v>102000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si="15"/>
        <v>34000</v>
      </c>
      <c r="N50" s="37">
        <f t="shared" si="15"/>
        <v>34000</v>
      </c>
      <c r="O50" s="37">
        <f t="shared" ref="O50:O53" si="18">D50-SUM(F50:N50)</f>
        <v>32000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1349000</v>
      </c>
      <c r="E51" s="114" t="s">
        <v>202</v>
      </c>
      <c r="F51" s="37">
        <f t="shared" si="16"/>
        <v>337000</v>
      </c>
      <c r="G51" s="37">
        <f t="shared" si="17"/>
        <v>112000</v>
      </c>
      <c r="H51" s="37">
        <f t="shared" si="15"/>
        <v>112000</v>
      </c>
      <c r="I51" s="37">
        <f t="shared" si="15"/>
        <v>112000</v>
      </c>
      <c r="J51" s="37">
        <f t="shared" si="15"/>
        <v>112000</v>
      </c>
      <c r="K51" s="37">
        <f t="shared" si="15"/>
        <v>112000</v>
      </c>
      <c r="L51" s="37">
        <f t="shared" si="15"/>
        <v>112000</v>
      </c>
      <c r="M51" s="37">
        <f t="shared" si="15"/>
        <v>112000</v>
      </c>
      <c r="N51" s="37">
        <f t="shared" si="15"/>
        <v>112000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452000</v>
      </c>
      <c r="E60" s="37" t="s">
        <v>195</v>
      </c>
      <c r="F60" s="37">
        <f>D60</f>
        <v>452000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1642000</v>
      </c>
      <c r="E62" s="37" t="s">
        <v>197</v>
      </c>
      <c r="F62" s="37"/>
      <c r="G62" s="37"/>
      <c r="H62" s="37"/>
      <c r="I62" s="37">
        <f>ROUND($D62/5,-3)</f>
        <v>328000</v>
      </c>
      <c r="J62" s="37"/>
      <c r="K62" s="37"/>
      <c r="L62" s="37"/>
      <c r="M62" s="37"/>
      <c r="N62" s="37">
        <f>D62-I62</f>
        <v>1314000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1666000</v>
      </c>
      <c r="E63" s="37" t="s">
        <v>195</v>
      </c>
      <c r="F63" s="37">
        <f>D63</f>
        <v>1666000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1437000</v>
      </c>
      <c r="E64" s="114" t="s">
        <v>202</v>
      </c>
      <c r="F64" s="37">
        <f>ROUND($D64/12*3,-3)</f>
        <v>359000</v>
      </c>
      <c r="G64" s="37">
        <f>ROUND($D64/12,-3)</f>
        <v>120000</v>
      </c>
      <c r="H64" s="37">
        <f t="shared" ref="H64:N66" si="21">ROUND($D64/12,-3)</f>
        <v>120000</v>
      </c>
      <c r="I64" s="37">
        <f t="shared" si="21"/>
        <v>120000</v>
      </c>
      <c r="J64" s="37">
        <f t="shared" si="21"/>
        <v>120000</v>
      </c>
      <c r="K64" s="37">
        <f t="shared" si="21"/>
        <v>120000</v>
      </c>
      <c r="L64" s="37">
        <f t="shared" si="21"/>
        <v>120000</v>
      </c>
      <c r="M64" s="37">
        <f t="shared" si="21"/>
        <v>120000</v>
      </c>
      <c r="N64" s="37">
        <f t="shared" si="21"/>
        <v>120000</v>
      </c>
      <c r="O64" s="37">
        <f>D64-SUM(F64:N64)</f>
        <v>118000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353000</v>
      </c>
      <c r="E65" s="114" t="s">
        <v>202</v>
      </c>
      <c r="F65" s="37">
        <f t="shared" ref="F65:F66" si="22">ROUND($D65/12*3,-3)</f>
        <v>88000</v>
      </c>
      <c r="G65" s="37">
        <f t="shared" ref="G65:G66" si="23">ROUND($D65/12,-3)</f>
        <v>29000</v>
      </c>
      <c r="H65" s="37">
        <f t="shared" si="21"/>
        <v>29000</v>
      </c>
      <c r="I65" s="37">
        <f t="shared" si="21"/>
        <v>29000</v>
      </c>
      <c r="J65" s="37">
        <f t="shared" si="21"/>
        <v>29000</v>
      </c>
      <c r="K65" s="37">
        <f t="shared" si="21"/>
        <v>29000</v>
      </c>
      <c r="L65" s="37">
        <f t="shared" si="21"/>
        <v>29000</v>
      </c>
      <c r="M65" s="37">
        <f t="shared" si="21"/>
        <v>29000</v>
      </c>
      <c r="N65" s="37">
        <f t="shared" si="21"/>
        <v>29000</v>
      </c>
      <c r="O65" s="37">
        <f t="shared" ref="O65:O66" si="24">D65-SUM(F65:N65)</f>
        <v>33000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914000</v>
      </c>
      <c r="E66" s="114" t="s">
        <v>202</v>
      </c>
      <c r="F66" s="37">
        <f t="shared" si="22"/>
        <v>229000</v>
      </c>
      <c r="G66" s="37">
        <f t="shared" si="23"/>
        <v>76000</v>
      </c>
      <c r="H66" s="37">
        <f t="shared" si="21"/>
        <v>76000</v>
      </c>
      <c r="I66" s="37">
        <f t="shared" si="21"/>
        <v>76000</v>
      </c>
      <c r="J66" s="37">
        <f t="shared" si="21"/>
        <v>76000</v>
      </c>
      <c r="K66" s="37">
        <f t="shared" si="21"/>
        <v>76000</v>
      </c>
      <c r="L66" s="37">
        <f t="shared" si="21"/>
        <v>76000</v>
      </c>
      <c r="M66" s="37">
        <f t="shared" si="21"/>
        <v>76000</v>
      </c>
      <c r="N66" s="37">
        <f t="shared" si="21"/>
        <v>76000</v>
      </c>
      <c r="O66" s="37">
        <f t="shared" si="24"/>
        <v>77000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27000</v>
      </c>
      <c r="E67" s="37" t="s">
        <v>196</v>
      </c>
      <c r="F67" s="37"/>
      <c r="G67" s="37"/>
      <c r="H67" s="37">
        <f>D67</f>
        <v>27000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144000</v>
      </c>
      <c r="E68" s="37" t="s">
        <v>195</v>
      </c>
      <c r="F68" s="37">
        <f>D68</f>
        <v>144000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21876000</v>
      </c>
      <c r="E70" s="108"/>
      <c r="F70" s="108">
        <f t="shared" ref="F70:P70" si="25">ROUND(SUM(F49:F69),-3)</f>
        <v>6740000</v>
      </c>
      <c r="G70" s="108">
        <f t="shared" si="25"/>
        <v>1495000</v>
      </c>
      <c r="H70" s="108">
        <f t="shared" si="25"/>
        <v>1522000</v>
      </c>
      <c r="I70" s="108">
        <f t="shared" si="25"/>
        <v>1823000</v>
      </c>
      <c r="J70" s="108">
        <f t="shared" si="25"/>
        <v>1495000</v>
      </c>
      <c r="K70" s="108">
        <f t="shared" si="25"/>
        <v>1495000</v>
      </c>
      <c r="L70" s="108">
        <f t="shared" si="25"/>
        <v>1495000</v>
      </c>
      <c r="M70" s="108">
        <f t="shared" si="25"/>
        <v>1495000</v>
      </c>
      <c r="N70" s="108">
        <f t="shared" si="25"/>
        <v>2809000</v>
      </c>
      <c r="O70" s="108">
        <f t="shared" si="25"/>
        <v>1502000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5598000</v>
      </c>
      <c r="E72" s="114" t="s">
        <v>202</v>
      </c>
      <c r="F72" s="37">
        <f>ROUND($D72/12*3,-3)</f>
        <v>1400000</v>
      </c>
      <c r="G72" s="37">
        <f>ROUND($D72/12,-3)</f>
        <v>467000</v>
      </c>
      <c r="H72" s="37">
        <f t="shared" ref="H72:N75" si="26">ROUND($D72/12,-3)</f>
        <v>467000</v>
      </c>
      <c r="I72" s="37">
        <f t="shared" si="26"/>
        <v>467000</v>
      </c>
      <c r="J72" s="37">
        <f t="shared" si="26"/>
        <v>467000</v>
      </c>
      <c r="K72" s="37">
        <f t="shared" si="26"/>
        <v>467000</v>
      </c>
      <c r="L72" s="37">
        <f t="shared" si="26"/>
        <v>467000</v>
      </c>
      <c r="M72" s="37">
        <f t="shared" si="26"/>
        <v>467000</v>
      </c>
      <c r="N72" s="37">
        <f t="shared" si="26"/>
        <v>467000</v>
      </c>
      <c r="O72" s="37">
        <f>D72-SUM(F72:N72)</f>
        <v>462000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5598000</v>
      </c>
      <c r="E76" s="108"/>
      <c r="F76" s="108">
        <f>ROUND(SUM(F71:F75),-3)</f>
        <v>1400000</v>
      </c>
      <c r="G76" s="108">
        <f t="shared" ref="G76:N76" si="27">ROUND(SUM(G71:G75),-3)</f>
        <v>467000</v>
      </c>
      <c r="H76" s="108">
        <f t="shared" si="27"/>
        <v>467000</v>
      </c>
      <c r="I76" s="108">
        <f t="shared" si="27"/>
        <v>467000</v>
      </c>
      <c r="J76" s="108">
        <f t="shared" si="27"/>
        <v>467000</v>
      </c>
      <c r="K76" s="108">
        <f t="shared" si="27"/>
        <v>467000</v>
      </c>
      <c r="L76" s="108">
        <f t="shared" si="27"/>
        <v>467000</v>
      </c>
      <c r="M76" s="108">
        <f t="shared" si="27"/>
        <v>467000</v>
      </c>
      <c r="N76" s="108">
        <f t="shared" si="27"/>
        <v>467000</v>
      </c>
      <c r="O76" s="108">
        <f>D76-SUM(F76:N76)</f>
        <v>462000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5000</v>
      </c>
      <c r="E77" s="37" t="s">
        <v>681</v>
      </c>
      <c r="F77" s="224"/>
      <c r="G77" s="224"/>
      <c r="H77" s="224">
        <f>ROUND($D77/2,-3)</f>
        <v>3000</v>
      </c>
      <c r="I77" s="224"/>
      <c r="J77" s="224"/>
      <c r="K77" s="224"/>
      <c r="L77" s="224"/>
      <c r="M77" s="224"/>
      <c r="N77" s="224">
        <f>D77-H77</f>
        <v>2000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27479000</v>
      </c>
      <c r="E78" s="227"/>
      <c r="F78" s="227">
        <f>F76+F70+F77</f>
        <v>8140000</v>
      </c>
      <c r="G78" s="227">
        <f t="shared" ref="G78:Q78" si="29">G76+G70+G77</f>
        <v>1962000</v>
      </c>
      <c r="H78" s="227">
        <f t="shared" si="29"/>
        <v>1992000</v>
      </c>
      <c r="I78" s="227">
        <f t="shared" si="29"/>
        <v>2290000</v>
      </c>
      <c r="J78" s="227">
        <f t="shared" si="29"/>
        <v>1962000</v>
      </c>
      <c r="K78" s="227">
        <f t="shared" si="29"/>
        <v>1962000</v>
      </c>
      <c r="L78" s="227">
        <f t="shared" si="29"/>
        <v>1962000</v>
      </c>
      <c r="M78" s="227">
        <f t="shared" si="29"/>
        <v>1962000</v>
      </c>
      <c r="N78" s="227">
        <f t="shared" si="29"/>
        <v>3278000</v>
      </c>
      <c r="O78" s="227">
        <f t="shared" si="29"/>
        <v>1964000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28253000</v>
      </c>
      <c r="E87" s="37"/>
      <c r="F87" s="37">
        <f>F88+F89+F90+F91</f>
        <v>8217000</v>
      </c>
      <c r="G87" s="37">
        <f t="shared" ref="G87:Q87" si="32">G88+G89+G90+G91</f>
        <v>2024000</v>
      </c>
      <c r="H87" s="37">
        <f t="shared" si="32"/>
        <v>2054000</v>
      </c>
      <c r="I87" s="37">
        <f t="shared" si="32"/>
        <v>2352000</v>
      </c>
      <c r="J87" s="37">
        <f t="shared" si="32"/>
        <v>2024000</v>
      </c>
      <c r="K87" s="37">
        <f t="shared" si="32"/>
        <v>2024000</v>
      </c>
      <c r="L87" s="37">
        <f t="shared" si="32"/>
        <v>2039000</v>
      </c>
      <c r="M87" s="37">
        <f t="shared" si="32"/>
        <v>2024000</v>
      </c>
      <c r="N87" s="37">
        <f t="shared" si="32"/>
        <v>3340000</v>
      </c>
      <c r="O87" s="37">
        <f t="shared" si="32"/>
        <v>2026000</v>
      </c>
      <c r="P87" s="37">
        <f t="shared" si="32"/>
        <v>67000</v>
      </c>
      <c r="Q87" s="37">
        <f t="shared" si="32"/>
        <v>62000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0</v>
      </c>
      <c r="E88" s="108" t="s">
        <v>193</v>
      </c>
      <c r="F88" s="108">
        <f>ROUND($D88/2,-3)</f>
        <v>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28252000</v>
      </c>
      <c r="E91" s="108"/>
      <c r="F91" s="108">
        <f>F92+F93+F94+F95</f>
        <v>8217000</v>
      </c>
      <c r="G91" s="108">
        <f t="shared" ref="G91:Q91" si="34">G92+G93+G94+G95</f>
        <v>2024000</v>
      </c>
      <c r="H91" s="108">
        <f t="shared" si="34"/>
        <v>2054000</v>
      </c>
      <c r="I91" s="108">
        <f t="shared" si="34"/>
        <v>2352000</v>
      </c>
      <c r="J91" s="108">
        <f t="shared" si="34"/>
        <v>2024000</v>
      </c>
      <c r="K91" s="108">
        <f t="shared" si="34"/>
        <v>2024000</v>
      </c>
      <c r="L91" s="108">
        <f t="shared" si="34"/>
        <v>2039000</v>
      </c>
      <c r="M91" s="108">
        <f t="shared" si="34"/>
        <v>2024000</v>
      </c>
      <c r="N91" s="108">
        <f t="shared" si="34"/>
        <v>3340000</v>
      </c>
      <c r="O91" s="108">
        <f t="shared" si="34"/>
        <v>2026000</v>
      </c>
      <c r="P91" s="108">
        <f t="shared" si="34"/>
        <v>67000</v>
      </c>
      <c r="Q91" s="108">
        <f t="shared" si="34"/>
        <v>61000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2965000</v>
      </c>
      <c r="E92" s="114" t="s">
        <v>537</v>
      </c>
      <c r="F92" s="37">
        <f>ROUND($D92/12*5,-3)</f>
        <v>1235000</v>
      </c>
      <c r="G92" s="37">
        <f>ROUND($D92/12,-3)</f>
        <v>247000</v>
      </c>
      <c r="H92" s="37">
        <f t="shared" ref="H92:L92" si="35">ROUND($D92/12,-3)</f>
        <v>247000</v>
      </c>
      <c r="I92" s="37">
        <f t="shared" si="35"/>
        <v>247000</v>
      </c>
      <c r="J92" s="37">
        <f t="shared" si="35"/>
        <v>247000</v>
      </c>
      <c r="K92" s="37">
        <f t="shared" si="35"/>
        <v>247000</v>
      </c>
      <c r="L92" s="37">
        <f t="shared" si="35"/>
        <v>247000</v>
      </c>
      <c r="M92" s="37">
        <f>D92-SUM(F92:L92)</f>
        <v>248000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0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1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25197000</v>
      </c>
      <c r="E95" s="37"/>
      <c r="F95" s="37">
        <f>F2+F86-F88-F89-F90-F92-F93-F94</f>
        <v>6974000</v>
      </c>
      <c r="G95" s="37">
        <f t="shared" ref="G95:Q95" si="37">G2-G88-G89-G90-G92-G93-G94</f>
        <v>1769000</v>
      </c>
      <c r="H95" s="37">
        <f t="shared" si="37"/>
        <v>1799000</v>
      </c>
      <c r="I95" s="37">
        <f t="shared" si="37"/>
        <v>2097000</v>
      </c>
      <c r="J95" s="37">
        <f t="shared" si="37"/>
        <v>1769000</v>
      </c>
      <c r="K95" s="37">
        <f t="shared" si="37"/>
        <v>1769000</v>
      </c>
      <c r="L95" s="37">
        <f t="shared" si="37"/>
        <v>1784000</v>
      </c>
      <c r="M95" s="37">
        <f t="shared" si="37"/>
        <v>1768000</v>
      </c>
      <c r="N95" s="37">
        <f t="shared" si="37"/>
        <v>3332000</v>
      </c>
      <c r="O95" s="37">
        <f t="shared" si="37"/>
        <v>2018000</v>
      </c>
      <c r="P95" s="37">
        <f t="shared" si="37"/>
        <v>59000</v>
      </c>
      <c r="Q95" s="37">
        <f t="shared" si="37"/>
        <v>59000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0</v>
      </c>
    </row>
    <row r="99" spans="2:17" ht="32.4">
      <c r="B99" s="72" t="s">
        <v>235</v>
      </c>
      <c r="D99" s="30">
        <f>HLOOKUP(D1,縣庫撥款收入明細表!H:DD,5,FALSE)</f>
        <v>1300000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1015000</v>
      </c>
    </row>
    <row r="102" spans="2:17" ht="32.4">
      <c r="B102" s="71" t="s">
        <v>238</v>
      </c>
      <c r="D102" s="30">
        <f>HLOOKUP(D1,縣庫撥款收入明細表!H:DD,16,FALSE)</f>
        <v>84000</v>
      </c>
    </row>
    <row r="103" spans="2:17" ht="32.4">
      <c r="B103" s="72" t="s">
        <v>239</v>
      </c>
      <c r="D103" s="30">
        <f>HLOOKUP(D1,縣庫撥款收入明細表!H:DD,17,FALSE)</f>
        <v>650000</v>
      </c>
    </row>
    <row r="104" spans="2:17" ht="32.4">
      <c r="B104" s="76" t="s">
        <v>240</v>
      </c>
      <c r="D104" s="30">
        <f>HLOOKUP(D1,縣庫撥款收入明細表!H:DD,18,FALSE)</f>
        <v>0</v>
      </c>
    </row>
    <row r="105" spans="2:17" ht="32.4">
      <c r="B105" s="72" t="s">
        <v>380</v>
      </c>
      <c r="D105" s="30">
        <f>HLOOKUP(D1,縣庫撥款收入明細表!H:DD,19,FALSE)</f>
        <v>0</v>
      </c>
    </row>
    <row r="106" spans="2:17" ht="32.4">
      <c r="B106" s="71" t="s">
        <v>241</v>
      </c>
      <c r="D106" s="30">
        <f>HLOOKUP(D1,縣庫撥款收入明細表!H:DD,20,FALSE)</f>
        <v>6000</v>
      </c>
    </row>
    <row r="107" spans="2:17" ht="32.4">
      <c r="B107" s="77" t="s">
        <v>242</v>
      </c>
      <c r="D107" s="30">
        <f>HLOOKUP(D1,縣庫撥款收入明細表!H:DD,21,FALSE)</f>
        <v>25197000</v>
      </c>
    </row>
    <row r="108" spans="2:17" ht="16.5" customHeight="1"/>
    <row r="109" spans="2:17" ht="16.5" customHeight="1">
      <c r="B109" s="4" t="s">
        <v>682</v>
      </c>
      <c r="D109" s="30">
        <f>D91-D76</f>
        <v>22654000</v>
      </c>
      <c r="F109" s="30">
        <f>F91-F76</f>
        <v>6817000</v>
      </c>
      <c r="G109" s="30">
        <f t="shared" ref="G109:Q109" si="38">G91-G76</f>
        <v>1557000</v>
      </c>
      <c r="H109" s="30">
        <f t="shared" si="38"/>
        <v>1587000</v>
      </c>
      <c r="I109" s="30">
        <f t="shared" si="38"/>
        <v>1885000</v>
      </c>
      <c r="J109" s="30">
        <f t="shared" si="38"/>
        <v>1557000</v>
      </c>
      <c r="K109" s="30">
        <f t="shared" si="38"/>
        <v>1557000</v>
      </c>
      <c r="L109" s="30">
        <f t="shared" si="38"/>
        <v>1572000</v>
      </c>
      <c r="M109" s="30">
        <f t="shared" si="38"/>
        <v>1557000</v>
      </c>
      <c r="N109" s="30">
        <f t="shared" si="38"/>
        <v>2873000</v>
      </c>
      <c r="O109" s="30">
        <f t="shared" si="38"/>
        <v>1564000</v>
      </c>
      <c r="P109" s="30">
        <f t="shared" si="38"/>
        <v>67000</v>
      </c>
      <c r="Q109" s="30">
        <f t="shared" si="38"/>
        <v>61000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8:C78"/>
    <mergeCell ref="A79:A83"/>
    <mergeCell ref="A1:B1"/>
    <mergeCell ref="A2:B2"/>
    <mergeCell ref="A3:A48"/>
    <mergeCell ref="A49:A70"/>
    <mergeCell ref="A71:A76"/>
  </mergeCells>
  <phoneticPr fontId="3" type="noConversion"/>
  <conditionalFormatting sqref="F95:Q95">
    <cfRule type="cellIs" dxfId="180" priority="1" operator="lessThan">
      <formula>0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613</v>
      </c>
      <c r="D1" s="240" t="str">
        <f>VLOOKUP(C1,學校編號!A:B,2,FALSE)</f>
        <v>613新城國小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49385000</v>
      </c>
      <c r="E2" s="37"/>
      <c r="F2" s="37">
        <f>F48+F70+F76+F77+F83</f>
        <v>14221000</v>
      </c>
      <c r="G2" s="37">
        <f t="shared" ref="G2:Q2" si="0">G48+G70+G76+G77+G83</f>
        <v>3465000</v>
      </c>
      <c r="H2" s="37">
        <f t="shared" si="0"/>
        <v>3667000</v>
      </c>
      <c r="I2" s="37">
        <f t="shared" si="0"/>
        <v>4095000</v>
      </c>
      <c r="J2" s="37">
        <f t="shared" si="0"/>
        <v>3475000</v>
      </c>
      <c r="K2" s="37">
        <f t="shared" si="0"/>
        <v>3477000</v>
      </c>
      <c r="L2" s="37">
        <f t="shared" si="0"/>
        <v>3691000</v>
      </c>
      <c r="M2" s="37">
        <f t="shared" si="0"/>
        <v>3475000</v>
      </c>
      <c r="N2" s="37">
        <f t="shared" si="0"/>
        <v>6032000</v>
      </c>
      <c r="O2" s="37">
        <f t="shared" si="0"/>
        <v>3487000</v>
      </c>
      <c r="P2" s="37">
        <f t="shared" si="0"/>
        <v>151000</v>
      </c>
      <c r="Q2" s="37">
        <f t="shared" si="0"/>
        <v>149000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309000</v>
      </c>
      <c r="E3" s="37" t="s">
        <v>525</v>
      </c>
      <c r="F3" s="37">
        <f t="shared" ref="F3:P17" si="1">ROUND($D3/12,0)</f>
        <v>25750</v>
      </c>
      <c r="G3" s="37">
        <f t="shared" si="1"/>
        <v>25750</v>
      </c>
      <c r="H3" s="37">
        <f t="shared" si="1"/>
        <v>25750</v>
      </c>
      <c r="I3" s="37">
        <f t="shared" si="1"/>
        <v>25750</v>
      </c>
      <c r="J3" s="37">
        <f t="shared" si="1"/>
        <v>25750</v>
      </c>
      <c r="K3" s="37">
        <f t="shared" si="1"/>
        <v>25750</v>
      </c>
      <c r="L3" s="37">
        <f t="shared" si="1"/>
        <v>25750</v>
      </c>
      <c r="M3" s="37">
        <f t="shared" si="1"/>
        <v>25750</v>
      </c>
      <c r="N3" s="37">
        <f t="shared" si="1"/>
        <v>25750</v>
      </c>
      <c r="O3" s="37">
        <f t="shared" si="1"/>
        <v>25750</v>
      </c>
      <c r="P3" s="37">
        <f t="shared" si="1"/>
        <v>25750</v>
      </c>
      <c r="Q3" s="37">
        <f t="shared" ref="Q3:Q10" si="2">D3-SUM(F3:P3)</f>
        <v>25750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132000</v>
      </c>
      <c r="E4" s="37" t="s">
        <v>525</v>
      </c>
      <c r="F4" s="37">
        <f t="shared" si="1"/>
        <v>11000</v>
      </c>
      <c r="G4" s="37">
        <f t="shared" si="1"/>
        <v>11000</v>
      </c>
      <c r="H4" s="37">
        <f t="shared" si="1"/>
        <v>11000</v>
      </c>
      <c r="I4" s="37">
        <f t="shared" si="1"/>
        <v>11000</v>
      </c>
      <c r="J4" s="37">
        <f t="shared" si="1"/>
        <v>11000</v>
      </c>
      <c r="K4" s="37">
        <f t="shared" si="1"/>
        <v>11000</v>
      </c>
      <c r="L4" s="37">
        <f t="shared" si="1"/>
        <v>11000</v>
      </c>
      <c r="M4" s="37">
        <f t="shared" si="1"/>
        <v>11000</v>
      </c>
      <c r="N4" s="37">
        <f t="shared" si="1"/>
        <v>11000</v>
      </c>
      <c r="O4" s="37">
        <f t="shared" si="1"/>
        <v>11000</v>
      </c>
      <c r="P4" s="37">
        <f t="shared" si="1"/>
        <v>11000</v>
      </c>
      <c r="Q4" s="37">
        <f t="shared" si="2"/>
        <v>11000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213000</v>
      </c>
      <c r="E6" s="37" t="s">
        <v>525</v>
      </c>
      <c r="F6" s="37">
        <f t="shared" si="1"/>
        <v>17750</v>
      </c>
      <c r="G6" s="37">
        <f t="shared" si="1"/>
        <v>17750</v>
      </c>
      <c r="H6" s="37">
        <f t="shared" si="1"/>
        <v>17750</v>
      </c>
      <c r="I6" s="37">
        <f t="shared" si="1"/>
        <v>17750</v>
      </c>
      <c r="J6" s="37">
        <f t="shared" si="1"/>
        <v>17750</v>
      </c>
      <c r="K6" s="37">
        <f t="shared" si="1"/>
        <v>17750</v>
      </c>
      <c r="L6" s="37">
        <f t="shared" si="1"/>
        <v>17750</v>
      </c>
      <c r="M6" s="37">
        <f t="shared" si="1"/>
        <v>17750</v>
      </c>
      <c r="N6" s="37">
        <f t="shared" si="1"/>
        <v>17750</v>
      </c>
      <c r="O6" s="37">
        <f t="shared" si="1"/>
        <v>17750</v>
      </c>
      <c r="P6" s="37">
        <f t="shared" si="1"/>
        <v>17750</v>
      </c>
      <c r="Q6" s="37">
        <f t="shared" si="2"/>
        <v>17750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71000</v>
      </c>
      <c r="E7" s="37" t="s">
        <v>525</v>
      </c>
      <c r="F7" s="37">
        <f t="shared" si="1"/>
        <v>5917</v>
      </c>
      <c r="G7" s="37">
        <f t="shared" si="1"/>
        <v>5917</v>
      </c>
      <c r="H7" s="37">
        <f t="shared" si="1"/>
        <v>5917</v>
      </c>
      <c r="I7" s="37">
        <f t="shared" si="1"/>
        <v>5917</v>
      </c>
      <c r="J7" s="37">
        <f t="shared" si="1"/>
        <v>5917</v>
      </c>
      <c r="K7" s="37">
        <f t="shared" si="1"/>
        <v>5917</v>
      </c>
      <c r="L7" s="37">
        <f t="shared" si="1"/>
        <v>5917</v>
      </c>
      <c r="M7" s="37">
        <f t="shared" si="1"/>
        <v>5917</v>
      </c>
      <c r="N7" s="37">
        <f t="shared" si="1"/>
        <v>5917</v>
      </c>
      <c r="O7" s="37">
        <f t="shared" si="1"/>
        <v>5917</v>
      </c>
      <c r="P7" s="37">
        <f t="shared" si="1"/>
        <v>5917</v>
      </c>
      <c r="Q7" s="37">
        <f t="shared" si="2"/>
        <v>5913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30000</v>
      </c>
      <c r="E8" s="37" t="s">
        <v>525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3000</v>
      </c>
      <c r="E9" s="37" t="s">
        <v>525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51000</v>
      </c>
      <c r="E10" s="37" t="s">
        <v>525</v>
      </c>
      <c r="F10" s="37">
        <f t="shared" si="1"/>
        <v>4250</v>
      </c>
      <c r="G10" s="37">
        <f t="shared" si="1"/>
        <v>4250</v>
      </c>
      <c r="H10" s="37">
        <f t="shared" si="1"/>
        <v>4250</v>
      </c>
      <c r="I10" s="37">
        <f t="shared" si="1"/>
        <v>4250</v>
      </c>
      <c r="J10" s="37">
        <f t="shared" si="1"/>
        <v>4250</v>
      </c>
      <c r="K10" s="37">
        <f t="shared" si="1"/>
        <v>4250</v>
      </c>
      <c r="L10" s="37">
        <f t="shared" si="1"/>
        <v>4250</v>
      </c>
      <c r="M10" s="37">
        <f t="shared" si="1"/>
        <v>4250</v>
      </c>
      <c r="N10" s="37">
        <f t="shared" si="1"/>
        <v>4250</v>
      </c>
      <c r="O10" s="37">
        <f t="shared" si="1"/>
        <v>4250</v>
      </c>
      <c r="P10" s="37">
        <f t="shared" si="1"/>
        <v>4250</v>
      </c>
      <c r="Q10" s="37">
        <f t="shared" si="2"/>
        <v>4250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27000</v>
      </c>
      <c r="E11" s="37" t="s">
        <v>195</v>
      </c>
      <c r="F11" s="37">
        <f>D11</f>
        <v>27000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1029000</v>
      </c>
      <c r="E12" s="113" t="s">
        <v>202</v>
      </c>
      <c r="F12" s="37">
        <f>ROUND($D12/12*3,-3)</f>
        <v>257000</v>
      </c>
      <c r="G12" s="37">
        <f>ROUND($D12/12,-3)</f>
        <v>86000</v>
      </c>
      <c r="H12" s="37">
        <f t="shared" ref="H12:N12" si="4">ROUND($D12/12,-3)</f>
        <v>86000</v>
      </c>
      <c r="I12" s="37">
        <f t="shared" si="4"/>
        <v>86000</v>
      </c>
      <c r="J12" s="37">
        <f t="shared" si="4"/>
        <v>86000</v>
      </c>
      <c r="K12" s="37">
        <f t="shared" si="4"/>
        <v>86000</v>
      </c>
      <c r="L12" s="37">
        <f t="shared" si="4"/>
        <v>86000</v>
      </c>
      <c r="M12" s="37">
        <f t="shared" si="4"/>
        <v>86000</v>
      </c>
      <c r="N12" s="37">
        <f t="shared" si="4"/>
        <v>86000</v>
      </c>
      <c r="O12" s="37">
        <f>D12-SUM(F12:N12)</f>
        <v>84000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164000</v>
      </c>
      <c r="E13" s="37" t="s">
        <v>525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78000</v>
      </c>
      <c r="E15" s="37" t="s">
        <v>193</v>
      </c>
      <c r="F15" s="37">
        <f>ROUND($D15/2,-3)</f>
        <v>39000</v>
      </c>
      <c r="G15" s="37"/>
      <c r="H15" s="37"/>
      <c r="I15" s="37"/>
      <c r="J15" s="37"/>
      <c r="K15" s="37"/>
      <c r="L15" s="37">
        <f>D15-F15</f>
        <v>39000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0</v>
      </c>
      <c r="E16" s="37" t="s">
        <v>525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56000</v>
      </c>
      <c r="E17" s="37" t="s">
        <v>525</v>
      </c>
      <c r="F17" s="37">
        <f>ROUND($D17/12,0)</f>
        <v>4667</v>
      </c>
      <c r="G17" s="37">
        <f t="shared" si="1"/>
        <v>4667</v>
      </c>
      <c r="H17" s="37">
        <f t="shared" si="1"/>
        <v>4667</v>
      </c>
      <c r="I17" s="37">
        <f t="shared" si="1"/>
        <v>4667</v>
      </c>
      <c r="J17" s="37">
        <f t="shared" si="1"/>
        <v>4667</v>
      </c>
      <c r="K17" s="37">
        <f t="shared" si="1"/>
        <v>4667</v>
      </c>
      <c r="L17" s="37">
        <f t="shared" si="1"/>
        <v>4667</v>
      </c>
      <c r="M17" s="37">
        <f t="shared" si="1"/>
        <v>4667</v>
      </c>
      <c r="N17" s="37">
        <f t="shared" si="1"/>
        <v>4667</v>
      </c>
      <c r="O17" s="37">
        <f t="shared" si="1"/>
        <v>4667</v>
      </c>
      <c r="P17" s="37">
        <f t="shared" si="1"/>
        <v>4667</v>
      </c>
      <c r="Q17" s="37">
        <f>D17-SUM(F17:P17)</f>
        <v>4663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348000</v>
      </c>
      <c r="E24" s="37" t="s">
        <v>193</v>
      </c>
      <c r="F24" s="37">
        <f>ROUND($D24/2,-3)</f>
        <v>174000</v>
      </c>
      <c r="G24" s="37"/>
      <c r="H24" s="37"/>
      <c r="I24" s="37"/>
      <c r="J24" s="37"/>
      <c r="K24" s="37"/>
      <c r="L24" s="37">
        <f>D24-F24</f>
        <v>174000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2571000</v>
      </c>
      <c r="E25" s="108"/>
      <c r="F25" s="108">
        <f>ROUND(SUM(F3:F24),-3)</f>
        <v>588000</v>
      </c>
      <c r="G25" s="108">
        <f t="shared" ref="G25:P25" si="5">ROUND(SUM(G3:G24),-3)</f>
        <v>177000</v>
      </c>
      <c r="H25" s="108">
        <f t="shared" si="5"/>
        <v>177000</v>
      </c>
      <c r="I25" s="108">
        <f t="shared" si="5"/>
        <v>177000</v>
      </c>
      <c r="J25" s="108">
        <f t="shared" si="5"/>
        <v>177000</v>
      </c>
      <c r="K25" s="108">
        <f t="shared" si="5"/>
        <v>177000</v>
      </c>
      <c r="L25" s="108">
        <f t="shared" si="5"/>
        <v>390000</v>
      </c>
      <c r="M25" s="108">
        <f t="shared" si="5"/>
        <v>177000</v>
      </c>
      <c r="N25" s="108">
        <f t="shared" si="5"/>
        <v>177000</v>
      </c>
      <c r="O25" s="108">
        <f t="shared" si="5"/>
        <v>175000</v>
      </c>
      <c r="P25" s="108">
        <f t="shared" si="5"/>
        <v>91000</v>
      </c>
      <c r="Q25" s="108">
        <f t="shared" ref="Q25:Q33" si="6">D25-SUM(F25:P25)</f>
        <v>88000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101000</v>
      </c>
      <c r="E26" s="114" t="s">
        <v>204</v>
      </c>
      <c r="F26" s="37">
        <f>ROUND($D26/10,-3)</f>
        <v>10000</v>
      </c>
      <c r="G26" s="37"/>
      <c r="H26" s="37">
        <f>ROUND($D26/10,-3)</f>
        <v>10000</v>
      </c>
      <c r="I26" s="37">
        <f>ROUND($D26/10,-3)</f>
        <v>10000</v>
      </c>
      <c r="J26" s="37">
        <f>ROUND($D26/10,-3)</f>
        <v>10000</v>
      </c>
      <c r="K26" s="37">
        <f>ROUND($D26/10,-3)</f>
        <v>10000</v>
      </c>
      <c r="L26" s="37"/>
      <c r="M26" s="37">
        <f>ROUND($D26/10,-3)</f>
        <v>10000</v>
      </c>
      <c r="N26" s="37">
        <f>ROUND($D26/10,-3)</f>
        <v>10000</v>
      </c>
      <c r="O26" s="37">
        <f>ROUND($D26/10,-3)</f>
        <v>10000</v>
      </c>
      <c r="P26" s="37">
        <f>ROUND($D26/10,-3)</f>
        <v>10000</v>
      </c>
      <c r="Q26" s="37">
        <f t="shared" si="6"/>
        <v>11000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320000</v>
      </c>
      <c r="E27" s="37" t="s">
        <v>525</v>
      </c>
      <c r="F27" s="37">
        <f t="shared" ref="F27:P33" si="8">ROUND($D27/12,0)</f>
        <v>26667</v>
      </c>
      <c r="G27" s="37">
        <f t="shared" si="8"/>
        <v>26667</v>
      </c>
      <c r="H27" s="37">
        <f t="shared" si="8"/>
        <v>26667</v>
      </c>
      <c r="I27" s="37">
        <f t="shared" si="8"/>
        <v>26667</v>
      </c>
      <c r="J27" s="37">
        <f t="shared" si="8"/>
        <v>26667</v>
      </c>
      <c r="K27" s="37">
        <f t="shared" si="8"/>
        <v>26667</v>
      </c>
      <c r="L27" s="37">
        <f t="shared" si="8"/>
        <v>26667</v>
      </c>
      <c r="M27" s="37">
        <f t="shared" si="8"/>
        <v>26667</v>
      </c>
      <c r="N27" s="37">
        <f t="shared" si="8"/>
        <v>26667</v>
      </c>
      <c r="O27" s="37">
        <f t="shared" si="8"/>
        <v>26667</v>
      </c>
      <c r="P27" s="37">
        <f t="shared" si="8"/>
        <v>26667</v>
      </c>
      <c r="Q27" s="37">
        <f t="shared" si="6"/>
        <v>26663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31000</v>
      </c>
      <c r="E29" s="37" t="s">
        <v>525</v>
      </c>
      <c r="F29" s="37">
        <f t="shared" si="8"/>
        <v>2583</v>
      </c>
      <c r="G29" s="37">
        <f t="shared" si="8"/>
        <v>2583</v>
      </c>
      <c r="H29" s="37">
        <f t="shared" si="8"/>
        <v>2583</v>
      </c>
      <c r="I29" s="37">
        <f t="shared" si="8"/>
        <v>2583</v>
      </c>
      <c r="J29" s="37">
        <f t="shared" si="8"/>
        <v>2583</v>
      </c>
      <c r="K29" s="37">
        <f t="shared" si="8"/>
        <v>2583</v>
      </c>
      <c r="L29" s="37">
        <f t="shared" si="8"/>
        <v>2583</v>
      </c>
      <c r="M29" s="37">
        <f t="shared" si="8"/>
        <v>2583</v>
      </c>
      <c r="N29" s="37">
        <f t="shared" si="8"/>
        <v>2583</v>
      </c>
      <c r="O29" s="37">
        <f t="shared" si="8"/>
        <v>2583</v>
      </c>
      <c r="P29" s="37">
        <f t="shared" si="8"/>
        <v>2583</v>
      </c>
      <c r="Q29" s="37">
        <f t="shared" si="6"/>
        <v>2587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45000</v>
      </c>
      <c r="E30" s="37" t="s">
        <v>525</v>
      </c>
      <c r="F30" s="37">
        <f t="shared" si="8"/>
        <v>3750</v>
      </c>
      <c r="G30" s="37">
        <f t="shared" si="8"/>
        <v>3750</v>
      </c>
      <c r="H30" s="37">
        <f t="shared" si="8"/>
        <v>3750</v>
      </c>
      <c r="I30" s="37">
        <f t="shared" si="8"/>
        <v>3750</v>
      </c>
      <c r="J30" s="37">
        <f t="shared" si="8"/>
        <v>3750</v>
      </c>
      <c r="K30" s="37">
        <f t="shared" si="8"/>
        <v>3750</v>
      </c>
      <c r="L30" s="37">
        <f t="shared" si="8"/>
        <v>3750</v>
      </c>
      <c r="M30" s="37">
        <f t="shared" si="8"/>
        <v>3750</v>
      </c>
      <c r="N30" s="37">
        <f t="shared" si="8"/>
        <v>3750</v>
      </c>
      <c r="O30" s="37">
        <f t="shared" si="8"/>
        <v>3750</v>
      </c>
      <c r="P30" s="37">
        <f t="shared" si="8"/>
        <v>3750</v>
      </c>
      <c r="Q30" s="37">
        <f t="shared" si="6"/>
        <v>3750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23000</v>
      </c>
      <c r="E31" s="37" t="s">
        <v>525</v>
      </c>
      <c r="F31" s="37">
        <f t="shared" si="8"/>
        <v>1917</v>
      </c>
      <c r="G31" s="37">
        <f t="shared" si="8"/>
        <v>1917</v>
      </c>
      <c r="H31" s="37">
        <f t="shared" si="8"/>
        <v>1917</v>
      </c>
      <c r="I31" s="37">
        <f t="shared" si="8"/>
        <v>1917</v>
      </c>
      <c r="J31" s="37">
        <f t="shared" si="8"/>
        <v>1917</v>
      </c>
      <c r="K31" s="37">
        <f t="shared" si="8"/>
        <v>1917</v>
      </c>
      <c r="L31" s="37">
        <f t="shared" si="8"/>
        <v>1917</v>
      </c>
      <c r="M31" s="37">
        <f t="shared" si="8"/>
        <v>1917</v>
      </c>
      <c r="N31" s="37">
        <f t="shared" si="8"/>
        <v>1917</v>
      </c>
      <c r="O31" s="37">
        <f t="shared" si="8"/>
        <v>1917</v>
      </c>
      <c r="P31" s="37">
        <f t="shared" si="8"/>
        <v>1917</v>
      </c>
      <c r="Q31" s="37">
        <f t="shared" si="6"/>
        <v>1913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60000</v>
      </c>
      <c r="E32" s="37" t="s">
        <v>525</v>
      </c>
      <c r="F32" s="37">
        <f t="shared" si="8"/>
        <v>5000</v>
      </c>
      <c r="G32" s="37">
        <f t="shared" si="8"/>
        <v>5000</v>
      </c>
      <c r="H32" s="37">
        <f t="shared" si="8"/>
        <v>5000</v>
      </c>
      <c r="I32" s="37">
        <f t="shared" si="8"/>
        <v>5000</v>
      </c>
      <c r="J32" s="37">
        <f t="shared" si="8"/>
        <v>5000</v>
      </c>
      <c r="K32" s="37">
        <f t="shared" si="8"/>
        <v>5000</v>
      </c>
      <c r="L32" s="37">
        <f t="shared" si="8"/>
        <v>5000</v>
      </c>
      <c r="M32" s="37">
        <f t="shared" si="8"/>
        <v>5000</v>
      </c>
      <c r="N32" s="37">
        <f t="shared" si="8"/>
        <v>5000</v>
      </c>
      <c r="O32" s="37">
        <f t="shared" si="8"/>
        <v>5000</v>
      </c>
      <c r="P32" s="37">
        <f t="shared" si="8"/>
        <v>5000</v>
      </c>
      <c r="Q32" s="37">
        <f t="shared" si="6"/>
        <v>5000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36000</v>
      </c>
      <c r="E33" s="37" t="s">
        <v>525</v>
      </c>
      <c r="F33" s="37">
        <f t="shared" si="8"/>
        <v>3000</v>
      </c>
      <c r="G33" s="37">
        <f t="shared" si="8"/>
        <v>3000</v>
      </c>
      <c r="H33" s="37">
        <f t="shared" si="8"/>
        <v>3000</v>
      </c>
      <c r="I33" s="37">
        <f t="shared" si="8"/>
        <v>3000</v>
      </c>
      <c r="J33" s="37">
        <f t="shared" si="8"/>
        <v>3000</v>
      </c>
      <c r="K33" s="37">
        <f t="shared" si="8"/>
        <v>3000</v>
      </c>
      <c r="L33" s="37">
        <f t="shared" si="8"/>
        <v>3000</v>
      </c>
      <c r="M33" s="37">
        <f t="shared" si="8"/>
        <v>3000</v>
      </c>
      <c r="N33" s="37">
        <f t="shared" si="8"/>
        <v>3000</v>
      </c>
      <c r="O33" s="37">
        <f t="shared" si="8"/>
        <v>3000</v>
      </c>
      <c r="P33" s="37">
        <f t="shared" si="8"/>
        <v>3000</v>
      </c>
      <c r="Q33" s="37">
        <f t="shared" si="6"/>
        <v>3000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616000</v>
      </c>
      <c r="E37" s="108"/>
      <c r="F37" s="108">
        <f t="shared" ref="F37:P37" si="9">ROUND(SUM(F26:F36),-3)</f>
        <v>53000</v>
      </c>
      <c r="G37" s="108">
        <f t="shared" si="9"/>
        <v>43000</v>
      </c>
      <c r="H37" s="108">
        <f t="shared" si="9"/>
        <v>53000</v>
      </c>
      <c r="I37" s="108">
        <f t="shared" si="9"/>
        <v>53000</v>
      </c>
      <c r="J37" s="108">
        <f t="shared" si="9"/>
        <v>53000</v>
      </c>
      <c r="K37" s="108">
        <f t="shared" si="9"/>
        <v>53000</v>
      </c>
      <c r="L37" s="108">
        <f t="shared" si="9"/>
        <v>43000</v>
      </c>
      <c r="M37" s="108">
        <f t="shared" si="9"/>
        <v>53000</v>
      </c>
      <c r="N37" s="108">
        <f t="shared" si="9"/>
        <v>53000</v>
      </c>
      <c r="O37" s="108">
        <f t="shared" si="9"/>
        <v>53000</v>
      </c>
      <c r="P37" s="108">
        <f t="shared" si="9"/>
        <v>53000</v>
      </c>
      <c r="Q37" s="108">
        <f>D37-SUM(F37:P37)</f>
        <v>53000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18000</v>
      </c>
      <c r="E42" s="37" t="s">
        <v>199</v>
      </c>
      <c r="F42" s="37"/>
      <c r="G42" s="37"/>
      <c r="H42" s="37"/>
      <c r="I42" s="37">
        <f>D42</f>
        <v>18000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13000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13000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32000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18000</v>
      </c>
      <c r="J45" s="108">
        <f t="shared" si="12"/>
        <v>0</v>
      </c>
      <c r="K45" s="108">
        <f t="shared" si="12"/>
        <v>0</v>
      </c>
      <c r="L45" s="108">
        <f t="shared" si="12"/>
        <v>13000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3225000</v>
      </c>
      <c r="E48" s="37"/>
      <c r="F48" s="115">
        <f>F25+F37+F45+F47</f>
        <v>644000</v>
      </c>
      <c r="G48" s="115">
        <f t="shared" ref="G48:R48" si="14">G25+G37+G45+G47</f>
        <v>220000</v>
      </c>
      <c r="H48" s="115">
        <f t="shared" si="14"/>
        <v>230000</v>
      </c>
      <c r="I48" s="115">
        <f t="shared" si="14"/>
        <v>248000</v>
      </c>
      <c r="J48" s="115">
        <f t="shared" si="14"/>
        <v>230000</v>
      </c>
      <c r="K48" s="115">
        <f t="shared" si="14"/>
        <v>232000</v>
      </c>
      <c r="L48" s="115">
        <f t="shared" si="14"/>
        <v>446000</v>
      </c>
      <c r="M48" s="115">
        <f t="shared" si="14"/>
        <v>230000</v>
      </c>
      <c r="N48" s="115">
        <f t="shared" si="14"/>
        <v>232000</v>
      </c>
      <c r="O48" s="115">
        <f t="shared" si="14"/>
        <v>228000</v>
      </c>
      <c r="P48" s="115">
        <f t="shared" si="14"/>
        <v>144000</v>
      </c>
      <c r="Q48" s="115">
        <f t="shared" si="14"/>
        <v>141000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28277000</v>
      </c>
      <c r="E49" s="114" t="s">
        <v>202</v>
      </c>
      <c r="F49" s="37">
        <f>ROUND($D49/12*3,-3)</f>
        <v>7069000</v>
      </c>
      <c r="G49" s="37">
        <f>ROUND($D49/12,-3)</f>
        <v>2356000</v>
      </c>
      <c r="H49" s="37">
        <f t="shared" ref="H49:N53" si="15">ROUND($D49/12,-3)</f>
        <v>2356000</v>
      </c>
      <c r="I49" s="37">
        <f t="shared" si="15"/>
        <v>2356000</v>
      </c>
      <c r="J49" s="37">
        <f t="shared" si="15"/>
        <v>2356000</v>
      </c>
      <c r="K49" s="37">
        <f t="shared" si="15"/>
        <v>2356000</v>
      </c>
      <c r="L49" s="37">
        <f t="shared" si="15"/>
        <v>2356000</v>
      </c>
      <c r="M49" s="37">
        <f t="shared" si="15"/>
        <v>2356000</v>
      </c>
      <c r="N49" s="37">
        <f t="shared" si="15"/>
        <v>2356000</v>
      </c>
      <c r="O49" s="37">
        <f>D49-SUM(F49:N49)</f>
        <v>2360000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1960000</v>
      </c>
      <c r="E51" s="114" t="s">
        <v>202</v>
      </c>
      <c r="F51" s="37">
        <f t="shared" si="16"/>
        <v>490000</v>
      </c>
      <c r="G51" s="37">
        <f t="shared" si="17"/>
        <v>163000</v>
      </c>
      <c r="H51" s="37">
        <f t="shared" si="15"/>
        <v>163000</v>
      </c>
      <c r="I51" s="37">
        <f t="shared" si="15"/>
        <v>163000</v>
      </c>
      <c r="J51" s="37">
        <f t="shared" si="15"/>
        <v>163000</v>
      </c>
      <c r="K51" s="37">
        <f t="shared" si="15"/>
        <v>163000</v>
      </c>
      <c r="L51" s="37">
        <f t="shared" si="15"/>
        <v>163000</v>
      </c>
      <c r="M51" s="37">
        <f t="shared" si="15"/>
        <v>163000</v>
      </c>
      <c r="N51" s="37">
        <f t="shared" si="15"/>
        <v>163000</v>
      </c>
      <c r="O51" s="37">
        <f t="shared" si="18"/>
        <v>166000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85000</v>
      </c>
      <c r="E54" s="37" t="s">
        <v>525</v>
      </c>
      <c r="F54" s="37">
        <f t="shared" ref="F54:P61" si="19">ROUND($D54/12,0)</f>
        <v>7083</v>
      </c>
      <c r="G54" s="37">
        <f t="shared" si="19"/>
        <v>7083</v>
      </c>
      <c r="H54" s="37">
        <f t="shared" si="19"/>
        <v>7083</v>
      </c>
      <c r="I54" s="37">
        <f t="shared" si="19"/>
        <v>7083</v>
      </c>
      <c r="J54" s="37">
        <f t="shared" si="19"/>
        <v>7083</v>
      </c>
      <c r="K54" s="37">
        <f t="shared" si="19"/>
        <v>7083</v>
      </c>
      <c r="L54" s="37">
        <f t="shared" si="19"/>
        <v>7083</v>
      </c>
      <c r="M54" s="37">
        <f t="shared" si="19"/>
        <v>7083</v>
      </c>
      <c r="N54" s="37">
        <f t="shared" si="19"/>
        <v>7083</v>
      </c>
      <c r="O54" s="37">
        <f t="shared" si="19"/>
        <v>7083</v>
      </c>
      <c r="P54" s="37">
        <f t="shared" si="19"/>
        <v>7083</v>
      </c>
      <c r="Q54" s="37">
        <f t="shared" ref="Q54:Q61" si="20">D54-SUM(F54:P54)</f>
        <v>7087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0</v>
      </c>
      <c r="E59" s="37" t="s">
        <v>525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0</v>
      </c>
      <c r="E60" s="37" t="s">
        <v>195</v>
      </c>
      <c r="F60" s="37">
        <f>D60</f>
        <v>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3011000</v>
      </c>
      <c r="E62" s="37" t="s">
        <v>197</v>
      </c>
      <c r="F62" s="37"/>
      <c r="G62" s="37"/>
      <c r="H62" s="37"/>
      <c r="I62" s="37">
        <f>ROUND($D62/5,-3)</f>
        <v>602000</v>
      </c>
      <c r="J62" s="37"/>
      <c r="K62" s="37"/>
      <c r="L62" s="37"/>
      <c r="M62" s="37"/>
      <c r="N62" s="37">
        <f>D62-I62</f>
        <v>2409000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3432000</v>
      </c>
      <c r="E63" s="37" t="s">
        <v>195</v>
      </c>
      <c r="F63" s="37">
        <f>D63</f>
        <v>3432000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2909000</v>
      </c>
      <c r="E64" s="114" t="s">
        <v>202</v>
      </c>
      <c r="F64" s="37">
        <f>ROUND($D64/12*3,-3)</f>
        <v>727000</v>
      </c>
      <c r="G64" s="37">
        <f>ROUND($D64/12,-3)</f>
        <v>242000</v>
      </c>
      <c r="H64" s="37">
        <f t="shared" ref="H64:N66" si="21">ROUND($D64/12,-3)</f>
        <v>242000</v>
      </c>
      <c r="I64" s="37">
        <f t="shared" si="21"/>
        <v>242000</v>
      </c>
      <c r="J64" s="37">
        <f t="shared" si="21"/>
        <v>242000</v>
      </c>
      <c r="K64" s="37">
        <f t="shared" si="21"/>
        <v>242000</v>
      </c>
      <c r="L64" s="37">
        <f t="shared" si="21"/>
        <v>242000</v>
      </c>
      <c r="M64" s="37">
        <f t="shared" si="21"/>
        <v>242000</v>
      </c>
      <c r="N64" s="37">
        <f t="shared" si="21"/>
        <v>242000</v>
      </c>
      <c r="O64" s="37">
        <f>D64-SUM(F64:N64)</f>
        <v>246000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673000</v>
      </c>
      <c r="E65" s="114" t="s">
        <v>202</v>
      </c>
      <c r="F65" s="37">
        <f t="shared" ref="F65:F66" si="22">ROUND($D65/12*3,-3)</f>
        <v>168000</v>
      </c>
      <c r="G65" s="37">
        <f t="shared" ref="G65:G66" si="23">ROUND($D65/12,-3)</f>
        <v>56000</v>
      </c>
      <c r="H65" s="37">
        <f t="shared" si="21"/>
        <v>56000</v>
      </c>
      <c r="I65" s="37">
        <f t="shared" si="21"/>
        <v>56000</v>
      </c>
      <c r="J65" s="37">
        <f t="shared" si="21"/>
        <v>56000</v>
      </c>
      <c r="K65" s="37">
        <f t="shared" si="21"/>
        <v>56000</v>
      </c>
      <c r="L65" s="37">
        <f t="shared" si="21"/>
        <v>56000</v>
      </c>
      <c r="M65" s="37">
        <f t="shared" si="21"/>
        <v>56000</v>
      </c>
      <c r="N65" s="37">
        <f t="shared" si="21"/>
        <v>56000</v>
      </c>
      <c r="O65" s="37">
        <f t="shared" ref="O65:O66" si="24">D65-SUM(F65:N65)</f>
        <v>57000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2068000</v>
      </c>
      <c r="E66" s="114" t="s">
        <v>202</v>
      </c>
      <c r="F66" s="37">
        <f t="shared" si="22"/>
        <v>517000</v>
      </c>
      <c r="G66" s="37">
        <f t="shared" si="23"/>
        <v>172000</v>
      </c>
      <c r="H66" s="37">
        <f t="shared" si="21"/>
        <v>172000</v>
      </c>
      <c r="I66" s="37">
        <f t="shared" si="21"/>
        <v>172000</v>
      </c>
      <c r="J66" s="37">
        <f t="shared" si="21"/>
        <v>172000</v>
      </c>
      <c r="K66" s="37">
        <f t="shared" si="21"/>
        <v>172000</v>
      </c>
      <c r="L66" s="37">
        <f t="shared" si="21"/>
        <v>172000</v>
      </c>
      <c r="M66" s="37">
        <f t="shared" si="21"/>
        <v>172000</v>
      </c>
      <c r="N66" s="37">
        <f t="shared" si="21"/>
        <v>172000</v>
      </c>
      <c r="O66" s="37">
        <f t="shared" si="24"/>
        <v>175000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45000</v>
      </c>
      <c r="E67" s="37" t="s">
        <v>196</v>
      </c>
      <c r="F67" s="37"/>
      <c r="G67" s="37"/>
      <c r="H67" s="37">
        <f>D67</f>
        <v>45000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420000</v>
      </c>
      <c r="E68" s="37" t="s">
        <v>195</v>
      </c>
      <c r="F68" s="37">
        <f>D68</f>
        <v>420000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43145000</v>
      </c>
      <c r="E70" s="108"/>
      <c r="F70" s="108">
        <f t="shared" ref="F70:P70" si="25">ROUND(SUM(F49:F69),-3)</f>
        <v>12896000</v>
      </c>
      <c r="G70" s="108">
        <f t="shared" si="25"/>
        <v>3018000</v>
      </c>
      <c r="H70" s="108">
        <f t="shared" si="25"/>
        <v>3063000</v>
      </c>
      <c r="I70" s="108">
        <f t="shared" si="25"/>
        <v>3620000</v>
      </c>
      <c r="J70" s="108">
        <f t="shared" si="25"/>
        <v>3018000</v>
      </c>
      <c r="K70" s="108">
        <f t="shared" si="25"/>
        <v>3018000</v>
      </c>
      <c r="L70" s="108">
        <f t="shared" si="25"/>
        <v>3018000</v>
      </c>
      <c r="M70" s="108">
        <f t="shared" si="25"/>
        <v>3018000</v>
      </c>
      <c r="N70" s="108">
        <f t="shared" si="25"/>
        <v>5427000</v>
      </c>
      <c r="O70" s="108">
        <f t="shared" si="25"/>
        <v>3034000</v>
      </c>
      <c r="P70" s="108">
        <f t="shared" si="25"/>
        <v>7000</v>
      </c>
      <c r="Q70" s="108">
        <f>D70-SUM(F70:P70)</f>
        <v>8000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2722000</v>
      </c>
      <c r="E72" s="114" t="s">
        <v>202</v>
      </c>
      <c r="F72" s="37">
        <f>ROUND($D72/12*3,-3)</f>
        <v>681000</v>
      </c>
      <c r="G72" s="37">
        <f>ROUND($D72/12,-3)</f>
        <v>227000</v>
      </c>
      <c r="H72" s="37">
        <f t="shared" ref="H72:N75" si="26">ROUND($D72/12,-3)</f>
        <v>227000</v>
      </c>
      <c r="I72" s="37">
        <f t="shared" si="26"/>
        <v>227000</v>
      </c>
      <c r="J72" s="37">
        <f t="shared" si="26"/>
        <v>227000</v>
      </c>
      <c r="K72" s="37">
        <f t="shared" si="26"/>
        <v>227000</v>
      </c>
      <c r="L72" s="37">
        <f t="shared" si="26"/>
        <v>227000</v>
      </c>
      <c r="M72" s="37">
        <f t="shared" si="26"/>
        <v>227000</v>
      </c>
      <c r="N72" s="37">
        <f t="shared" si="26"/>
        <v>227000</v>
      </c>
      <c r="O72" s="37">
        <f>D72-SUM(F72:N72)</f>
        <v>225000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2722000</v>
      </c>
      <c r="E76" s="108"/>
      <c r="F76" s="108">
        <f>ROUND(SUM(F71:F75),-3)</f>
        <v>681000</v>
      </c>
      <c r="G76" s="108">
        <f t="shared" ref="G76:N76" si="27">ROUND(SUM(G71:G75),-3)</f>
        <v>227000</v>
      </c>
      <c r="H76" s="108">
        <f t="shared" si="27"/>
        <v>227000</v>
      </c>
      <c r="I76" s="108">
        <f t="shared" si="27"/>
        <v>227000</v>
      </c>
      <c r="J76" s="108">
        <f t="shared" si="27"/>
        <v>227000</v>
      </c>
      <c r="K76" s="108">
        <f t="shared" si="27"/>
        <v>227000</v>
      </c>
      <c r="L76" s="108">
        <f t="shared" si="27"/>
        <v>227000</v>
      </c>
      <c r="M76" s="108">
        <f t="shared" si="27"/>
        <v>227000</v>
      </c>
      <c r="N76" s="108">
        <f t="shared" si="27"/>
        <v>227000</v>
      </c>
      <c r="O76" s="108">
        <f>D76-SUM(F76:N76)</f>
        <v>225000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293000</v>
      </c>
      <c r="E77" s="37" t="s">
        <v>681</v>
      </c>
      <c r="F77" s="224"/>
      <c r="G77" s="224"/>
      <c r="H77" s="224">
        <f>ROUND($D77/2,-3)</f>
        <v>147000</v>
      </c>
      <c r="I77" s="224"/>
      <c r="J77" s="224"/>
      <c r="K77" s="224"/>
      <c r="L77" s="224"/>
      <c r="M77" s="224"/>
      <c r="N77" s="224">
        <f>D77-H77</f>
        <v>146000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46160000</v>
      </c>
      <c r="E78" s="227"/>
      <c r="F78" s="227">
        <f>F76+F70+F77</f>
        <v>13577000</v>
      </c>
      <c r="G78" s="227">
        <f t="shared" ref="G78:Q78" si="29">G76+G70+G77</f>
        <v>3245000</v>
      </c>
      <c r="H78" s="227">
        <f t="shared" si="29"/>
        <v>3437000</v>
      </c>
      <c r="I78" s="227">
        <f t="shared" si="29"/>
        <v>3847000</v>
      </c>
      <c r="J78" s="227">
        <f t="shared" si="29"/>
        <v>3245000</v>
      </c>
      <c r="K78" s="227">
        <f t="shared" si="29"/>
        <v>3245000</v>
      </c>
      <c r="L78" s="227">
        <f t="shared" si="29"/>
        <v>3245000</v>
      </c>
      <c r="M78" s="227">
        <f t="shared" si="29"/>
        <v>3245000</v>
      </c>
      <c r="N78" s="227">
        <f t="shared" si="29"/>
        <v>5800000</v>
      </c>
      <c r="O78" s="227">
        <f t="shared" si="29"/>
        <v>3259000</v>
      </c>
      <c r="P78" s="227">
        <f t="shared" si="29"/>
        <v>7000</v>
      </c>
      <c r="Q78" s="227">
        <f t="shared" si="29"/>
        <v>8000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-268000</v>
      </c>
      <c r="E86" s="37"/>
      <c r="F86" s="37">
        <f>D86</f>
        <v>-268000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49117000</v>
      </c>
      <c r="E87" s="37"/>
      <c r="F87" s="37">
        <f>F88+F89+F90+F91</f>
        <v>13953000</v>
      </c>
      <c r="G87" s="37">
        <f t="shared" ref="G87:Q87" si="32">G88+G89+G90+G91</f>
        <v>3465000</v>
      </c>
      <c r="H87" s="37">
        <f t="shared" si="32"/>
        <v>3667000</v>
      </c>
      <c r="I87" s="37">
        <f t="shared" si="32"/>
        <v>4095000</v>
      </c>
      <c r="J87" s="37">
        <f t="shared" si="32"/>
        <v>3475000</v>
      </c>
      <c r="K87" s="37">
        <f t="shared" si="32"/>
        <v>3477000</v>
      </c>
      <c r="L87" s="37">
        <f t="shared" si="32"/>
        <v>3691000</v>
      </c>
      <c r="M87" s="37">
        <f t="shared" si="32"/>
        <v>3475000</v>
      </c>
      <c r="N87" s="37">
        <f t="shared" si="32"/>
        <v>6032000</v>
      </c>
      <c r="O87" s="37">
        <f t="shared" si="32"/>
        <v>3487000</v>
      </c>
      <c r="P87" s="37">
        <f t="shared" si="32"/>
        <v>151000</v>
      </c>
      <c r="Q87" s="37">
        <f t="shared" si="32"/>
        <v>149000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80000</v>
      </c>
      <c r="E88" s="108" t="s">
        <v>193</v>
      </c>
      <c r="F88" s="108">
        <f>ROUND($D88/2,-3)</f>
        <v>40000</v>
      </c>
      <c r="G88" s="108"/>
      <c r="H88" s="108"/>
      <c r="I88" s="108"/>
      <c r="J88" s="108"/>
      <c r="K88" s="108"/>
      <c r="L88" s="108">
        <f>D88-F88</f>
        <v>40000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2000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1000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49035000</v>
      </c>
      <c r="E91" s="108"/>
      <c r="F91" s="108">
        <f>F92+F93+F94+F95</f>
        <v>13913000</v>
      </c>
      <c r="G91" s="108">
        <f t="shared" ref="G91:Q91" si="34">G92+G93+G94+G95</f>
        <v>3465000</v>
      </c>
      <c r="H91" s="108">
        <f t="shared" si="34"/>
        <v>3667000</v>
      </c>
      <c r="I91" s="108">
        <f t="shared" si="34"/>
        <v>4095000</v>
      </c>
      <c r="J91" s="108">
        <f t="shared" si="34"/>
        <v>3475000</v>
      </c>
      <c r="K91" s="108">
        <f t="shared" si="34"/>
        <v>3477000</v>
      </c>
      <c r="L91" s="108">
        <f t="shared" si="34"/>
        <v>3650000</v>
      </c>
      <c r="M91" s="108">
        <f t="shared" si="34"/>
        <v>3475000</v>
      </c>
      <c r="N91" s="108">
        <f t="shared" si="34"/>
        <v>6032000</v>
      </c>
      <c r="O91" s="108">
        <f t="shared" si="34"/>
        <v>3487000</v>
      </c>
      <c r="P91" s="108">
        <f t="shared" si="34"/>
        <v>151000</v>
      </c>
      <c r="Q91" s="108">
        <f t="shared" si="34"/>
        <v>148000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4075000</v>
      </c>
      <c r="E92" s="114" t="s">
        <v>537</v>
      </c>
      <c r="F92" s="37">
        <f>ROUND($D92/12*5,-3)</f>
        <v>1698000</v>
      </c>
      <c r="G92" s="37">
        <f>ROUND($D92/12,-3)</f>
        <v>340000</v>
      </c>
      <c r="H92" s="37">
        <f t="shared" ref="H92:L92" si="35">ROUND($D92/12,-3)</f>
        <v>340000</v>
      </c>
      <c r="I92" s="37">
        <f t="shared" si="35"/>
        <v>340000</v>
      </c>
      <c r="J92" s="37">
        <f t="shared" si="35"/>
        <v>340000</v>
      </c>
      <c r="K92" s="37">
        <f t="shared" si="35"/>
        <v>340000</v>
      </c>
      <c r="L92" s="37">
        <f t="shared" si="35"/>
        <v>340000</v>
      </c>
      <c r="M92" s="37">
        <f>D92-SUM(F92:L92)</f>
        <v>337000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326000</v>
      </c>
      <c r="E93" s="109" t="s">
        <v>227</v>
      </c>
      <c r="F93" s="37">
        <f>ROUND($D93/12,-3)</f>
        <v>27000</v>
      </c>
      <c r="G93" s="37">
        <f t="shared" ref="G93:P93" si="36">ROUND($D93/12,-3)</f>
        <v>27000</v>
      </c>
      <c r="H93" s="37">
        <f t="shared" si="36"/>
        <v>27000</v>
      </c>
      <c r="I93" s="37">
        <f t="shared" si="36"/>
        <v>27000</v>
      </c>
      <c r="J93" s="37">
        <f t="shared" si="36"/>
        <v>27000</v>
      </c>
      <c r="K93" s="37">
        <f t="shared" si="36"/>
        <v>27000</v>
      </c>
      <c r="L93" s="37">
        <f t="shared" si="36"/>
        <v>27000</v>
      </c>
      <c r="M93" s="37">
        <f t="shared" si="36"/>
        <v>27000</v>
      </c>
      <c r="N93" s="37">
        <f t="shared" si="36"/>
        <v>27000</v>
      </c>
      <c r="O93" s="37">
        <f t="shared" si="36"/>
        <v>27000</v>
      </c>
      <c r="P93" s="37">
        <f t="shared" si="36"/>
        <v>27000</v>
      </c>
      <c r="Q93" s="37">
        <f>D93-SUM(F93:P93)</f>
        <v>29000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28000</v>
      </c>
      <c r="E94" s="110" t="s">
        <v>229</v>
      </c>
      <c r="F94" s="37"/>
      <c r="G94" s="37"/>
      <c r="H94" s="37">
        <f>ROUND($D94/2,-3)</f>
        <v>14000</v>
      </c>
      <c r="I94" s="37"/>
      <c r="J94" s="37"/>
      <c r="K94" s="37"/>
      <c r="L94" s="37"/>
      <c r="M94" s="37"/>
      <c r="N94" s="37"/>
      <c r="O94" s="37">
        <f>D94-H94</f>
        <v>14000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44606000</v>
      </c>
      <c r="E95" s="37"/>
      <c r="F95" s="37">
        <f>F2+F86-F88-F89-F90-F92-F93-F94</f>
        <v>12188000</v>
      </c>
      <c r="G95" s="37">
        <f t="shared" ref="G95:Q95" si="37">G2-G88-G89-G90-G92-G93-G94</f>
        <v>3098000</v>
      </c>
      <c r="H95" s="37">
        <f t="shared" si="37"/>
        <v>3286000</v>
      </c>
      <c r="I95" s="37">
        <f t="shared" si="37"/>
        <v>3728000</v>
      </c>
      <c r="J95" s="37">
        <f t="shared" si="37"/>
        <v>3108000</v>
      </c>
      <c r="K95" s="37">
        <f t="shared" si="37"/>
        <v>3110000</v>
      </c>
      <c r="L95" s="37">
        <f t="shared" si="37"/>
        <v>3283000</v>
      </c>
      <c r="M95" s="37">
        <f t="shared" si="37"/>
        <v>3111000</v>
      </c>
      <c r="N95" s="37">
        <f t="shared" si="37"/>
        <v>6005000</v>
      </c>
      <c r="O95" s="37">
        <f t="shared" si="37"/>
        <v>3446000</v>
      </c>
      <c r="P95" s="37">
        <f t="shared" si="37"/>
        <v>124000</v>
      </c>
      <c r="Q95" s="37">
        <f t="shared" si="37"/>
        <v>119000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800000</v>
      </c>
    </row>
    <row r="99" spans="2:17" ht="32.4">
      <c r="B99" s="72" t="s">
        <v>235</v>
      </c>
      <c r="D99" s="30">
        <f>HLOOKUP(D1,縣庫撥款收入明細表!H:DD,5,FALSE)</f>
        <v>2250000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1025000</v>
      </c>
    </row>
    <row r="102" spans="2:17" ht="32.4">
      <c r="B102" s="71" t="s">
        <v>238</v>
      </c>
      <c r="D102" s="30">
        <f>HLOOKUP(D1,縣庫撥款收入明細表!H:DD,16,FALSE)</f>
        <v>310000</v>
      </c>
    </row>
    <row r="103" spans="2:17" ht="32.4">
      <c r="B103" s="72" t="s">
        <v>239</v>
      </c>
      <c r="D103" s="30">
        <f>HLOOKUP(D1,縣庫撥款收入明細表!H:DD,17,FALSE)</f>
        <v>0</v>
      </c>
    </row>
    <row r="104" spans="2:17" ht="32.4">
      <c r="B104" s="76" t="s">
        <v>240</v>
      </c>
      <c r="D104" s="30">
        <f>HLOOKUP(D1,縣庫撥款收入明細表!H:DD,18,FALSE)</f>
        <v>28000</v>
      </c>
    </row>
    <row r="105" spans="2:17" ht="32.4">
      <c r="B105" s="72" t="s">
        <v>380</v>
      </c>
      <c r="D105" s="30">
        <f>HLOOKUP(D1,縣庫撥款收入明細表!H:DD,19,FALSE)</f>
        <v>0</v>
      </c>
    </row>
    <row r="106" spans="2:17" ht="32.4">
      <c r="B106" s="71" t="s">
        <v>241</v>
      </c>
      <c r="D106" s="30">
        <f>HLOOKUP(D1,縣庫撥款收入明細表!H:DD,20,FALSE)</f>
        <v>16000</v>
      </c>
    </row>
    <row r="107" spans="2:17" ht="32.4">
      <c r="B107" s="77" t="s">
        <v>242</v>
      </c>
      <c r="D107" s="30">
        <f>HLOOKUP(D1,縣庫撥款收入明細表!H:DD,21,FALSE)</f>
        <v>44606000</v>
      </c>
    </row>
    <row r="108" spans="2:17" ht="16.5" customHeight="1"/>
    <row r="109" spans="2:17" ht="16.5" customHeight="1">
      <c r="B109" s="4" t="s">
        <v>682</v>
      </c>
      <c r="D109" s="30">
        <f>D91-D76</f>
        <v>46313000</v>
      </c>
      <c r="F109" s="30">
        <f>F91-F76</f>
        <v>13232000</v>
      </c>
      <c r="G109" s="30">
        <f t="shared" ref="G109:Q109" si="38">G91-G76</f>
        <v>3238000</v>
      </c>
      <c r="H109" s="30">
        <f t="shared" si="38"/>
        <v>3440000</v>
      </c>
      <c r="I109" s="30">
        <f t="shared" si="38"/>
        <v>3868000</v>
      </c>
      <c r="J109" s="30">
        <f t="shared" si="38"/>
        <v>3248000</v>
      </c>
      <c r="K109" s="30">
        <f t="shared" si="38"/>
        <v>3250000</v>
      </c>
      <c r="L109" s="30">
        <f t="shared" si="38"/>
        <v>3423000</v>
      </c>
      <c r="M109" s="30">
        <f t="shared" si="38"/>
        <v>3248000</v>
      </c>
      <c r="N109" s="30">
        <f t="shared" si="38"/>
        <v>5805000</v>
      </c>
      <c r="O109" s="30">
        <f t="shared" si="38"/>
        <v>3262000</v>
      </c>
      <c r="P109" s="30">
        <f t="shared" si="38"/>
        <v>151000</v>
      </c>
      <c r="Q109" s="30">
        <f t="shared" si="38"/>
        <v>148000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8:C78"/>
    <mergeCell ref="A79:A83"/>
    <mergeCell ref="A1:B1"/>
    <mergeCell ref="A2:B2"/>
    <mergeCell ref="A3:A48"/>
    <mergeCell ref="A49:A70"/>
    <mergeCell ref="A71:A76"/>
  </mergeCells>
  <phoneticPr fontId="3" type="noConversion"/>
  <conditionalFormatting sqref="F95:Q95">
    <cfRule type="cellIs" dxfId="178" priority="1" operator="lessThan">
      <formula>0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614</v>
      </c>
      <c r="D1" s="240" t="str">
        <f>VLOOKUP(C1,學校編號!A:B,2,FALSE)</f>
        <v>614北埔國小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75745000</v>
      </c>
      <c r="E2" s="37"/>
      <c r="F2" s="37">
        <f>F48+F70+F76+F77+F83</f>
        <v>21896000</v>
      </c>
      <c r="G2" s="37">
        <f t="shared" ref="G2:Q2" si="0">G48+G70+G76+G77+G83</f>
        <v>5222000</v>
      </c>
      <c r="H2" s="37">
        <f t="shared" si="0"/>
        <v>5629000</v>
      </c>
      <c r="I2" s="37">
        <f t="shared" si="0"/>
        <v>6378000</v>
      </c>
      <c r="J2" s="37">
        <f t="shared" si="0"/>
        <v>5222000</v>
      </c>
      <c r="K2" s="37">
        <f t="shared" si="0"/>
        <v>5224000</v>
      </c>
      <c r="L2" s="37">
        <f t="shared" si="0"/>
        <v>5280000</v>
      </c>
      <c r="M2" s="37">
        <f t="shared" si="0"/>
        <v>5222000</v>
      </c>
      <c r="N2" s="37">
        <f t="shared" si="0"/>
        <v>10168000</v>
      </c>
      <c r="O2" s="37">
        <f t="shared" si="0"/>
        <v>5225000</v>
      </c>
      <c r="P2" s="37">
        <f t="shared" si="0"/>
        <v>139000</v>
      </c>
      <c r="Q2" s="37">
        <f t="shared" si="0"/>
        <v>140000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372000</v>
      </c>
      <c r="E3" s="37" t="s">
        <v>525</v>
      </c>
      <c r="F3" s="37">
        <f t="shared" ref="F3:P17" si="1">ROUND($D3/12,0)</f>
        <v>31000</v>
      </c>
      <c r="G3" s="37">
        <f t="shared" si="1"/>
        <v>31000</v>
      </c>
      <c r="H3" s="37">
        <f t="shared" si="1"/>
        <v>31000</v>
      </c>
      <c r="I3" s="37">
        <f t="shared" si="1"/>
        <v>31000</v>
      </c>
      <c r="J3" s="37">
        <f t="shared" si="1"/>
        <v>31000</v>
      </c>
      <c r="K3" s="37">
        <f t="shared" si="1"/>
        <v>31000</v>
      </c>
      <c r="L3" s="37">
        <f t="shared" si="1"/>
        <v>31000</v>
      </c>
      <c r="M3" s="37">
        <f t="shared" si="1"/>
        <v>31000</v>
      </c>
      <c r="N3" s="37">
        <f t="shared" si="1"/>
        <v>31000</v>
      </c>
      <c r="O3" s="37">
        <f t="shared" si="1"/>
        <v>31000</v>
      </c>
      <c r="P3" s="37">
        <f t="shared" si="1"/>
        <v>31000</v>
      </c>
      <c r="Q3" s="37">
        <f t="shared" ref="Q3:Q10" si="2">D3-SUM(F3:P3)</f>
        <v>31000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159000</v>
      </c>
      <c r="E4" s="37" t="s">
        <v>525</v>
      </c>
      <c r="F4" s="37">
        <f t="shared" si="1"/>
        <v>13250</v>
      </c>
      <c r="G4" s="37">
        <f t="shared" si="1"/>
        <v>13250</v>
      </c>
      <c r="H4" s="37">
        <f t="shared" si="1"/>
        <v>13250</v>
      </c>
      <c r="I4" s="37">
        <f t="shared" si="1"/>
        <v>13250</v>
      </c>
      <c r="J4" s="37">
        <f t="shared" si="1"/>
        <v>13250</v>
      </c>
      <c r="K4" s="37">
        <f t="shared" si="1"/>
        <v>13250</v>
      </c>
      <c r="L4" s="37">
        <f t="shared" si="1"/>
        <v>13250</v>
      </c>
      <c r="M4" s="37">
        <f t="shared" si="1"/>
        <v>13250</v>
      </c>
      <c r="N4" s="37">
        <f t="shared" si="1"/>
        <v>13250</v>
      </c>
      <c r="O4" s="37">
        <f t="shared" si="1"/>
        <v>13250</v>
      </c>
      <c r="P4" s="37">
        <f t="shared" si="1"/>
        <v>13250</v>
      </c>
      <c r="Q4" s="37">
        <f t="shared" si="2"/>
        <v>13250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74000</v>
      </c>
      <c r="E7" s="37" t="s">
        <v>525</v>
      </c>
      <c r="F7" s="37">
        <f t="shared" si="1"/>
        <v>6167</v>
      </c>
      <c r="G7" s="37">
        <f t="shared" si="1"/>
        <v>6167</v>
      </c>
      <c r="H7" s="37">
        <f t="shared" si="1"/>
        <v>6167</v>
      </c>
      <c r="I7" s="37">
        <f t="shared" si="1"/>
        <v>6167</v>
      </c>
      <c r="J7" s="37">
        <f t="shared" si="1"/>
        <v>6167</v>
      </c>
      <c r="K7" s="37">
        <f t="shared" si="1"/>
        <v>6167</v>
      </c>
      <c r="L7" s="37">
        <f t="shared" si="1"/>
        <v>6167</v>
      </c>
      <c r="M7" s="37">
        <f t="shared" si="1"/>
        <v>6167</v>
      </c>
      <c r="N7" s="37">
        <f t="shared" si="1"/>
        <v>6167</v>
      </c>
      <c r="O7" s="37">
        <f t="shared" si="1"/>
        <v>6167</v>
      </c>
      <c r="P7" s="37">
        <f t="shared" si="1"/>
        <v>6167</v>
      </c>
      <c r="Q7" s="37">
        <f t="shared" si="2"/>
        <v>6163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60000</v>
      </c>
      <c r="E8" s="37" t="s">
        <v>525</v>
      </c>
      <c r="F8" s="37">
        <f t="shared" si="1"/>
        <v>5000</v>
      </c>
      <c r="G8" s="37">
        <f t="shared" si="1"/>
        <v>5000</v>
      </c>
      <c r="H8" s="37">
        <f t="shared" si="1"/>
        <v>5000</v>
      </c>
      <c r="I8" s="37">
        <f t="shared" si="1"/>
        <v>5000</v>
      </c>
      <c r="J8" s="37">
        <f t="shared" si="1"/>
        <v>5000</v>
      </c>
      <c r="K8" s="37">
        <f t="shared" si="1"/>
        <v>5000</v>
      </c>
      <c r="L8" s="37">
        <f t="shared" si="1"/>
        <v>5000</v>
      </c>
      <c r="M8" s="37">
        <f t="shared" si="1"/>
        <v>5000</v>
      </c>
      <c r="N8" s="37">
        <f t="shared" si="1"/>
        <v>5000</v>
      </c>
      <c r="O8" s="37">
        <f t="shared" si="1"/>
        <v>5000</v>
      </c>
      <c r="P8" s="37">
        <f t="shared" si="1"/>
        <v>5000</v>
      </c>
      <c r="Q8" s="37">
        <f t="shared" si="2"/>
        <v>5000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6000</v>
      </c>
      <c r="E9" s="37" t="s">
        <v>525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80000</v>
      </c>
      <c r="E14" s="37" t="s">
        <v>525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94000</v>
      </c>
      <c r="E15" s="37" t="s">
        <v>193</v>
      </c>
      <c r="F15" s="37">
        <f>ROUND($D15/2,-3)</f>
        <v>47000</v>
      </c>
      <c r="G15" s="37"/>
      <c r="H15" s="37"/>
      <c r="I15" s="37"/>
      <c r="J15" s="37"/>
      <c r="K15" s="37"/>
      <c r="L15" s="37">
        <f>D15-F15</f>
        <v>47000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61000</v>
      </c>
      <c r="E17" s="37" t="s">
        <v>525</v>
      </c>
      <c r="F17" s="37">
        <f>ROUND($D17/12,0)</f>
        <v>5083</v>
      </c>
      <c r="G17" s="37">
        <f t="shared" si="1"/>
        <v>5083</v>
      </c>
      <c r="H17" s="37">
        <f t="shared" si="1"/>
        <v>5083</v>
      </c>
      <c r="I17" s="37">
        <f t="shared" si="1"/>
        <v>5083</v>
      </c>
      <c r="J17" s="37">
        <f t="shared" si="1"/>
        <v>5083</v>
      </c>
      <c r="K17" s="37">
        <f t="shared" si="1"/>
        <v>5083</v>
      </c>
      <c r="L17" s="37">
        <f t="shared" si="1"/>
        <v>5083</v>
      </c>
      <c r="M17" s="37">
        <f t="shared" si="1"/>
        <v>5083</v>
      </c>
      <c r="N17" s="37">
        <f t="shared" si="1"/>
        <v>5083</v>
      </c>
      <c r="O17" s="37">
        <f t="shared" si="1"/>
        <v>5083</v>
      </c>
      <c r="P17" s="37">
        <f t="shared" si="1"/>
        <v>5083</v>
      </c>
      <c r="Q17" s="37">
        <f>D17-SUM(F17:P17)</f>
        <v>5087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22000</v>
      </c>
      <c r="E24" s="37" t="s">
        <v>193</v>
      </c>
      <c r="F24" s="37">
        <f>ROUND($D24/2,-3)</f>
        <v>11000</v>
      </c>
      <c r="G24" s="37"/>
      <c r="H24" s="37"/>
      <c r="I24" s="37"/>
      <c r="J24" s="37"/>
      <c r="K24" s="37"/>
      <c r="L24" s="37">
        <f>D24-F24</f>
        <v>11000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1092000</v>
      </c>
      <c r="E25" s="108"/>
      <c r="F25" s="108">
        <f>ROUND(SUM(F3:F24),-3)</f>
        <v>139000</v>
      </c>
      <c r="G25" s="108">
        <f t="shared" ref="G25:P25" si="5">ROUND(SUM(G3:G24),-3)</f>
        <v>81000</v>
      </c>
      <c r="H25" s="108">
        <f t="shared" si="5"/>
        <v>81000</v>
      </c>
      <c r="I25" s="108">
        <f t="shared" si="5"/>
        <v>81000</v>
      </c>
      <c r="J25" s="108">
        <f t="shared" si="5"/>
        <v>81000</v>
      </c>
      <c r="K25" s="108">
        <f t="shared" si="5"/>
        <v>81000</v>
      </c>
      <c r="L25" s="108">
        <f t="shared" si="5"/>
        <v>139000</v>
      </c>
      <c r="M25" s="108">
        <f t="shared" si="5"/>
        <v>81000</v>
      </c>
      <c r="N25" s="108">
        <f t="shared" si="5"/>
        <v>81000</v>
      </c>
      <c r="O25" s="108">
        <f t="shared" si="5"/>
        <v>81000</v>
      </c>
      <c r="P25" s="108">
        <f t="shared" si="5"/>
        <v>81000</v>
      </c>
      <c r="Q25" s="108">
        <f t="shared" ref="Q25:Q33" si="6">D25-SUM(F25:P25)</f>
        <v>85000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352000</v>
      </c>
      <c r="E27" s="37" t="s">
        <v>525</v>
      </c>
      <c r="F27" s="37">
        <f t="shared" ref="F27:P33" si="8">ROUND($D27/12,0)</f>
        <v>29333</v>
      </c>
      <c r="G27" s="37">
        <f t="shared" si="8"/>
        <v>29333</v>
      </c>
      <c r="H27" s="37">
        <f t="shared" si="8"/>
        <v>29333</v>
      </c>
      <c r="I27" s="37">
        <f t="shared" si="8"/>
        <v>29333</v>
      </c>
      <c r="J27" s="37">
        <f t="shared" si="8"/>
        <v>29333</v>
      </c>
      <c r="K27" s="37">
        <f t="shared" si="8"/>
        <v>29333</v>
      </c>
      <c r="L27" s="37">
        <f t="shared" si="8"/>
        <v>29333</v>
      </c>
      <c r="M27" s="37">
        <f t="shared" si="8"/>
        <v>29333</v>
      </c>
      <c r="N27" s="37">
        <f t="shared" si="8"/>
        <v>29333</v>
      </c>
      <c r="O27" s="37">
        <f t="shared" si="8"/>
        <v>29333</v>
      </c>
      <c r="P27" s="37">
        <f t="shared" si="8"/>
        <v>29333</v>
      </c>
      <c r="Q27" s="37">
        <f t="shared" si="6"/>
        <v>29337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37000</v>
      </c>
      <c r="E29" s="37" t="s">
        <v>525</v>
      </c>
      <c r="F29" s="37">
        <f t="shared" si="8"/>
        <v>3083</v>
      </c>
      <c r="G29" s="37">
        <f t="shared" si="8"/>
        <v>3083</v>
      </c>
      <c r="H29" s="37">
        <f t="shared" si="8"/>
        <v>3083</v>
      </c>
      <c r="I29" s="37">
        <f t="shared" si="8"/>
        <v>3083</v>
      </c>
      <c r="J29" s="37">
        <f t="shared" si="8"/>
        <v>3083</v>
      </c>
      <c r="K29" s="37">
        <f t="shared" si="8"/>
        <v>3083</v>
      </c>
      <c r="L29" s="37">
        <f t="shared" si="8"/>
        <v>3083</v>
      </c>
      <c r="M29" s="37">
        <f t="shared" si="8"/>
        <v>3083</v>
      </c>
      <c r="N29" s="37">
        <f t="shared" si="8"/>
        <v>3083</v>
      </c>
      <c r="O29" s="37">
        <f t="shared" si="8"/>
        <v>3083</v>
      </c>
      <c r="P29" s="37">
        <f t="shared" si="8"/>
        <v>3083</v>
      </c>
      <c r="Q29" s="37">
        <f t="shared" si="6"/>
        <v>3087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92000</v>
      </c>
      <c r="E30" s="37" t="s">
        <v>525</v>
      </c>
      <c r="F30" s="37">
        <f t="shared" si="8"/>
        <v>7667</v>
      </c>
      <c r="G30" s="37">
        <f t="shared" si="8"/>
        <v>7667</v>
      </c>
      <c r="H30" s="37">
        <f t="shared" si="8"/>
        <v>7667</v>
      </c>
      <c r="I30" s="37">
        <f t="shared" si="8"/>
        <v>7667</v>
      </c>
      <c r="J30" s="37">
        <f t="shared" si="8"/>
        <v>7667</v>
      </c>
      <c r="K30" s="37">
        <f t="shared" si="8"/>
        <v>7667</v>
      </c>
      <c r="L30" s="37">
        <f t="shared" si="8"/>
        <v>7667</v>
      </c>
      <c r="M30" s="37">
        <f t="shared" si="8"/>
        <v>7667</v>
      </c>
      <c r="N30" s="37">
        <f t="shared" si="8"/>
        <v>7667</v>
      </c>
      <c r="O30" s="37">
        <f t="shared" si="8"/>
        <v>7667</v>
      </c>
      <c r="P30" s="37">
        <f t="shared" si="8"/>
        <v>7667</v>
      </c>
      <c r="Q30" s="37">
        <f t="shared" si="6"/>
        <v>7663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46000</v>
      </c>
      <c r="E31" s="37" t="s">
        <v>525</v>
      </c>
      <c r="F31" s="37">
        <f t="shared" si="8"/>
        <v>3833</v>
      </c>
      <c r="G31" s="37">
        <f t="shared" si="8"/>
        <v>3833</v>
      </c>
      <c r="H31" s="37">
        <f t="shared" si="8"/>
        <v>3833</v>
      </c>
      <c r="I31" s="37">
        <f t="shared" si="8"/>
        <v>3833</v>
      </c>
      <c r="J31" s="37">
        <f t="shared" si="8"/>
        <v>3833</v>
      </c>
      <c r="K31" s="37">
        <f t="shared" si="8"/>
        <v>3833</v>
      </c>
      <c r="L31" s="37">
        <f t="shared" si="8"/>
        <v>3833</v>
      </c>
      <c r="M31" s="37">
        <f t="shared" si="8"/>
        <v>3833</v>
      </c>
      <c r="N31" s="37">
        <f t="shared" si="8"/>
        <v>3833</v>
      </c>
      <c r="O31" s="37">
        <f t="shared" si="8"/>
        <v>3833</v>
      </c>
      <c r="P31" s="37">
        <f t="shared" si="8"/>
        <v>3833</v>
      </c>
      <c r="Q31" s="37">
        <f t="shared" si="6"/>
        <v>3837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36000</v>
      </c>
      <c r="E32" s="37" t="s">
        <v>525</v>
      </c>
      <c r="F32" s="37">
        <f t="shared" si="8"/>
        <v>3000</v>
      </c>
      <c r="G32" s="37">
        <f t="shared" si="8"/>
        <v>3000</v>
      </c>
      <c r="H32" s="37">
        <f t="shared" si="8"/>
        <v>3000</v>
      </c>
      <c r="I32" s="37">
        <f t="shared" si="8"/>
        <v>3000</v>
      </c>
      <c r="J32" s="37">
        <f t="shared" si="8"/>
        <v>3000</v>
      </c>
      <c r="K32" s="37">
        <f t="shared" si="8"/>
        <v>3000</v>
      </c>
      <c r="L32" s="37">
        <f t="shared" si="8"/>
        <v>3000</v>
      </c>
      <c r="M32" s="37">
        <f t="shared" si="8"/>
        <v>3000</v>
      </c>
      <c r="N32" s="37">
        <f t="shared" si="8"/>
        <v>3000</v>
      </c>
      <c r="O32" s="37">
        <f t="shared" si="8"/>
        <v>3000</v>
      </c>
      <c r="P32" s="37">
        <f t="shared" si="8"/>
        <v>3000</v>
      </c>
      <c r="Q32" s="37">
        <f t="shared" si="6"/>
        <v>3000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22000</v>
      </c>
      <c r="E33" s="37" t="s">
        <v>525</v>
      </c>
      <c r="F33" s="37">
        <f t="shared" si="8"/>
        <v>1833</v>
      </c>
      <c r="G33" s="37">
        <f t="shared" si="8"/>
        <v>1833</v>
      </c>
      <c r="H33" s="37">
        <f t="shared" si="8"/>
        <v>1833</v>
      </c>
      <c r="I33" s="37">
        <f t="shared" si="8"/>
        <v>1833</v>
      </c>
      <c r="J33" s="37">
        <f t="shared" si="8"/>
        <v>1833</v>
      </c>
      <c r="K33" s="37">
        <f t="shared" si="8"/>
        <v>1833</v>
      </c>
      <c r="L33" s="37">
        <f t="shared" si="8"/>
        <v>1833</v>
      </c>
      <c r="M33" s="37">
        <f t="shared" si="8"/>
        <v>1833</v>
      </c>
      <c r="N33" s="37">
        <f t="shared" si="8"/>
        <v>1833</v>
      </c>
      <c r="O33" s="37">
        <f t="shared" si="8"/>
        <v>1833</v>
      </c>
      <c r="P33" s="37">
        <f t="shared" si="8"/>
        <v>1833</v>
      </c>
      <c r="Q33" s="37">
        <f t="shared" si="6"/>
        <v>1837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585000</v>
      </c>
      <c r="E37" s="108"/>
      <c r="F37" s="108">
        <f t="shared" ref="F37:P37" si="9">ROUND(SUM(F26:F36),-3)</f>
        <v>49000</v>
      </c>
      <c r="G37" s="108">
        <f t="shared" si="9"/>
        <v>49000</v>
      </c>
      <c r="H37" s="108">
        <f t="shared" si="9"/>
        <v>49000</v>
      </c>
      <c r="I37" s="108">
        <f t="shared" si="9"/>
        <v>49000</v>
      </c>
      <c r="J37" s="108">
        <f t="shared" si="9"/>
        <v>49000</v>
      </c>
      <c r="K37" s="108">
        <f t="shared" si="9"/>
        <v>49000</v>
      </c>
      <c r="L37" s="108">
        <f t="shared" si="9"/>
        <v>49000</v>
      </c>
      <c r="M37" s="108">
        <f t="shared" si="9"/>
        <v>49000</v>
      </c>
      <c r="N37" s="108">
        <f t="shared" si="9"/>
        <v>49000</v>
      </c>
      <c r="O37" s="108">
        <f t="shared" si="9"/>
        <v>49000</v>
      </c>
      <c r="P37" s="108">
        <f t="shared" si="9"/>
        <v>49000</v>
      </c>
      <c r="Q37" s="108">
        <f>D37-SUM(F37:P37)</f>
        <v>46000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1683000</v>
      </c>
      <c r="E48" s="37"/>
      <c r="F48" s="115">
        <f>F25+F37+F45+F47</f>
        <v>190000</v>
      </c>
      <c r="G48" s="115">
        <f t="shared" ref="G48:R48" si="14">G25+G37+G45+G47</f>
        <v>130000</v>
      </c>
      <c r="H48" s="115">
        <f t="shared" si="14"/>
        <v>130000</v>
      </c>
      <c r="I48" s="115">
        <f t="shared" si="14"/>
        <v>130000</v>
      </c>
      <c r="J48" s="115">
        <f t="shared" si="14"/>
        <v>130000</v>
      </c>
      <c r="K48" s="115">
        <f t="shared" si="14"/>
        <v>132000</v>
      </c>
      <c r="L48" s="115">
        <f t="shared" si="14"/>
        <v>188000</v>
      </c>
      <c r="M48" s="115">
        <f t="shared" si="14"/>
        <v>130000</v>
      </c>
      <c r="N48" s="115">
        <f t="shared" si="14"/>
        <v>132000</v>
      </c>
      <c r="O48" s="115">
        <f t="shared" si="14"/>
        <v>130000</v>
      </c>
      <c r="P48" s="115">
        <f t="shared" si="14"/>
        <v>130000</v>
      </c>
      <c r="Q48" s="115">
        <f t="shared" si="14"/>
        <v>131000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43087000</v>
      </c>
      <c r="E49" s="114" t="s">
        <v>202</v>
      </c>
      <c r="F49" s="37">
        <f>ROUND($D49/12*3,-3)</f>
        <v>10772000</v>
      </c>
      <c r="G49" s="37">
        <f>ROUND($D49/12,-3)</f>
        <v>3591000</v>
      </c>
      <c r="H49" s="37">
        <f t="shared" ref="H49:N53" si="15">ROUND($D49/12,-3)</f>
        <v>3591000</v>
      </c>
      <c r="I49" s="37">
        <f t="shared" si="15"/>
        <v>3591000</v>
      </c>
      <c r="J49" s="37">
        <f t="shared" si="15"/>
        <v>3591000</v>
      </c>
      <c r="K49" s="37">
        <f t="shared" si="15"/>
        <v>3591000</v>
      </c>
      <c r="L49" s="37">
        <f t="shared" si="15"/>
        <v>3591000</v>
      </c>
      <c r="M49" s="37">
        <f t="shared" si="15"/>
        <v>3591000</v>
      </c>
      <c r="N49" s="37">
        <f t="shared" si="15"/>
        <v>3591000</v>
      </c>
      <c r="O49" s="37">
        <f>D49-SUM(F49:N49)</f>
        <v>3587000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2571000</v>
      </c>
      <c r="E51" s="114" t="s">
        <v>202</v>
      </c>
      <c r="F51" s="37">
        <f t="shared" si="16"/>
        <v>643000</v>
      </c>
      <c r="G51" s="37">
        <f t="shared" si="17"/>
        <v>214000</v>
      </c>
      <c r="H51" s="37">
        <f t="shared" si="15"/>
        <v>214000</v>
      </c>
      <c r="I51" s="37">
        <f t="shared" si="15"/>
        <v>214000</v>
      </c>
      <c r="J51" s="37">
        <f t="shared" si="15"/>
        <v>214000</v>
      </c>
      <c r="K51" s="37">
        <f t="shared" si="15"/>
        <v>214000</v>
      </c>
      <c r="L51" s="37">
        <f t="shared" si="15"/>
        <v>214000</v>
      </c>
      <c r="M51" s="37">
        <f t="shared" si="15"/>
        <v>214000</v>
      </c>
      <c r="N51" s="37">
        <f t="shared" si="15"/>
        <v>214000</v>
      </c>
      <c r="O51" s="37">
        <f t="shared" si="18"/>
        <v>216000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398000</v>
      </c>
      <c r="E52" s="114" t="s">
        <v>202</v>
      </c>
      <c r="F52" s="37">
        <f t="shared" si="16"/>
        <v>100000</v>
      </c>
      <c r="G52" s="37">
        <f t="shared" si="17"/>
        <v>33000</v>
      </c>
      <c r="H52" s="37">
        <f t="shared" si="15"/>
        <v>33000</v>
      </c>
      <c r="I52" s="37">
        <f t="shared" si="15"/>
        <v>33000</v>
      </c>
      <c r="J52" s="37">
        <f t="shared" si="15"/>
        <v>33000</v>
      </c>
      <c r="K52" s="37">
        <f t="shared" si="15"/>
        <v>33000</v>
      </c>
      <c r="L52" s="37">
        <f t="shared" si="15"/>
        <v>33000</v>
      </c>
      <c r="M52" s="37">
        <f t="shared" si="15"/>
        <v>33000</v>
      </c>
      <c r="N52" s="37">
        <f t="shared" si="15"/>
        <v>33000</v>
      </c>
      <c r="O52" s="37">
        <f t="shared" si="18"/>
        <v>34000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108000</v>
      </c>
      <c r="E54" s="37" t="s">
        <v>525</v>
      </c>
      <c r="F54" s="37">
        <f t="shared" ref="F54:P61" si="19">ROUND($D54/12,0)</f>
        <v>9000</v>
      </c>
      <c r="G54" s="37">
        <f t="shared" si="19"/>
        <v>9000</v>
      </c>
      <c r="H54" s="37">
        <f t="shared" si="19"/>
        <v>9000</v>
      </c>
      <c r="I54" s="37">
        <f t="shared" si="19"/>
        <v>9000</v>
      </c>
      <c r="J54" s="37">
        <f t="shared" si="19"/>
        <v>9000</v>
      </c>
      <c r="K54" s="37">
        <f t="shared" si="19"/>
        <v>9000</v>
      </c>
      <c r="L54" s="37">
        <f t="shared" si="19"/>
        <v>9000</v>
      </c>
      <c r="M54" s="37">
        <f t="shared" si="19"/>
        <v>9000</v>
      </c>
      <c r="N54" s="37">
        <f t="shared" si="19"/>
        <v>9000</v>
      </c>
      <c r="O54" s="37">
        <f t="shared" si="19"/>
        <v>9000</v>
      </c>
      <c r="P54" s="37">
        <f t="shared" si="19"/>
        <v>9000</v>
      </c>
      <c r="Q54" s="37">
        <f t="shared" ref="Q54:Q61" si="20">D54-SUM(F54:P54)</f>
        <v>9000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0</v>
      </c>
      <c r="E59" s="37" t="s">
        <v>525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908000</v>
      </c>
      <c r="E60" s="37" t="s">
        <v>195</v>
      </c>
      <c r="F60" s="37">
        <f>D60</f>
        <v>908000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5779000</v>
      </c>
      <c r="E62" s="37" t="s">
        <v>197</v>
      </c>
      <c r="F62" s="37"/>
      <c r="G62" s="37"/>
      <c r="H62" s="37"/>
      <c r="I62" s="37">
        <f>ROUND($D62/5,-3)</f>
        <v>1156000</v>
      </c>
      <c r="J62" s="37"/>
      <c r="K62" s="37"/>
      <c r="L62" s="37"/>
      <c r="M62" s="37"/>
      <c r="N62" s="37">
        <f>D62-I62</f>
        <v>4623000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5248000</v>
      </c>
      <c r="E63" s="37" t="s">
        <v>195</v>
      </c>
      <c r="F63" s="37">
        <f>D63</f>
        <v>5248000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4791000</v>
      </c>
      <c r="E64" s="114" t="s">
        <v>202</v>
      </c>
      <c r="F64" s="37">
        <f>ROUND($D64/12*3,-3)</f>
        <v>1198000</v>
      </c>
      <c r="G64" s="37">
        <f>ROUND($D64/12,-3)</f>
        <v>399000</v>
      </c>
      <c r="H64" s="37">
        <f t="shared" ref="H64:N66" si="21">ROUND($D64/12,-3)</f>
        <v>399000</v>
      </c>
      <c r="I64" s="37">
        <f t="shared" si="21"/>
        <v>399000</v>
      </c>
      <c r="J64" s="37">
        <f t="shared" si="21"/>
        <v>399000</v>
      </c>
      <c r="K64" s="37">
        <f t="shared" si="21"/>
        <v>399000</v>
      </c>
      <c r="L64" s="37">
        <f t="shared" si="21"/>
        <v>399000</v>
      </c>
      <c r="M64" s="37">
        <f t="shared" si="21"/>
        <v>399000</v>
      </c>
      <c r="N64" s="37">
        <f t="shared" si="21"/>
        <v>399000</v>
      </c>
      <c r="O64" s="37">
        <f>D64-SUM(F64:N64)</f>
        <v>401000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1190000</v>
      </c>
      <c r="E65" s="114" t="s">
        <v>202</v>
      </c>
      <c r="F65" s="37">
        <f t="shared" ref="F65:F66" si="22">ROUND($D65/12*3,-3)</f>
        <v>298000</v>
      </c>
      <c r="G65" s="37">
        <f t="shared" ref="G65:G66" si="23">ROUND($D65/12,-3)</f>
        <v>99000</v>
      </c>
      <c r="H65" s="37">
        <f t="shared" si="21"/>
        <v>99000</v>
      </c>
      <c r="I65" s="37">
        <f t="shared" si="21"/>
        <v>99000</v>
      </c>
      <c r="J65" s="37">
        <f t="shared" si="21"/>
        <v>99000</v>
      </c>
      <c r="K65" s="37">
        <f t="shared" si="21"/>
        <v>99000</v>
      </c>
      <c r="L65" s="37">
        <f t="shared" si="21"/>
        <v>99000</v>
      </c>
      <c r="M65" s="37">
        <f t="shared" si="21"/>
        <v>99000</v>
      </c>
      <c r="N65" s="37">
        <f t="shared" si="21"/>
        <v>99000</v>
      </c>
      <c r="O65" s="37">
        <f t="shared" ref="O65:O66" si="24">D65-SUM(F65:N65)</f>
        <v>100000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2798000</v>
      </c>
      <c r="E66" s="114" t="s">
        <v>202</v>
      </c>
      <c r="F66" s="37">
        <f t="shared" si="22"/>
        <v>700000</v>
      </c>
      <c r="G66" s="37">
        <f t="shared" si="23"/>
        <v>233000</v>
      </c>
      <c r="H66" s="37">
        <f t="shared" si="21"/>
        <v>233000</v>
      </c>
      <c r="I66" s="37">
        <f t="shared" si="21"/>
        <v>233000</v>
      </c>
      <c r="J66" s="37">
        <f t="shared" si="21"/>
        <v>233000</v>
      </c>
      <c r="K66" s="37">
        <f t="shared" si="21"/>
        <v>233000</v>
      </c>
      <c r="L66" s="37">
        <f t="shared" si="21"/>
        <v>233000</v>
      </c>
      <c r="M66" s="37">
        <f t="shared" si="21"/>
        <v>233000</v>
      </c>
      <c r="N66" s="37">
        <f t="shared" si="21"/>
        <v>233000</v>
      </c>
      <c r="O66" s="37">
        <f t="shared" si="24"/>
        <v>234000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86000</v>
      </c>
      <c r="E67" s="37" t="s">
        <v>196</v>
      </c>
      <c r="F67" s="37"/>
      <c r="G67" s="37"/>
      <c r="H67" s="37">
        <f>D67</f>
        <v>86000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288000</v>
      </c>
      <c r="E68" s="37" t="s">
        <v>195</v>
      </c>
      <c r="F68" s="37">
        <f>D68</f>
        <v>288000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67252000</v>
      </c>
      <c r="E70" s="108"/>
      <c r="F70" s="108">
        <f t="shared" ref="F70:P70" si="25">ROUND(SUM(F49:F69),-3)</f>
        <v>20164000</v>
      </c>
      <c r="G70" s="108">
        <f t="shared" si="25"/>
        <v>4578000</v>
      </c>
      <c r="H70" s="108">
        <f t="shared" si="25"/>
        <v>4664000</v>
      </c>
      <c r="I70" s="108">
        <f t="shared" si="25"/>
        <v>5734000</v>
      </c>
      <c r="J70" s="108">
        <f t="shared" si="25"/>
        <v>4578000</v>
      </c>
      <c r="K70" s="108">
        <f t="shared" si="25"/>
        <v>4578000</v>
      </c>
      <c r="L70" s="108">
        <f t="shared" si="25"/>
        <v>4578000</v>
      </c>
      <c r="M70" s="108">
        <f t="shared" si="25"/>
        <v>4578000</v>
      </c>
      <c r="N70" s="108">
        <f t="shared" si="25"/>
        <v>9201000</v>
      </c>
      <c r="O70" s="108">
        <f t="shared" si="25"/>
        <v>4581000</v>
      </c>
      <c r="P70" s="108">
        <f t="shared" si="25"/>
        <v>9000</v>
      </c>
      <c r="Q70" s="108">
        <f>D70-SUM(F70:P70)</f>
        <v>9000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5233000</v>
      </c>
      <c r="E72" s="114" t="s">
        <v>202</v>
      </c>
      <c r="F72" s="37">
        <f>ROUND($D72/12*3,-3)</f>
        <v>1308000</v>
      </c>
      <c r="G72" s="37">
        <f>ROUND($D72/12,-3)</f>
        <v>436000</v>
      </c>
      <c r="H72" s="37">
        <f t="shared" ref="H72:N75" si="26">ROUND($D72/12,-3)</f>
        <v>436000</v>
      </c>
      <c r="I72" s="37">
        <f t="shared" si="26"/>
        <v>436000</v>
      </c>
      <c r="J72" s="37">
        <f t="shared" si="26"/>
        <v>436000</v>
      </c>
      <c r="K72" s="37">
        <f t="shared" si="26"/>
        <v>436000</v>
      </c>
      <c r="L72" s="37">
        <f t="shared" si="26"/>
        <v>436000</v>
      </c>
      <c r="M72" s="37">
        <f t="shared" si="26"/>
        <v>436000</v>
      </c>
      <c r="N72" s="37">
        <f t="shared" si="26"/>
        <v>436000</v>
      </c>
      <c r="O72" s="37">
        <f>D72-SUM(F72:N72)</f>
        <v>437000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935000</v>
      </c>
      <c r="E75" s="114" t="s">
        <v>202</v>
      </c>
      <c r="F75" s="37">
        <f>ROUND($D75/12*3,-3)</f>
        <v>234000</v>
      </c>
      <c r="G75" s="37">
        <f>ROUND($D75/12,-3)</f>
        <v>78000</v>
      </c>
      <c r="H75" s="37">
        <f t="shared" si="26"/>
        <v>78000</v>
      </c>
      <c r="I75" s="37">
        <f t="shared" si="26"/>
        <v>78000</v>
      </c>
      <c r="J75" s="37">
        <f t="shared" si="26"/>
        <v>78000</v>
      </c>
      <c r="K75" s="37">
        <f t="shared" si="26"/>
        <v>78000</v>
      </c>
      <c r="L75" s="37">
        <f t="shared" si="26"/>
        <v>78000</v>
      </c>
      <c r="M75" s="37">
        <f t="shared" si="26"/>
        <v>78000</v>
      </c>
      <c r="N75" s="37">
        <f t="shared" si="26"/>
        <v>78000</v>
      </c>
      <c r="O75" s="37">
        <f>D75-SUM(F75:N75)</f>
        <v>77000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6168000</v>
      </c>
      <c r="E76" s="108"/>
      <c r="F76" s="108">
        <f>ROUND(SUM(F71:F75),-3)</f>
        <v>1542000</v>
      </c>
      <c r="G76" s="108">
        <f t="shared" ref="G76:N76" si="27">ROUND(SUM(G71:G75),-3)</f>
        <v>514000</v>
      </c>
      <c r="H76" s="108">
        <f t="shared" si="27"/>
        <v>514000</v>
      </c>
      <c r="I76" s="108">
        <f t="shared" si="27"/>
        <v>514000</v>
      </c>
      <c r="J76" s="108">
        <f t="shared" si="27"/>
        <v>514000</v>
      </c>
      <c r="K76" s="108">
        <f t="shared" si="27"/>
        <v>514000</v>
      </c>
      <c r="L76" s="108">
        <f t="shared" si="27"/>
        <v>514000</v>
      </c>
      <c r="M76" s="108">
        <f t="shared" si="27"/>
        <v>514000</v>
      </c>
      <c r="N76" s="108">
        <f t="shared" si="27"/>
        <v>514000</v>
      </c>
      <c r="O76" s="108">
        <f>D76-SUM(F76:N76)</f>
        <v>514000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642000</v>
      </c>
      <c r="E77" s="37" t="s">
        <v>681</v>
      </c>
      <c r="F77" s="224"/>
      <c r="G77" s="224"/>
      <c r="H77" s="224">
        <f>ROUND($D77/2,-3)</f>
        <v>321000</v>
      </c>
      <c r="I77" s="224"/>
      <c r="J77" s="224"/>
      <c r="K77" s="224"/>
      <c r="L77" s="224"/>
      <c r="M77" s="224"/>
      <c r="N77" s="224">
        <f>D77-H77</f>
        <v>321000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74062000</v>
      </c>
      <c r="E78" s="227"/>
      <c r="F78" s="227">
        <f>F76+F70+F77</f>
        <v>21706000</v>
      </c>
      <c r="G78" s="227">
        <f t="shared" ref="G78:Q78" si="29">G76+G70+G77</f>
        <v>5092000</v>
      </c>
      <c r="H78" s="227">
        <f t="shared" si="29"/>
        <v>5499000</v>
      </c>
      <c r="I78" s="227">
        <f t="shared" si="29"/>
        <v>6248000</v>
      </c>
      <c r="J78" s="227">
        <f t="shared" si="29"/>
        <v>5092000</v>
      </c>
      <c r="K78" s="227">
        <f t="shared" si="29"/>
        <v>5092000</v>
      </c>
      <c r="L78" s="227">
        <f t="shared" si="29"/>
        <v>5092000</v>
      </c>
      <c r="M78" s="227">
        <f t="shared" si="29"/>
        <v>5092000</v>
      </c>
      <c r="N78" s="227">
        <f t="shared" si="29"/>
        <v>10036000</v>
      </c>
      <c r="O78" s="227">
        <f t="shared" si="29"/>
        <v>5095000</v>
      </c>
      <c r="P78" s="227">
        <f t="shared" si="29"/>
        <v>9000</v>
      </c>
      <c r="Q78" s="227">
        <f t="shared" si="29"/>
        <v>9000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75745000</v>
      </c>
      <c r="E87" s="37"/>
      <c r="F87" s="37">
        <f>F88+F89+F90+F91</f>
        <v>21896000</v>
      </c>
      <c r="G87" s="37">
        <f t="shared" ref="G87:Q87" si="32">G88+G89+G90+G91</f>
        <v>5222000</v>
      </c>
      <c r="H87" s="37">
        <f t="shared" si="32"/>
        <v>5629000</v>
      </c>
      <c r="I87" s="37">
        <f t="shared" si="32"/>
        <v>6378000</v>
      </c>
      <c r="J87" s="37">
        <f t="shared" si="32"/>
        <v>5222000</v>
      </c>
      <c r="K87" s="37">
        <f t="shared" si="32"/>
        <v>5224000</v>
      </c>
      <c r="L87" s="37">
        <f t="shared" si="32"/>
        <v>5280000</v>
      </c>
      <c r="M87" s="37">
        <f t="shared" si="32"/>
        <v>5222000</v>
      </c>
      <c r="N87" s="37">
        <f t="shared" si="32"/>
        <v>10168000</v>
      </c>
      <c r="O87" s="37">
        <f t="shared" si="32"/>
        <v>5225000</v>
      </c>
      <c r="P87" s="37">
        <f t="shared" si="32"/>
        <v>139000</v>
      </c>
      <c r="Q87" s="37">
        <f t="shared" si="32"/>
        <v>140000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22000</v>
      </c>
      <c r="E88" s="108" t="s">
        <v>193</v>
      </c>
      <c r="F88" s="108">
        <f>ROUND($D88/2,-3)</f>
        <v>11000</v>
      </c>
      <c r="G88" s="108"/>
      <c r="H88" s="108"/>
      <c r="I88" s="108"/>
      <c r="J88" s="108"/>
      <c r="K88" s="108"/>
      <c r="L88" s="108">
        <f>D88-F88</f>
        <v>11000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2000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1000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75721000</v>
      </c>
      <c r="E91" s="108"/>
      <c r="F91" s="108">
        <f>F92+F93+F94+F95</f>
        <v>21885000</v>
      </c>
      <c r="G91" s="108">
        <f t="shared" ref="G91:Q91" si="34">G92+G93+G94+G95</f>
        <v>5222000</v>
      </c>
      <c r="H91" s="108">
        <f t="shared" si="34"/>
        <v>5629000</v>
      </c>
      <c r="I91" s="108">
        <f t="shared" si="34"/>
        <v>6378000</v>
      </c>
      <c r="J91" s="108">
        <f t="shared" si="34"/>
        <v>5222000</v>
      </c>
      <c r="K91" s="108">
        <f t="shared" si="34"/>
        <v>5224000</v>
      </c>
      <c r="L91" s="108">
        <f t="shared" si="34"/>
        <v>5268000</v>
      </c>
      <c r="M91" s="108">
        <f t="shared" si="34"/>
        <v>5222000</v>
      </c>
      <c r="N91" s="108">
        <f t="shared" si="34"/>
        <v>10168000</v>
      </c>
      <c r="O91" s="108">
        <f t="shared" si="34"/>
        <v>5225000</v>
      </c>
      <c r="P91" s="108">
        <f t="shared" si="34"/>
        <v>139000</v>
      </c>
      <c r="Q91" s="108">
        <f t="shared" si="34"/>
        <v>139000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6200000</v>
      </c>
      <c r="E92" s="114" t="s">
        <v>537</v>
      </c>
      <c r="F92" s="37">
        <f>ROUND($D92/12*5,-3)</f>
        <v>2583000</v>
      </c>
      <c r="G92" s="37">
        <f>ROUND($D92/12,-3)</f>
        <v>517000</v>
      </c>
      <c r="H92" s="37">
        <f t="shared" ref="H92:L92" si="35">ROUND($D92/12,-3)</f>
        <v>517000</v>
      </c>
      <c r="I92" s="37">
        <f t="shared" si="35"/>
        <v>517000</v>
      </c>
      <c r="J92" s="37">
        <f t="shared" si="35"/>
        <v>517000</v>
      </c>
      <c r="K92" s="37">
        <f t="shared" si="35"/>
        <v>517000</v>
      </c>
      <c r="L92" s="37">
        <f t="shared" si="35"/>
        <v>517000</v>
      </c>
      <c r="M92" s="37">
        <f>D92-SUM(F92:L92)</f>
        <v>515000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330000</v>
      </c>
      <c r="E93" s="109" t="s">
        <v>227</v>
      </c>
      <c r="F93" s="37">
        <f>ROUND($D93/12,-3)</f>
        <v>28000</v>
      </c>
      <c r="G93" s="37">
        <f t="shared" ref="G93:P93" si="36">ROUND($D93/12,-3)</f>
        <v>28000</v>
      </c>
      <c r="H93" s="37">
        <f t="shared" si="36"/>
        <v>28000</v>
      </c>
      <c r="I93" s="37">
        <f t="shared" si="36"/>
        <v>28000</v>
      </c>
      <c r="J93" s="37">
        <f t="shared" si="36"/>
        <v>28000</v>
      </c>
      <c r="K93" s="37">
        <f t="shared" si="36"/>
        <v>28000</v>
      </c>
      <c r="L93" s="37">
        <f t="shared" si="36"/>
        <v>28000</v>
      </c>
      <c r="M93" s="37">
        <f t="shared" si="36"/>
        <v>28000</v>
      </c>
      <c r="N93" s="37">
        <f t="shared" si="36"/>
        <v>28000</v>
      </c>
      <c r="O93" s="37">
        <f t="shared" si="36"/>
        <v>28000</v>
      </c>
      <c r="P93" s="37">
        <f t="shared" si="36"/>
        <v>28000</v>
      </c>
      <c r="Q93" s="37">
        <f>D93-SUM(F93:P93)</f>
        <v>22000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658000</v>
      </c>
      <c r="E94" s="110" t="s">
        <v>229</v>
      </c>
      <c r="F94" s="37"/>
      <c r="G94" s="37"/>
      <c r="H94" s="37">
        <f>ROUND($D94/2,-3)</f>
        <v>329000</v>
      </c>
      <c r="I94" s="37"/>
      <c r="J94" s="37"/>
      <c r="K94" s="37"/>
      <c r="L94" s="37"/>
      <c r="M94" s="37"/>
      <c r="N94" s="37"/>
      <c r="O94" s="37">
        <f>D94-H94</f>
        <v>329000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68533000</v>
      </c>
      <c r="E95" s="37"/>
      <c r="F95" s="37">
        <f>F2+F86-F88-F89-F90-F92-F93-F94</f>
        <v>19274000</v>
      </c>
      <c r="G95" s="37">
        <f t="shared" ref="G95:Q95" si="37">G2-G88-G89-G90-G92-G93-G94</f>
        <v>4677000</v>
      </c>
      <c r="H95" s="37">
        <f t="shared" si="37"/>
        <v>4755000</v>
      </c>
      <c r="I95" s="37">
        <f t="shared" si="37"/>
        <v>5833000</v>
      </c>
      <c r="J95" s="37">
        <f t="shared" si="37"/>
        <v>4677000</v>
      </c>
      <c r="K95" s="37">
        <f t="shared" si="37"/>
        <v>4679000</v>
      </c>
      <c r="L95" s="37">
        <f t="shared" si="37"/>
        <v>4723000</v>
      </c>
      <c r="M95" s="37">
        <f t="shared" si="37"/>
        <v>4679000</v>
      </c>
      <c r="N95" s="37">
        <f t="shared" si="37"/>
        <v>10140000</v>
      </c>
      <c r="O95" s="37">
        <f t="shared" si="37"/>
        <v>4868000</v>
      </c>
      <c r="P95" s="37">
        <f t="shared" si="37"/>
        <v>111000</v>
      </c>
      <c r="Q95" s="37">
        <f t="shared" si="37"/>
        <v>117000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800000</v>
      </c>
    </row>
    <row r="99" spans="2:17" ht="32.4">
      <c r="B99" s="72" t="s">
        <v>235</v>
      </c>
      <c r="D99" s="30">
        <f>HLOOKUP(D1,縣庫撥款收入明細表!H:DD,5,FALSE)</f>
        <v>4230000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1170000</v>
      </c>
    </row>
    <row r="102" spans="2:17" ht="32.4">
      <c r="B102" s="71" t="s">
        <v>238</v>
      </c>
      <c r="D102" s="30">
        <f>HLOOKUP(D1,縣庫撥款收入明細表!H:DD,16,FALSE)</f>
        <v>310000</v>
      </c>
    </row>
    <row r="103" spans="2:17" ht="32.4">
      <c r="B103" s="72" t="s">
        <v>239</v>
      </c>
      <c r="D103" s="30">
        <f>HLOOKUP(D1,縣庫撥款收入明細表!H:DD,17,FALSE)</f>
        <v>0</v>
      </c>
    </row>
    <row r="104" spans="2:17" ht="32.4">
      <c r="B104" s="76" t="s">
        <v>240</v>
      </c>
      <c r="D104" s="30">
        <f>HLOOKUP(D1,縣庫撥款收入明細表!H:DD,18,FALSE)</f>
        <v>658000</v>
      </c>
    </row>
    <row r="105" spans="2:17" ht="32.4">
      <c r="B105" s="72" t="s">
        <v>380</v>
      </c>
      <c r="D105" s="30">
        <f>HLOOKUP(D1,縣庫撥款收入明細表!H:DD,19,FALSE)</f>
        <v>0</v>
      </c>
    </row>
    <row r="106" spans="2:17" ht="32.4">
      <c r="B106" s="71" t="s">
        <v>241</v>
      </c>
      <c r="D106" s="30">
        <f>HLOOKUP(D1,縣庫撥款收入明細表!H:DD,20,FALSE)</f>
        <v>20000</v>
      </c>
    </row>
    <row r="107" spans="2:17" ht="32.4">
      <c r="B107" s="77" t="s">
        <v>242</v>
      </c>
      <c r="D107" s="30">
        <f>HLOOKUP(D1,縣庫撥款收入明細表!H:DD,21,FALSE)</f>
        <v>68533000</v>
      </c>
    </row>
    <row r="108" spans="2:17" ht="16.5" customHeight="1"/>
    <row r="109" spans="2:17" ht="16.5" customHeight="1">
      <c r="B109" s="4" t="s">
        <v>682</v>
      </c>
      <c r="D109" s="30">
        <f>D91-D76</f>
        <v>69553000</v>
      </c>
      <c r="F109" s="30">
        <f>F91-F76</f>
        <v>20343000</v>
      </c>
      <c r="G109" s="30">
        <f t="shared" ref="G109:Q109" si="38">G91-G76</f>
        <v>4708000</v>
      </c>
      <c r="H109" s="30">
        <f t="shared" si="38"/>
        <v>5115000</v>
      </c>
      <c r="I109" s="30">
        <f t="shared" si="38"/>
        <v>5864000</v>
      </c>
      <c r="J109" s="30">
        <f t="shared" si="38"/>
        <v>4708000</v>
      </c>
      <c r="K109" s="30">
        <f t="shared" si="38"/>
        <v>4710000</v>
      </c>
      <c r="L109" s="30">
        <f t="shared" si="38"/>
        <v>4754000</v>
      </c>
      <c r="M109" s="30">
        <f t="shared" si="38"/>
        <v>4708000</v>
      </c>
      <c r="N109" s="30">
        <f t="shared" si="38"/>
        <v>9654000</v>
      </c>
      <c r="O109" s="30">
        <f t="shared" si="38"/>
        <v>4711000</v>
      </c>
      <c r="P109" s="30">
        <f t="shared" si="38"/>
        <v>139000</v>
      </c>
      <c r="Q109" s="30">
        <f t="shared" si="38"/>
        <v>139000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8:C78"/>
    <mergeCell ref="A79:A83"/>
    <mergeCell ref="A1:B1"/>
    <mergeCell ref="A2:B2"/>
    <mergeCell ref="A3:A48"/>
    <mergeCell ref="A49:A70"/>
    <mergeCell ref="A71:A76"/>
  </mergeCells>
  <phoneticPr fontId="3" type="noConversion"/>
  <conditionalFormatting sqref="F95:Q95">
    <cfRule type="cellIs" dxfId="176" priority="1" operator="lessThan">
      <formula>0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zoomScale="85" zoomScaleNormal="85"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615</v>
      </c>
      <c r="D1" s="240" t="str">
        <f>VLOOKUP(C1,學校編號!A:B,2,FALSE)</f>
        <v>615康樂國小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28201000</v>
      </c>
      <c r="E2" s="37"/>
      <c r="F2" s="37">
        <f>F48+F70+F76+F77+F83</f>
        <v>8098000</v>
      </c>
      <c r="G2" s="37">
        <f t="shared" ref="G2:Q2" si="0">G48+G70+G76+G77+G83</f>
        <v>1998000</v>
      </c>
      <c r="H2" s="37">
        <f t="shared" si="0"/>
        <v>2209000</v>
      </c>
      <c r="I2" s="37">
        <f t="shared" si="0"/>
        <v>2312000</v>
      </c>
      <c r="J2" s="37">
        <f t="shared" si="0"/>
        <v>1998000</v>
      </c>
      <c r="K2" s="37">
        <f t="shared" si="0"/>
        <v>2000000</v>
      </c>
      <c r="L2" s="37">
        <f t="shared" si="0"/>
        <v>2015000</v>
      </c>
      <c r="M2" s="37">
        <f t="shared" si="0"/>
        <v>1998000</v>
      </c>
      <c r="N2" s="37">
        <f t="shared" si="0"/>
        <v>3441000</v>
      </c>
      <c r="O2" s="37">
        <f t="shared" si="0"/>
        <v>2002000</v>
      </c>
      <c r="P2" s="37">
        <f t="shared" si="0"/>
        <v>66000</v>
      </c>
      <c r="Q2" s="37">
        <f t="shared" si="0"/>
        <v>64000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30000</v>
      </c>
      <c r="E15" s="37" t="s">
        <v>193</v>
      </c>
      <c r="F15" s="37">
        <f>ROUND($D15/2,-3)</f>
        <v>15000</v>
      </c>
      <c r="G15" s="37"/>
      <c r="H15" s="37"/>
      <c r="I15" s="37"/>
      <c r="J15" s="37"/>
      <c r="K15" s="37"/>
      <c r="L15" s="37">
        <f>D15-F15</f>
        <v>15000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496000</v>
      </c>
      <c r="E25" s="108"/>
      <c r="F25" s="108">
        <f>ROUND(SUM(F3:F24),-3)</f>
        <v>54000</v>
      </c>
      <c r="G25" s="108">
        <f t="shared" ref="G25:P25" si="5">ROUND(SUM(G3:G24),-3)</f>
        <v>39000</v>
      </c>
      <c r="H25" s="108">
        <f t="shared" si="5"/>
        <v>39000</v>
      </c>
      <c r="I25" s="108">
        <f t="shared" si="5"/>
        <v>39000</v>
      </c>
      <c r="J25" s="108">
        <f t="shared" si="5"/>
        <v>39000</v>
      </c>
      <c r="K25" s="108">
        <f t="shared" si="5"/>
        <v>39000</v>
      </c>
      <c r="L25" s="108">
        <f t="shared" si="5"/>
        <v>54000</v>
      </c>
      <c r="M25" s="108">
        <f t="shared" si="5"/>
        <v>39000</v>
      </c>
      <c r="N25" s="108">
        <f t="shared" si="5"/>
        <v>39000</v>
      </c>
      <c r="O25" s="108">
        <f t="shared" si="5"/>
        <v>39000</v>
      </c>
      <c r="P25" s="108">
        <f t="shared" si="5"/>
        <v>39000</v>
      </c>
      <c r="Q25" s="108">
        <f t="shared" ref="Q25:Q33" si="6">D25-SUM(F25:P25)</f>
        <v>37000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20000</v>
      </c>
      <c r="E29" s="37" t="s">
        <v>525</v>
      </c>
      <c r="F29" s="37">
        <f t="shared" si="8"/>
        <v>1667</v>
      </c>
      <c r="G29" s="37">
        <f t="shared" si="8"/>
        <v>1667</v>
      </c>
      <c r="H29" s="37">
        <f t="shared" si="8"/>
        <v>1667</v>
      </c>
      <c r="I29" s="37">
        <f t="shared" si="8"/>
        <v>1667</v>
      </c>
      <c r="J29" s="37">
        <f t="shared" si="8"/>
        <v>1667</v>
      </c>
      <c r="K29" s="37">
        <f t="shared" si="8"/>
        <v>1667</v>
      </c>
      <c r="L29" s="37">
        <f t="shared" si="8"/>
        <v>1667</v>
      </c>
      <c r="M29" s="37">
        <f t="shared" si="8"/>
        <v>1667</v>
      </c>
      <c r="N29" s="37">
        <f t="shared" si="8"/>
        <v>1667</v>
      </c>
      <c r="O29" s="37">
        <f t="shared" si="8"/>
        <v>1667</v>
      </c>
      <c r="P29" s="37">
        <f t="shared" si="8"/>
        <v>1667</v>
      </c>
      <c r="Q29" s="37">
        <f t="shared" si="6"/>
        <v>1663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17000</v>
      </c>
      <c r="E30" s="37" t="s">
        <v>525</v>
      </c>
      <c r="F30" s="37">
        <f t="shared" si="8"/>
        <v>1417</v>
      </c>
      <c r="G30" s="37">
        <f t="shared" si="8"/>
        <v>1417</v>
      </c>
      <c r="H30" s="37">
        <f t="shared" si="8"/>
        <v>1417</v>
      </c>
      <c r="I30" s="37">
        <f t="shared" si="8"/>
        <v>1417</v>
      </c>
      <c r="J30" s="37">
        <f t="shared" si="8"/>
        <v>1417</v>
      </c>
      <c r="K30" s="37">
        <f t="shared" si="8"/>
        <v>1417</v>
      </c>
      <c r="L30" s="37">
        <f t="shared" si="8"/>
        <v>1417</v>
      </c>
      <c r="M30" s="37">
        <f t="shared" si="8"/>
        <v>1417</v>
      </c>
      <c r="N30" s="37">
        <f t="shared" si="8"/>
        <v>1417</v>
      </c>
      <c r="O30" s="37">
        <f t="shared" si="8"/>
        <v>1417</v>
      </c>
      <c r="P30" s="37">
        <f t="shared" si="8"/>
        <v>1417</v>
      </c>
      <c r="Q30" s="37">
        <f t="shared" si="6"/>
        <v>1413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9000</v>
      </c>
      <c r="E31" s="37" t="s">
        <v>525</v>
      </c>
      <c r="F31" s="37">
        <f t="shared" si="8"/>
        <v>750</v>
      </c>
      <c r="G31" s="37">
        <f t="shared" si="8"/>
        <v>750</v>
      </c>
      <c r="H31" s="37">
        <f t="shared" si="8"/>
        <v>750</v>
      </c>
      <c r="I31" s="37">
        <f t="shared" si="8"/>
        <v>750</v>
      </c>
      <c r="J31" s="37">
        <f t="shared" si="8"/>
        <v>750</v>
      </c>
      <c r="K31" s="37">
        <f t="shared" si="8"/>
        <v>750</v>
      </c>
      <c r="L31" s="37">
        <f t="shared" si="8"/>
        <v>750</v>
      </c>
      <c r="M31" s="37">
        <f t="shared" si="8"/>
        <v>750</v>
      </c>
      <c r="N31" s="37">
        <f t="shared" si="8"/>
        <v>750</v>
      </c>
      <c r="O31" s="37">
        <f t="shared" si="8"/>
        <v>750</v>
      </c>
      <c r="P31" s="37">
        <f t="shared" si="8"/>
        <v>750</v>
      </c>
      <c r="Q31" s="37">
        <f t="shared" si="6"/>
        <v>750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5000</v>
      </c>
      <c r="E36" s="37" t="s">
        <v>193</v>
      </c>
      <c r="F36" s="37">
        <f>ROUND($D36/2,-3)</f>
        <v>3000</v>
      </c>
      <c r="G36" s="37"/>
      <c r="H36" s="37"/>
      <c r="I36" s="37"/>
      <c r="J36" s="37"/>
      <c r="K36" s="37"/>
      <c r="L36" s="37">
        <f>D36-F36</f>
        <v>2000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298000</v>
      </c>
      <c r="E37" s="108"/>
      <c r="F37" s="108">
        <f t="shared" ref="F37:P37" si="9">ROUND(SUM(F26:F36),-3)</f>
        <v>27000</v>
      </c>
      <c r="G37" s="108">
        <f t="shared" si="9"/>
        <v>24000</v>
      </c>
      <c r="H37" s="108">
        <f t="shared" si="9"/>
        <v>24000</v>
      </c>
      <c r="I37" s="108">
        <f t="shared" si="9"/>
        <v>24000</v>
      </c>
      <c r="J37" s="108">
        <f t="shared" si="9"/>
        <v>24000</v>
      </c>
      <c r="K37" s="108">
        <f t="shared" si="9"/>
        <v>24000</v>
      </c>
      <c r="L37" s="108">
        <f t="shared" si="9"/>
        <v>26000</v>
      </c>
      <c r="M37" s="108">
        <f t="shared" si="9"/>
        <v>24000</v>
      </c>
      <c r="N37" s="108">
        <f t="shared" si="9"/>
        <v>24000</v>
      </c>
      <c r="O37" s="108">
        <f t="shared" si="9"/>
        <v>24000</v>
      </c>
      <c r="P37" s="108">
        <f t="shared" si="9"/>
        <v>24000</v>
      </c>
      <c r="Q37" s="108">
        <f>D37-SUM(F37:P37)</f>
        <v>29000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800000</v>
      </c>
      <c r="E48" s="37"/>
      <c r="F48" s="115">
        <f>F25+F37+F45+F47</f>
        <v>83000</v>
      </c>
      <c r="G48" s="115">
        <f t="shared" ref="G48:R48" si="14">G25+G37+G45+G47</f>
        <v>63000</v>
      </c>
      <c r="H48" s="115">
        <f t="shared" si="14"/>
        <v>63000</v>
      </c>
      <c r="I48" s="115">
        <f t="shared" si="14"/>
        <v>63000</v>
      </c>
      <c r="J48" s="115">
        <f t="shared" si="14"/>
        <v>63000</v>
      </c>
      <c r="K48" s="115">
        <f t="shared" si="14"/>
        <v>65000</v>
      </c>
      <c r="L48" s="115">
        <f t="shared" si="14"/>
        <v>80000</v>
      </c>
      <c r="M48" s="115">
        <f t="shared" si="14"/>
        <v>63000</v>
      </c>
      <c r="N48" s="115">
        <f t="shared" si="14"/>
        <v>65000</v>
      </c>
      <c r="O48" s="115">
        <f t="shared" si="14"/>
        <v>63000</v>
      </c>
      <c r="P48" s="115">
        <f t="shared" si="14"/>
        <v>63000</v>
      </c>
      <c r="Q48" s="115">
        <f t="shared" si="14"/>
        <v>66000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13937000</v>
      </c>
      <c r="E49" s="114" t="s">
        <v>202</v>
      </c>
      <c r="F49" s="37">
        <f>ROUND($D49/12*3,-3)</f>
        <v>3484000</v>
      </c>
      <c r="G49" s="37">
        <f>ROUND($D49/12,-3)</f>
        <v>1161000</v>
      </c>
      <c r="H49" s="37">
        <f t="shared" ref="H49:N53" si="15">ROUND($D49/12,-3)</f>
        <v>1161000</v>
      </c>
      <c r="I49" s="37">
        <f t="shared" si="15"/>
        <v>1161000</v>
      </c>
      <c r="J49" s="37">
        <f t="shared" si="15"/>
        <v>1161000</v>
      </c>
      <c r="K49" s="37">
        <f t="shared" si="15"/>
        <v>1161000</v>
      </c>
      <c r="L49" s="37">
        <f t="shared" si="15"/>
        <v>1161000</v>
      </c>
      <c r="M49" s="37">
        <f t="shared" si="15"/>
        <v>1161000</v>
      </c>
      <c r="N49" s="37">
        <f t="shared" si="15"/>
        <v>1161000</v>
      </c>
      <c r="O49" s="37">
        <f>D49-SUM(F49:N49)</f>
        <v>1165000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406000</v>
      </c>
      <c r="E50" s="114" t="s">
        <v>202</v>
      </c>
      <c r="F50" s="37">
        <f t="shared" ref="F50:F53" si="16">ROUND($D50/12*3,-3)</f>
        <v>102000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si="15"/>
        <v>34000</v>
      </c>
      <c r="N50" s="37">
        <f t="shared" si="15"/>
        <v>34000</v>
      </c>
      <c r="O50" s="37">
        <f t="shared" ref="O50:O53" si="18">D50-SUM(F50:N50)</f>
        <v>32000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1349000</v>
      </c>
      <c r="E51" s="114" t="s">
        <v>202</v>
      </c>
      <c r="F51" s="37">
        <f t="shared" si="16"/>
        <v>337000</v>
      </c>
      <c r="G51" s="37">
        <f t="shared" si="17"/>
        <v>112000</v>
      </c>
      <c r="H51" s="37">
        <f t="shared" si="15"/>
        <v>112000</v>
      </c>
      <c r="I51" s="37">
        <f t="shared" si="15"/>
        <v>112000</v>
      </c>
      <c r="J51" s="37">
        <f t="shared" si="15"/>
        <v>112000</v>
      </c>
      <c r="K51" s="37">
        <f t="shared" si="15"/>
        <v>112000</v>
      </c>
      <c r="L51" s="37">
        <f t="shared" si="15"/>
        <v>112000</v>
      </c>
      <c r="M51" s="37">
        <f t="shared" si="15"/>
        <v>112000</v>
      </c>
      <c r="N51" s="37">
        <f t="shared" si="15"/>
        <v>112000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0</v>
      </c>
      <c r="E59" s="37" t="s">
        <v>525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339000</v>
      </c>
      <c r="E60" s="37" t="s">
        <v>195</v>
      </c>
      <c r="F60" s="37">
        <f>D60</f>
        <v>339000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1572000</v>
      </c>
      <c r="E62" s="37" t="s">
        <v>197</v>
      </c>
      <c r="F62" s="37"/>
      <c r="G62" s="37"/>
      <c r="H62" s="37"/>
      <c r="I62" s="37">
        <f>ROUND($D62/5,-3)</f>
        <v>314000</v>
      </c>
      <c r="J62" s="37"/>
      <c r="K62" s="37"/>
      <c r="L62" s="37"/>
      <c r="M62" s="37"/>
      <c r="N62" s="37">
        <f>D62-I62</f>
        <v>1258000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1759000</v>
      </c>
      <c r="E63" s="37" t="s">
        <v>195</v>
      </c>
      <c r="F63" s="37">
        <f>D63</f>
        <v>1759000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1496000</v>
      </c>
      <c r="E64" s="114" t="s">
        <v>202</v>
      </c>
      <c r="F64" s="37">
        <f>ROUND($D64/12*3,-3)</f>
        <v>374000</v>
      </c>
      <c r="G64" s="37">
        <f>ROUND($D64/12,-3)</f>
        <v>125000</v>
      </c>
      <c r="H64" s="37">
        <f t="shared" ref="H64:N66" si="21">ROUND($D64/12,-3)</f>
        <v>125000</v>
      </c>
      <c r="I64" s="37">
        <f t="shared" si="21"/>
        <v>125000</v>
      </c>
      <c r="J64" s="37">
        <f t="shared" si="21"/>
        <v>125000</v>
      </c>
      <c r="K64" s="37">
        <f t="shared" si="21"/>
        <v>125000</v>
      </c>
      <c r="L64" s="37">
        <f t="shared" si="21"/>
        <v>125000</v>
      </c>
      <c r="M64" s="37">
        <f t="shared" si="21"/>
        <v>125000</v>
      </c>
      <c r="N64" s="37">
        <f t="shared" si="21"/>
        <v>125000</v>
      </c>
      <c r="O64" s="37">
        <f>D64-SUM(F64:N64)</f>
        <v>122000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369000</v>
      </c>
      <c r="E65" s="114" t="s">
        <v>202</v>
      </c>
      <c r="F65" s="37">
        <f t="shared" ref="F65:F66" si="22">ROUND($D65/12*3,-3)</f>
        <v>92000</v>
      </c>
      <c r="G65" s="37">
        <f t="shared" ref="G65:G66" si="23">ROUND($D65/12,-3)</f>
        <v>31000</v>
      </c>
      <c r="H65" s="37">
        <f t="shared" si="21"/>
        <v>31000</v>
      </c>
      <c r="I65" s="37">
        <f t="shared" si="21"/>
        <v>31000</v>
      </c>
      <c r="J65" s="37">
        <f t="shared" si="21"/>
        <v>31000</v>
      </c>
      <c r="K65" s="37">
        <f t="shared" si="21"/>
        <v>31000</v>
      </c>
      <c r="L65" s="37">
        <f t="shared" si="21"/>
        <v>31000</v>
      </c>
      <c r="M65" s="37">
        <f t="shared" si="21"/>
        <v>31000</v>
      </c>
      <c r="N65" s="37">
        <f t="shared" si="21"/>
        <v>31000</v>
      </c>
      <c r="O65" s="37">
        <f t="shared" ref="O65:O66" si="24">D65-SUM(F65:N65)</f>
        <v>29000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961000</v>
      </c>
      <c r="E66" s="114" t="s">
        <v>202</v>
      </c>
      <c r="F66" s="37">
        <f t="shared" si="22"/>
        <v>240000</v>
      </c>
      <c r="G66" s="37">
        <f t="shared" si="23"/>
        <v>80000</v>
      </c>
      <c r="H66" s="37">
        <f t="shared" si="21"/>
        <v>80000</v>
      </c>
      <c r="I66" s="37">
        <f t="shared" si="21"/>
        <v>80000</v>
      </c>
      <c r="J66" s="37">
        <f t="shared" si="21"/>
        <v>80000</v>
      </c>
      <c r="K66" s="37">
        <f t="shared" si="21"/>
        <v>80000</v>
      </c>
      <c r="L66" s="37">
        <f t="shared" si="21"/>
        <v>80000</v>
      </c>
      <c r="M66" s="37">
        <f t="shared" si="21"/>
        <v>80000</v>
      </c>
      <c r="N66" s="37">
        <f t="shared" si="21"/>
        <v>80000</v>
      </c>
      <c r="O66" s="37">
        <f t="shared" si="24"/>
        <v>81000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27000</v>
      </c>
      <c r="E67" s="37" t="s">
        <v>196</v>
      </c>
      <c r="F67" s="37"/>
      <c r="G67" s="37"/>
      <c r="H67" s="37">
        <f>D67</f>
        <v>27000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112000</v>
      </c>
      <c r="E68" s="37" t="s">
        <v>195</v>
      </c>
      <c r="F68" s="37">
        <f>D68</f>
        <v>112000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22623000</v>
      </c>
      <c r="E70" s="108"/>
      <c r="F70" s="108">
        <f t="shared" ref="F70:P70" si="25">ROUND(SUM(F49:F69),-3)</f>
        <v>6908000</v>
      </c>
      <c r="G70" s="108">
        <f t="shared" si="25"/>
        <v>1568000</v>
      </c>
      <c r="H70" s="108">
        <f t="shared" si="25"/>
        <v>1595000</v>
      </c>
      <c r="I70" s="108">
        <f t="shared" si="25"/>
        <v>1882000</v>
      </c>
      <c r="J70" s="108">
        <f t="shared" si="25"/>
        <v>1568000</v>
      </c>
      <c r="K70" s="108">
        <f t="shared" si="25"/>
        <v>1568000</v>
      </c>
      <c r="L70" s="108">
        <f t="shared" si="25"/>
        <v>1568000</v>
      </c>
      <c r="M70" s="108">
        <f t="shared" si="25"/>
        <v>1568000</v>
      </c>
      <c r="N70" s="108">
        <f t="shared" si="25"/>
        <v>2826000</v>
      </c>
      <c r="O70" s="108">
        <f t="shared" si="25"/>
        <v>1571000</v>
      </c>
      <c r="P70" s="108">
        <f t="shared" si="25"/>
        <v>3000</v>
      </c>
      <c r="Q70" s="108">
        <f>D70-SUM(F70:P70)</f>
        <v>-2000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6000</v>
      </c>
      <c r="E71" s="37" t="s">
        <v>195</v>
      </c>
      <c r="F71" s="37">
        <f>D71</f>
        <v>6000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3937000</v>
      </c>
      <c r="E72" s="114" t="s">
        <v>202</v>
      </c>
      <c r="F72" s="37">
        <f>ROUND($D72/12*3,-3)</f>
        <v>984000</v>
      </c>
      <c r="G72" s="37">
        <f>ROUND($D72/12,-3)</f>
        <v>328000</v>
      </c>
      <c r="H72" s="37">
        <f t="shared" ref="H72:N75" si="26">ROUND($D72/12,-3)</f>
        <v>328000</v>
      </c>
      <c r="I72" s="37">
        <f t="shared" si="26"/>
        <v>328000</v>
      </c>
      <c r="J72" s="37">
        <f t="shared" si="26"/>
        <v>328000</v>
      </c>
      <c r="K72" s="37">
        <f t="shared" si="26"/>
        <v>328000</v>
      </c>
      <c r="L72" s="37">
        <f t="shared" si="26"/>
        <v>328000</v>
      </c>
      <c r="M72" s="37">
        <f t="shared" si="26"/>
        <v>328000</v>
      </c>
      <c r="N72" s="37">
        <f t="shared" si="26"/>
        <v>328000</v>
      </c>
      <c r="O72" s="37">
        <f>D72-SUM(F72:N72)</f>
        <v>329000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13000</v>
      </c>
      <c r="E73" s="114" t="s">
        <v>202</v>
      </c>
      <c r="F73" s="37">
        <f>ROUND($D73/12*3,-3)</f>
        <v>3000</v>
      </c>
      <c r="G73" s="37">
        <f>ROUND($D73/12,-3)</f>
        <v>1000</v>
      </c>
      <c r="H73" s="37">
        <f t="shared" si="26"/>
        <v>1000</v>
      </c>
      <c r="I73" s="37">
        <f t="shared" si="26"/>
        <v>1000</v>
      </c>
      <c r="J73" s="37">
        <f t="shared" si="26"/>
        <v>1000</v>
      </c>
      <c r="K73" s="37">
        <f t="shared" si="26"/>
        <v>1000</v>
      </c>
      <c r="L73" s="37">
        <f t="shared" si="26"/>
        <v>1000</v>
      </c>
      <c r="M73" s="37">
        <f t="shared" si="26"/>
        <v>1000</v>
      </c>
      <c r="N73" s="37">
        <f t="shared" si="26"/>
        <v>1000</v>
      </c>
      <c r="O73" s="37">
        <f>D73-SUM(F73:N73)</f>
        <v>2000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455000</v>
      </c>
      <c r="E75" s="114" t="s">
        <v>202</v>
      </c>
      <c r="F75" s="37">
        <f>ROUND($D75/12*3,-3)</f>
        <v>114000</v>
      </c>
      <c r="G75" s="37">
        <f>ROUND($D75/12,-3)</f>
        <v>38000</v>
      </c>
      <c r="H75" s="37">
        <f t="shared" si="26"/>
        <v>38000</v>
      </c>
      <c r="I75" s="37">
        <f t="shared" si="26"/>
        <v>38000</v>
      </c>
      <c r="J75" s="37">
        <f t="shared" si="26"/>
        <v>38000</v>
      </c>
      <c r="K75" s="37">
        <f t="shared" si="26"/>
        <v>38000</v>
      </c>
      <c r="L75" s="37">
        <f t="shared" si="26"/>
        <v>38000</v>
      </c>
      <c r="M75" s="37">
        <f t="shared" si="26"/>
        <v>38000</v>
      </c>
      <c r="N75" s="37">
        <f t="shared" si="26"/>
        <v>38000</v>
      </c>
      <c r="O75" s="37">
        <f>D75-SUM(F75:N75)</f>
        <v>37000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4411000</v>
      </c>
      <c r="E76" s="108"/>
      <c r="F76" s="108">
        <f>ROUND(SUM(F71:F75),-3)</f>
        <v>1107000</v>
      </c>
      <c r="G76" s="108">
        <f t="shared" ref="G76:N76" si="27">ROUND(SUM(G71:G75),-3)</f>
        <v>367000</v>
      </c>
      <c r="H76" s="108">
        <f t="shared" si="27"/>
        <v>367000</v>
      </c>
      <c r="I76" s="108">
        <f t="shared" si="27"/>
        <v>367000</v>
      </c>
      <c r="J76" s="108">
        <f t="shared" si="27"/>
        <v>367000</v>
      </c>
      <c r="K76" s="108">
        <f t="shared" si="27"/>
        <v>367000</v>
      </c>
      <c r="L76" s="108">
        <f t="shared" si="27"/>
        <v>367000</v>
      </c>
      <c r="M76" s="108">
        <f t="shared" si="27"/>
        <v>367000</v>
      </c>
      <c r="N76" s="108">
        <f t="shared" si="27"/>
        <v>367000</v>
      </c>
      <c r="O76" s="108">
        <f>D76-SUM(F76:N76)</f>
        <v>368000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367000</v>
      </c>
      <c r="E77" s="37" t="s">
        <v>681</v>
      </c>
      <c r="F77" s="224"/>
      <c r="G77" s="224"/>
      <c r="H77" s="224">
        <f>ROUND($D77/2,-3)</f>
        <v>184000</v>
      </c>
      <c r="I77" s="224"/>
      <c r="J77" s="224"/>
      <c r="K77" s="224"/>
      <c r="L77" s="224"/>
      <c r="M77" s="224"/>
      <c r="N77" s="224">
        <f>D77-H77</f>
        <v>183000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27401000</v>
      </c>
      <c r="E78" s="227"/>
      <c r="F78" s="227">
        <f>F76+F70+F77</f>
        <v>8015000</v>
      </c>
      <c r="G78" s="227">
        <f t="shared" ref="G78:Q78" si="29">G76+G70+G77</f>
        <v>1935000</v>
      </c>
      <c r="H78" s="227">
        <f t="shared" si="29"/>
        <v>2146000</v>
      </c>
      <c r="I78" s="227">
        <f t="shared" si="29"/>
        <v>2249000</v>
      </c>
      <c r="J78" s="227">
        <f t="shared" si="29"/>
        <v>1935000</v>
      </c>
      <c r="K78" s="227">
        <f t="shared" si="29"/>
        <v>1935000</v>
      </c>
      <c r="L78" s="227">
        <f t="shared" si="29"/>
        <v>1935000</v>
      </c>
      <c r="M78" s="227">
        <f t="shared" si="29"/>
        <v>1935000</v>
      </c>
      <c r="N78" s="227">
        <f t="shared" si="29"/>
        <v>3376000</v>
      </c>
      <c r="O78" s="227">
        <f t="shared" si="29"/>
        <v>1939000</v>
      </c>
      <c r="P78" s="227">
        <f t="shared" si="29"/>
        <v>3000</v>
      </c>
      <c r="Q78" s="227">
        <f t="shared" si="29"/>
        <v>-2000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28201000</v>
      </c>
      <c r="E87" s="37"/>
      <c r="F87" s="37">
        <f>F88+F89+F90+F91</f>
        <v>8098000</v>
      </c>
      <c r="G87" s="37">
        <f t="shared" ref="G87:Q87" si="32">G88+G89+G90+G91</f>
        <v>1998000</v>
      </c>
      <c r="H87" s="37">
        <f t="shared" si="32"/>
        <v>2209000</v>
      </c>
      <c r="I87" s="37">
        <f t="shared" si="32"/>
        <v>2312000</v>
      </c>
      <c r="J87" s="37">
        <f t="shared" si="32"/>
        <v>1998000</v>
      </c>
      <c r="K87" s="37">
        <f t="shared" si="32"/>
        <v>2000000</v>
      </c>
      <c r="L87" s="37">
        <f t="shared" si="32"/>
        <v>2015000</v>
      </c>
      <c r="M87" s="37">
        <f t="shared" si="32"/>
        <v>1998000</v>
      </c>
      <c r="N87" s="37">
        <f t="shared" si="32"/>
        <v>3441000</v>
      </c>
      <c r="O87" s="37">
        <f t="shared" si="32"/>
        <v>2002000</v>
      </c>
      <c r="P87" s="37">
        <f t="shared" si="32"/>
        <v>66000</v>
      </c>
      <c r="Q87" s="37">
        <f t="shared" si="32"/>
        <v>64000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5000</v>
      </c>
      <c r="E88" s="108" t="s">
        <v>193</v>
      </c>
      <c r="F88" s="108">
        <f>ROUND($D88/2,-3)</f>
        <v>3000</v>
      </c>
      <c r="G88" s="108"/>
      <c r="H88" s="108"/>
      <c r="I88" s="108"/>
      <c r="J88" s="108"/>
      <c r="K88" s="108"/>
      <c r="L88" s="108">
        <f>D88-F88</f>
        <v>2000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2000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1000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28194000</v>
      </c>
      <c r="E91" s="108"/>
      <c r="F91" s="108">
        <f>F92+F93+F94+F95</f>
        <v>8095000</v>
      </c>
      <c r="G91" s="108">
        <f t="shared" ref="G91:Q91" si="34">G92+G93+G94+G95</f>
        <v>1998000</v>
      </c>
      <c r="H91" s="108">
        <f t="shared" si="34"/>
        <v>2209000</v>
      </c>
      <c r="I91" s="108">
        <f t="shared" si="34"/>
        <v>2312000</v>
      </c>
      <c r="J91" s="108">
        <f t="shared" si="34"/>
        <v>1998000</v>
      </c>
      <c r="K91" s="108">
        <f t="shared" si="34"/>
        <v>2000000</v>
      </c>
      <c r="L91" s="108">
        <f t="shared" si="34"/>
        <v>2012000</v>
      </c>
      <c r="M91" s="108">
        <f t="shared" si="34"/>
        <v>1998000</v>
      </c>
      <c r="N91" s="108">
        <f t="shared" si="34"/>
        <v>3441000</v>
      </c>
      <c r="O91" s="108">
        <f t="shared" si="34"/>
        <v>2002000</v>
      </c>
      <c r="P91" s="108">
        <f t="shared" si="34"/>
        <v>66000</v>
      </c>
      <c r="Q91" s="108">
        <f t="shared" si="34"/>
        <v>63000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2605000</v>
      </c>
      <c r="E92" s="114" t="s">
        <v>537</v>
      </c>
      <c r="F92" s="37">
        <f>ROUND($D92/12*5,-3)</f>
        <v>1085000</v>
      </c>
      <c r="G92" s="37">
        <f>ROUND($D92/12,-3)</f>
        <v>217000</v>
      </c>
      <c r="H92" s="37">
        <f t="shared" ref="H92:L92" si="35">ROUND($D92/12,-3)</f>
        <v>217000</v>
      </c>
      <c r="I92" s="37">
        <f t="shared" si="35"/>
        <v>217000</v>
      </c>
      <c r="J92" s="37">
        <f t="shared" si="35"/>
        <v>217000</v>
      </c>
      <c r="K92" s="37">
        <f t="shared" si="35"/>
        <v>217000</v>
      </c>
      <c r="L92" s="37">
        <f t="shared" si="35"/>
        <v>217000</v>
      </c>
      <c r="M92" s="37">
        <f>D92-SUM(F92:L92)</f>
        <v>218000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0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1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25499000</v>
      </c>
      <c r="E95" s="37"/>
      <c r="F95" s="37">
        <f>F2+F86-F88-F89-F90-F92-F93-F94</f>
        <v>7002000</v>
      </c>
      <c r="G95" s="37">
        <f t="shared" ref="G95:Q95" si="37">G2-G88-G89-G90-G92-G93-G94</f>
        <v>1773000</v>
      </c>
      <c r="H95" s="37">
        <f t="shared" si="37"/>
        <v>1984000</v>
      </c>
      <c r="I95" s="37">
        <f t="shared" si="37"/>
        <v>2087000</v>
      </c>
      <c r="J95" s="37">
        <f t="shared" si="37"/>
        <v>1773000</v>
      </c>
      <c r="K95" s="37">
        <f t="shared" si="37"/>
        <v>1775000</v>
      </c>
      <c r="L95" s="37">
        <f t="shared" si="37"/>
        <v>1787000</v>
      </c>
      <c r="M95" s="37">
        <f t="shared" si="37"/>
        <v>1772000</v>
      </c>
      <c r="N95" s="37">
        <f t="shared" si="37"/>
        <v>3433000</v>
      </c>
      <c r="O95" s="37">
        <f t="shared" si="37"/>
        <v>1994000</v>
      </c>
      <c r="P95" s="37">
        <f t="shared" si="37"/>
        <v>58000</v>
      </c>
      <c r="Q95" s="37">
        <f t="shared" si="37"/>
        <v>61000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0</v>
      </c>
    </row>
    <row r="99" spans="2:17" ht="32.4">
      <c r="B99" s="72" t="s">
        <v>235</v>
      </c>
      <c r="D99" s="30">
        <f>HLOOKUP(D1,縣庫撥款收入明細表!H:DD,5,FALSE)</f>
        <v>1590000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1015000</v>
      </c>
    </row>
    <row r="102" spans="2:17" ht="32.4">
      <c r="B102" s="71" t="s">
        <v>238</v>
      </c>
      <c r="D102" s="30">
        <f>HLOOKUP(D1,縣庫撥款收入明細表!H:DD,16,FALSE)</f>
        <v>84000</v>
      </c>
    </row>
    <row r="103" spans="2:17" ht="32.4">
      <c r="B103" s="72" t="s">
        <v>239</v>
      </c>
      <c r="D103" s="30">
        <f>HLOOKUP(D1,縣庫撥款收入明細表!H:DD,17,FALSE)</f>
        <v>0</v>
      </c>
    </row>
    <row r="104" spans="2:17" ht="32.4">
      <c r="B104" s="76" t="s">
        <v>240</v>
      </c>
      <c r="D104" s="30">
        <f>HLOOKUP(D1,縣庫撥款收入明細表!H:DD,18,FALSE)</f>
        <v>0</v>
      </c>
    </row>
    <row r="105" spans="2:17" ht="32.4">
      <c r="B105" s="72" t="s">
        <v>380</v>
      </c>
      <c r="D105" s="30">
        <f>HLOOKUP(D1,縣庫撥款收入明細表!H:DD,19,FALSE)</f>
        <v>0</v>
      </c>
    </row>
    <row r="106" spans="2:17" ht="32.4">
      <c r="B106" s="71" t="s">
        <v>241</v>
      </c>
      <c r="D106" s="30">
        <f>HLOOKUP(D1,縣庫撥款收入明細表!H:DD,20,FALSE)</f>
        <v>6000</v>
      </c>
    </row>
    <row r="107" spans="2:17" ht="32.4">
      <c r="B107" s="77" t="s">
        <v>242</v>
      </c>
      <c r="D107" s="30">
        <f>HLOOKUP(D1,縣庫撥款收入明細表!H:DD,21,FALSE)</f>
        <v>25499000</v>
      </c>
    </row>
    <row r="108" spans="2:17" ht="16.5" customHeight="1"/>
    <row r="109" spans="2:17" ht="16.5" customHeight="1">
      <c r="B109" s="4" t="s">
        <v>682</v>
      </c>
      <c r="D109" s="30">
        <f>D91-D76</f>
        <v>23783000</v>
      </c>
      <c r="F109" s="30">
        <f>F91-F76</f>
        <v>6988000</v>
      </c>
      <c r="G109" s="30">
        <f t="shared" ref="G109:Q109" si="38">G91-G76</f>
        <v>1631000</v>
      </c>
      <c r="H109" s="30">
        <f t="shared" si="38"/>
        <v>1842000</v>
      </c>
      <c r="I109" s="30">
        <f t="shared" si="38"/>
        <v>1945000</v>
      </c>
      <c r="J109" s="30">
        <f t="shared" si="38"/>
        <v>1631000</v>
      </c>
      <c r="K109" s="30">
        <f t="shared" si="38"/>
        <v>1633000</v>
      </c>
      <c r="L109" s="30">
        <f t="shared" si="38"/>
        <v>1645000</v>
      </c>
      <c r="M109" s="30">
        <f t="shared" si="38"/>
        <v>1631000</v>
      </c>
      <c r="N109" s="30">
        <f t="shared" si="38"/>
        <v>3074000</v>
      </c>
      <c r="O109" s="30">
        <f t="shared" si="38"/>
        <v>1634000</v>
      </c>
      <c r="P109" s="30">
        <f t="shared" si="38"/>
        <v>66000</v>
      </c>
      <c r="Q109" s="30">
        <f t="shared" si="38"/>
        <v>63000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8:C78"/>
    <mergeCell ref="A79:A83"/>
    <mergeCell ref="A1:B1"/>
    <mergeCell ref="A2:B2"/>
    <mergeCell ref="A3:A48"/>
    <mergeCell ref="A49:A70"/>
    <mergeCell ref="A71:A76"/>
  </mergeCells>
  <phoneticPr fontId="3" type="noConversion"/>
  <conditionalFormatting sqref="F95:Q95">
    <cfRule type="cellIs" dxfId="174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616</v>
      </c>
      <c r="D1" s="240" t="str">
        <f>VLOOKUP(C1,學校編號!A:B,2,FALSE)</f>
        <v>616嘉里國小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26577000</v>
      </c>
      <c r="E2" s="37"/>
      <c r="F2" s="37">
        <f>F48+F70+F76+F77+F83</f>
        <v>7579000</v>
      </c>
      <c r="G2" s="37">
        <f t="shared" ref="G2:Q2" si="0">G48+G70+G76+G77+G83</f>
        <v>1827000</v>
      </c>
      <c r="H2" s="37">
        <f t="shared" si="0"/>
        <v>2105000</v>
      </c>
      <c r="I2" s="37">
        <f t="shared" si="0"/>
        <v>2202000</v>
      </c>
      <c r="J2" s="37">
        <f t="shared" si="0"/>
        <v>1827000</v>
      </c>
      <c r="K2" s="37">
        <f t="shared" si="0"/>
        <v>1829000</v>
      </c>
      <c r="L2" s="37">
        <f t="shared" si="0"/>
        <v>1855000</v>
      </c>
      <c r="M2" s="37">
        <f t="shared" si="0"/>
        <v>1827000</v>
      </c>
      <c r="N2" s="37">
        <f t="shared" si="0"/>
        <v>3576000</v>
      </c>
      <c r="O2" s="37">
        <f t="shared" si="0"/>
        <v>1827000</v>
      </c>
      <c r="P2" s="37">
        <f t="shared" si="0"/>
        <v>63000</v>
      </c>
      <c r="Q2" s="37">
        <f t="shared" si="0"/>
        <v>60000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120000</v>
      </c>
      <c r="E3" s="37" t="s">
        <v>525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51000</v>
      </c>
      <c r="E4" s="37" t="s">
        <v>525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 t="str">
        <f>HLOOKUP($D$1,概算表!$E$12:$DA$78,11,FALSE)</f>
        <v xml:space="preserve"> </v>
      </c>
      <c r="E11" s="37" t="s">
        <v>195</v>
      </c>
      <c r="F11" s="37" t="str">
        <f>D11</f>
        <v xml:space="preserve"> 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 t="e">
        <f t="shared" si="3"/>
        <v>#VALUE!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32000</v>
      </c>
      <c r="E15" s="37" t="s">
        <v>193</v>
      </c>
      <c r="F15" s="37">
        <f>ROUND($D15/2,-3)</f>
        <v>16000</v>
      </c>
      <c r="G15" s="37"/>
      <c r="H15" s="37"/>
      <c r="I15" s="37"/>
      <c r="J15" s="37"/>
      <c r="K15" s="37"/>
      <c r="L15" s="37">
        <f>D15-F15</f>
        <v>16000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42000</v>
      </c>
      <c r="E17" s="37" t="s">
        <v>525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15000</v>
      </c>
      <c r="E24" s="37" t="s">
        <v>193</v>
      </c>
      <c r="F24" s="37">
        <f>ROUND($D24/2,-3)</f>
        <v>8000</v>
      </c>
      <c r="G24" s="37"/>
      <c r="H24" s="37"/>
      <c r="I24" s="37"/>
      <c r="J24" s="37"/>
      <c r="K24" s="37"/>
      <c r="L24" s="37">
        <f>D24-F24</f>
        <v>7000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488000</v>
      </c>
      <c r="E25" s="108"/>
      <c r="F25" s="108">
        <f>ROUND(SUM(F3:F24),-3)</f>
        <v>61000</v>
      </c>
      <c r="G25" s="108">
        <f t="shared" ref="G25:P25" si="5">ROUND(SUM(G3:G24),-3)</f>
        <v>37000</v>
      </c>
      <c r="H25" s="108">
        <f t="shared" si="5"/>
        <v>37000</v>
      </c>
      <c r="I25" s="108">
        <f t="shared" si="5"/>
        <v>37000</v>
      </c>
      <c r="J25" s="108">
        <f t="shared" si="5"/>
        <v>37000</v>
      </c>
      <c r="K25" s="108">
        <f t="shared" si="5"/>
        <v>37000</v>
      </c>
      <c r="L25" s="108">
        <f t="shared" si="5"/>
        <v>60000</v>
      </c>
      <c r="M25" s="108">
        <f t="shared" si="5"/>
        <v>37000</v>
      </c>
      <c r="N25" s="108">
        <f t="shared" si="5"/>
        <v>37000</v>
      </c>
      <c r="O25" s="108">
        <f t="shared" si="5"/>
        <v>37000</v>
      </c>
      <c r="P25" s="108">
        <f t="shared" si="5"/>
        <v>37000</v>
      </c>
      <c r="Q25" s="108">
        <f t="shared" ref="Q25:Q33" si="6">D25-SUM(F25:P25)</f>
        <v>34000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241000</v>
      </c>
      <c r="E27" s="37" t="s">
        <v>525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18000</v>
      </c>
      <c r="E29" s="37" t="s">
        <v>525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17000</v>
      </c>
      <c r="E30" s="37" t="s">
        <v>525</v>
      </c>
      <c r="F30" s="37">
        <f t="shared" si="8"/>
        <v>1417</v>
      </c>
      <c r="G30" s="37">
        <f t="shared" si="8"/>
        <v>1417</v>
      </c>
      <c r="H30" s="37">
        <f t="shared" si="8"/>
        <v>1417</v>
      </c>
      <c r="I30" s="37">
        <f t="shared" si="8"/>
        <v>1417</v>
      </c>
      <c r="J30" s="37">
        <f t="shared" si="8"/>
        <v>1417</v>
      </c>
      <c r="K30" s="37">
        <f t="shared" si="8"/>
        <v>1417</v>
      </c>
      <c r="L30" s="37">
        <f t="shared" si="8"/>
        <v>1417</v>
      </c>
      <c r="M30" s="37">
        <f t="shared" si="8"/>
        <v>1417</v>
      </c>
      <c r="N30" s="37">
        <f t="shared" si="8"/>
        <v>1417</v>
      </c>
      <c r="O30" s="37">
        <f t="shared" si="8"/>
        <v>1417</v>
      </c>
      <c r="P30" s="37">
        <f t="shared" si="8"/>
        <v>1417</v>
      </c>
      <c r="Q30" s="37">
        <f t="shared" si="6"/>
        <v>1413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9000</v>
      </c>
      <c r="E31" s="37" t="s">
        <v>525</v>
      </c>
      <c r="F31" s="37">
        <f t="shared" si="8"/>
        <v>750</v>
      </c>
      <c r="G31" s="37">
        <f t="shared" si="8"/>
        <v>750</v>
      </c>
      <c r="H31" s="37">
        <f t="shared" si="8"/>
        <v>750</v>
      </c>
      <c r="I31" s="37">
        <f t="shared" si="8"/>
        <v>750</v>
      </c>
      <c r="J31" s="37">
        <f t="shared" si="8"/>
        <v>750</v>
      </c>
      <c r="K31" s="37">
        <f t="shared" si="8"/>
        <v>750</v>
      </c>
      <c r="L31" s="37">
        <f t="shared" si="8"/>
        <v>750</v>
      </c>
      <c r="M31" s="37">
        <f t="shared" si="8"/>
        <v>750</v>
      </c>
      <c r="N31" s="37">
        <f t="shared" si="8"/>
        <v>750</v>
      </c>
      <c r="O31" s="37">
        <f t="shared" si="8"/>
        <v>750</v>
      </c>
      <c r="P31" s="37">
        <f t="shared" si="8"/>
        <v>750</v>
      </c>
      <c r="Q31" s="37">
        <f t="shared" si="6"/>
        <v>750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10000</v>
      </c>
      <c r="E36" s="37" t="s">
        <v>193</v>
      </c>
      <c r="F36" s="37">
        <f>ROUND($D36/2,-3)</f>
        <v>5000</v>
      </c>
      <c r="G36" s="37"/>
      <c r="H36" s="37"/>
      <c r="I36" s="37"/>
      <c r="J36" s="37"/>
      <c r="K36" s="37"/>
      <c r="L36" s="37">
        <f>D36-F36</f>
        <v>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295000</v>
      </c>
      <c r="E37" s="108"/>
      <c r="F37" s="108">
        <f t="shared" ref="F37:P37" si="9">ROUND(SUM(F26:F36),-3)</f>
        <v>29000</v>
      </c>
      <c r="G37" s="108">
        <f t="shared" si="9"/>
        <v>24000</v>
      </c>
      <c r="H37" s="108">
        <f t="shared" si="9"/>
        <v>24000</v>
      </c>
      <c r="I37" s="108">
        <f t="shared" si="9"/>
        <v>24000</v>
      </c>
      <c r="J37" s="108">
        <f t="shared" si="9"/>
        <v>24000</v>
      </c>
      <c r="K37" s="108">
        <f t="shared" si="9"/>
        <v>24000</v>
      </c>
      <c r="L37" s="108">
        <f t="shared" si="9"/>
        <v>29000</v>
      </c>
      <c r="M37" s="108">
        <f t="shared" si="9"/>
        <v>24000</v>
      </c>
      <c r="N37" s="108">
        <f t="shared" si="9"/>
        <v>24000</v>
      </c>
      <c r="O37" s="108">
        <f t="shared" si="9"/>
        <v>24000</v>
      </c>
      <c r="P37" s="108">
        <f t="shared" si="9"/>
        <v>24000</v>
      </c>
      <c r="Q37" s="108">
        <f>D37-SUM(F37:P37)</f>
        <v>21000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789000</v>
      </c>
      <c r="E48" s="37"/>
      <c r="F48" s="115">
        <f>F25+F37+F45+F47</f>
        <v>92000</v>
      </c>
      <c r="G48" s="115">
        <f t="shared" ref="G48:R48" si="14">G25+G37+G45+G47</f>
        <v>61000</v>
      </c>
      <c r="H48" s="115">
        <f t="shared" si="14"/>
        <v>61000</v>
      </c>
      <c r="I48" s="115">
        <f t="shared" si="14"/>
        <v>61000</v>
      </c>
      <c r="J48" s="115">
        <f t="shared" si="14"/>
        <v>61000</v>
      </c>
      <c r="K48" s="115">
        <f t="shared" si="14"/>
        <v>63000</v>
      </c>
      <c r="L48" s="115">
        <f t="shared" si="14"/>
        <v>89000</v>
      </c>
      <c r="M48" s="115">
        <f t="shared" si="14"/>
        <v>61000</v>
      </c>
      <c r="N48" s="115">
        <f t="shared" si="14"/>
        <v>63000</v>
      </c>
      <c r="O48" s="115">
        <f t="shared" si="14"/>
        <v>61000</v>
      </c>
      <c r="P48" s="115">
        <f t="shared" si="14"/>
        <v>61000</v>
      </c>
      <c r="Q48" s="115">
        <f t="shared" si="14"/>
        <v>55000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12436000</v>
      </c>
      <c r="E49" s="114" t="s">
        <v>202</v>
      </c>
      <c r="F49" s="37">
        <f>ROUND($D49/12*3,-3)</f>
        <v>3109000</v>
      </c>
      <c r="G49" s="37">
        <f>ROUND($D49/12,-3)</f>
        <v>1036000</v>
      </c>
      <c r="H49" s="37">
        <f t="shared" ref="H49:N53" si="15">ROUND($D49/12,-3)</f>
        <v>1036000</v>
      </c>
      <c r="I49" s="37">
        <f t="shared" si="15"/>
        <v>1036000</v>
      </c>
      <c r="J49" s="37">
        <f t="shared" si="15"/>
        <v>1036000</v>
      </c>
      <c r="K49" s="37">
        <f t="shared" si="15"/>
        <v>1036000</v>
      </c>
      <c r="L49" s="37">
        <f t="shared" si="15"/>
        <v>1036000</v>
      </c>
      <c r="M49" s="37">
        <f t="shared" si="15"/>
        <v>1036000</v>
      </c>
      <c r="N49" s="37">
        <f t="shared" si="15"/>
        <v>1036000</v>
      </c>
      <c r="O49" s="37">
        <f>D49-SUM(F49:N49)</f>
        <v>1039000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812000</v>
      </c>
      <c r="E50" s="114" t="s">
        <v>202</v>
      </c>
      <c r="F50" s="37">
        <f t="shared" ref="F50:F53" si="16">ROUND($D50/12*3,-3)</f>
        <v>203000</v>
      </c>
      <c r="G50" s="37">
        <f t="shared" ref="G50:G53" si="17">ROUND($D50/12,-3)</f>
        <v>68000</v>
      </c>
      <c r="H50" s="37">
        <f t="shared" si="15"/>
        <v>68000</v>
      </c>
      <c r="I50" s="37">
        <f t="shared" si="15"/>
        <v>68000</v>
      </c>
      <c r="J50" s="37">
        <f t="shared" si="15"/>
        <v>68000</v>
      </c>
      <c r="K50" s="37">
        <f t="shared" si="15"/>
        <v>68000</v>
      </c>
      <c r="L50" s="37">
        <f t="shared" si="15"/>
        <v>68000</v>
      </c>
      <c r="M50" s="37">
        <f t="shared" si="15"/>
        <v>68000</v>
      </c>
      <c r="N50" s="37">
        <f t="shared" si="15"/>
        <v>68000</v>
      </c>
      <c r="O50" s="37">
        <f t="shared" ref="O50:O53" si="18">D50-SUM(F50:N50)</f>
        <v>65000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0</v>
      </c>
      <c r="E51" s="114" t="s">
        <v>202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5"/>
        <v>0</v>
      </c>
      <c r="N51" s="37">
        <f t="shared" si="15"/>
        <v>0</v>
      </c>
      <c r="O51" s="37">
        <f t="shared" si="18"/>
        <v>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0</v>
      </c>
      <c r="E52" s="114" t="s">
        <v>202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5"/>
        <v>0</v>
      </c>
      <c r="N52" s="37">
        <f t="shared" si="15"/>
        <v>0</v>
      </c>
      <c r="O52" s="37">
        <f t="shared" si="18"/>
        <v>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27000</v>
      </c>
      <c r="E54" s="37" t="s">
        <v>525</v>
      </c>
      <c r="F54" s="37">
        <f t="shared" ref="F54:P61" si="19">ROUND($D54/12,0)</f>
        <v>2250</v>
      </c>
      <c r="G54" s="37">
        <f t="shared" si="19"/>
        <v>2250</v>
      </c>
      <c r="H54" s="37">
        <f t="shared" si="19"/>
        <v>2250</v>
      </c>
      <c r="I54" s="37">
        <f t="shared" si="19"/>
        <v>2250</v>
      </c>
      <c r="J54" s="37">
        <f t="shared" si="19"/>
        <v>2250</v>
      </c>
      <c r="K54" s="37">
        <f t="shared" si="19"/>
        <v>2250</v>
      </c>
      <c r="L54" s="37">
        <f t="shared" si="19"/>
        <v>2250</v>
      </c>
      <c r="M54" s="37">
        <f t="shared" si="19"/>
        <v>2250</v>
      </c>
      <c r="N54" s="37">
        <f t="shared" si="19"/>
        <v>2250</v>
      </c>
      <c r="O54" s="37">
        <f t="shared" si="19"/>
        <v>2250</v>
      </c>
      <c r="P54" s="37">
        <f t="shared" si="19"/>
        <v>2250</v>
      </c>
      <c r="Q54" s="37">
        <f t="shared" ref="Q54:Q61" si="20">D54-SUM(F54:P54)</f>
        <v>2250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0</v>
      </c>
      <c r="E59" s="37" t="s">
        <v>525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414000</v>
      </c>
      <c r="E60" s="37" t="s">
        <v>195</v>
      </c>
      <c r="F60" s="37">
        <f>D60</f>
        <v>414000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1876000</v>
      </c>
      <c r="E62" s="37" t="s">
        <v>197</v>
      </c>
      <c r="F62" s="37"/>
      <c r="G62" s="37"/>
      <c r="H62" s="37"/>
      <c r="I62" s="37">
        <f>ROUND($D62/5,-3)</f>
        <v>375000</v>
      </c>
      <c r="J62" s="37"/>
      <c r="K62" s="37"/>
      <c r="L62" s="37"/>
      <c r="M62" s="37"/>
      <c r="N62" s="37">
        <f>D62-I62</f>
        <v>1501000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1634000</v>
      </c>
      <c r="E63" s="37" t="s">
        <v>195</v>
      </c>
      <c r="F63" s="37">
        <f>D63</f>
        <v>1634000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1354000</v>
      </c>
      <c r="E64" s="114" t="s">
        <v>202</v>
      </c>
      <c r="F64" s="37">
        <f>ROUND($D64/12*3,-3)</f>
        <v>339000</v>
      </c>
      <c r="G64" s="37">
        <f>ROUND($D64/12,-3)</f>
        <v>113000</v>
      </c>
      <c r="H64" s="37">
        <f t="shared" ref="H64:N66" si="21">ROUND($D64/12,-3)</f>
        <v>113000</v>
      </c>
      <c r="I64" s="37">
        <f t="shared" si="21"/>
        <v>113000</v>
      </c>
      <c r="J64" s="37">
        <f t="shared" si="21"/>
        <v>113000</v>
      </c>
      <c r="K64" s="37">
        <f t="shared" si="21"/>
        <v>113000</v>
      </c>
      <c r="L64" s="37">
        <f t="shared" si="21"/>
        <v>113000</v>
      </c>
      <c r="M64" s="37">
        <f t="shared" si="21"/>
        <v>113000</v>
      </c>
      <c r="N64" s="37">
        <f t="shared" si="21"/>
        <v>113000</v>
      </c>
      <c r="O64" s="37">
        <f>D64-SUM(F64:N64)</f>
        <v>111000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324000</v>
      </c>
      <c r="E65" s="114" t="s">
        <v>202</v>
      </c>
      <c r="F65" s="37">
        <f t="shared" ref="F65:F66" si="22">ROUND($D65/12*3,-3)</f>
        <v>81000</v>
      </c>
      <c r="G65" s="37">
        <f t="shared" ref="G65:G66" si="23">ROUND($D65/12,-3)</f>
        <v>27000</v>
      </c>
      <c r="H65" s="37">
        <f t="shared" si="21"/>
        <v>27000</v>
      </c>
      <c r="I65" s="37">
        <f t="shared" si="21"/>
        <v>27000</v>
      </c>
      <c r="J65" s="37">
        <f t="shared" si="21"/>
        <v>27000</v>
      </c>
      <c r="K65" s="37">
        <f t="shared" si="21"/>
        <v>27000</v>
      </c>
      <c r="L65" s="37">
        <f t="shared" si="21"/>
        <v>27000</v>
      </c>
      <c r="M65" s="37">
        <f t="shared" si="21"/>
        <v>27000</v>
      </c>
      <c r="N65" s="37">
        <f t="shared" si="21"/>
        <v>27000</v>
      </c>
      <c r="O65" s="37">
        <f t="shared" ref="O65:O66" si="24">D65-SUM(F65:N65)</f>
        <v>27000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974000</v>
      </c>
      <c r="E66" s="114" t="s">
        <v>202</v>
      </c>
      <c r="F66" s="37">
        <f t="shared" si="22"/>
        <v>244000</v>
      </c>
      <c r="G66" s="37">
        <f t="shared" si="23"/>
        <v>81000</v>
      </c>
      <c r="H66" s="37">
        <f t="shared" si="21"/>
        <v>81000</v>
      </c>
      <c r="I66" s="37">
        <f t="shared" si="21"/>
        <v>81000</v>
      </c>
      <c r="J66" s="37">
        <f t="shared" si="21"/>
        <v>81000</v>
      </c>
      <c r="K66" s="37">
        <f t="shared" si="21"/>
        <v>81000</v>
      </c>
      <c r="L66" s="37">
        <f t="shared" si="21"/>
        <v>81000</v>
      </c>
      <c r="M66" s="37">
        <f t="shared" si="21"/>
        <v>81000</v>
      </c>
      <c r="N66" s="37">
        <f t="shared" si="21"/>
        <v>81000</v>
      </c>
      <c r="O66" s="37">
        <f t="shared" si="24"/>
        <v>82000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32000</v>
      </c>
      <c r="E67" s="37" t="s">
        <v>196</v>
      </c>
      <c r="F67" s="37"/>
      <c r="G67" s="37"/>
      <c r="H67" s="37">
        <f>D67</f>
        <v>32000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144000</v>
      </c>
      <c r="E68" s="37" t="s">
        <v>195</v>
      </c>
      <c r="F68" s="37">
        <f>D68</f>
        <v>144000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20027000</v>
      </c>
      <c r="E70" s="108"/>
      <c r="F70" s="108">
        <f t="shared" ref="F70:P70" si="25">ROUND(SUM(F49:F69),-3)</f>
        <v>6170000</v>
      </c>
      <c r="G70" s="108">
        <f t="shared" si="25"/>
        <v>1327000</v>
      </c>
      <c r="H70" s="108">
        <f t="shared" si="25"/>
        <v>1359000</v>
      </c>
      <c r="I70" s="108">
        <f t="shared" si="25"/>
        <v>1702000</v>
      </c>
      <c r="J70" s="108">
        <f t="shared" si="25"/>
        <v>1327000</v>
      </c>
      <c r="K70" s="108">
        <f t="shared" si="25"/>
        <v>1327000</v>
      </c>
      <c r="L70" s="108">
        <f t="shared" si="25"/>
        <v>1327000</v>
      </c>
      <c r="M70" s="108">
        <f t="shared" si="25"/>
        <v>1327000</v>
      </c>
      <c r="N70" s="108">
        <f t="shared" si="25"/>
        <v>2828000</v>
      </c>
      <c r="O70" s="108">
        <f t="shared" si="25"/>
        <v>1326000</v>
      </c>
      <c r="P70" s="108">
        <f t="shared" si="25"/>
        <v>2000</v>
      </c>
      <c r="Q70" s="108">
        <f>D70-SUM(F70:P70)</f>
        <v>5000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4753000</v>
      </c>
      <c r="E72" s="114" t="s">
        <v>202</v>
      </c>
      <c r="F72" s="37">
        <f>ROUND($D72/12*3,-3)</f>
        <v>1188000</v>
      </c>
      <c r="G72" s="37">
        <f>ROUND($D72/12,-3)</f>
        <v>396000</v>
      </c>
      <c r="H72" s="37">
        <f t="shared" ref="H72:N75" si="26">ROUND($D72/12,-3)</f>
        <v>396000</v>
      </c>
      <c r="I72" s="37">
        <f t="shared" si="26"/>
        <v>396000</v>
      </c>
      <c r="J72" s="37">
        <f t="shared" si="26"/>
        <v>396000</v>
      </c>
      <c r="K72" s="37">
        <f t="shared" si="26"/>
        <v>396000</v>
      </c>
      <c r="L72" s="37">
        <f t="shared" si="26"/>
        <v>396000</v>
      </c>
      <c r="M72" s="37">
        <f t="shared" si="26"/>
        <v>396000</v>
      </c>
      <c r="N72" s="37">
        <f t="shared" si="26"/>
        <v>396000</v>
      </c>
      <c r="O72" s="37">
        <f>D72-SUM(F72:N72)</f>
        <v>397000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516000</v>
      </c>
      <c r="E74" s="114" t="s">
        <v>202</v>
      </c>
      <c r="F74" s="37">
        <f>ROUND($D74/12*3,-3)</f>
        <v>129000</v>
      </c>
      <c r="G74" s="37">
        <f>ROUND($D74/12,-3)</f>
        <v>43000</v>
      </c>
      <c r="H74" s="37">
        <f t="shared" si="26"/>
        <v>43000</v>
      </c>
      <c r="I74" s="37">
        <f t="shared" si="26"/>
        <v>43000</v>
      </c>
      <c r="J74" s="37">
        <f t="shared" si="26"/>
        <v>43000</v>
      </c>
      <c r="K74" s="37">
        <f t="shared" si="26"/>
        <v>43000</v>
      </c>
      <c r="L74" s="37">
        <f t="shared" si="26"/>
        <v>43000</v>
      </c>
      <c r="M74" s="37">
        <f t="shared" si="26"/>
        <v>43000</v>
      </c>
      <c r="N74" s="37">
        <f t="shared" si="26"/>
        <v>43000</v>
      </c>
      <c r="O74" s="37">
        <f>D74-SUM(F74:N74)</f>
        <v>43000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5269000</v>
      </c>
      <c r="E76" s="108"/>
      <c r="F76" s="108">
        <f>ROUND(SUM(F71:F75),-3)</f>
        <v>1317000</v>
      </c>
      <c r="G76" s="108">
        <f t="shared" ref="G76:N76" si="27">ROUND(SUM(G71:G75),-3)</f>
        <v>439000</v>
      </c>
      <c r="H76" s="108">
        <f t="shared" si="27"/>
        <v>439000</v>
      </c>
      <c r="I76" s="108">
        <f t="shared" si="27"/>
        <v>439000</v>
      </c>
      <c r="J76" s="108">
        <f t="shared" si="27"/>
        <v>439000</v>
      </c>
      <c r="K76" s="108">
        <f t="shared" si="27"/>
        <v>439000</v>
      </c>
      <c r="L76" s="108">
        <f t="shared" si="27"/>
        <v>439000</v>
      </c>
      <c r="M76" s="108">
        <f t="shared" si="27"/>
        <v>439000</v>
      </c>
      <c r="N76" s="108">
        <f t="shared" si="27"/>
        <v>439000</v>
      </c>
      <c r="O76" s="108">
        <f>D76-SUM(F76:N76)</f>
        <v>440000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492000</v>
      </c>
      <c r="E77" s="37" t="s">
        <v>681</v>
      </c>
      <c r="F77" s="224"/>
      <c r="G77" s="224"/>
      <c r="H77" s="224">
        <f>ROUND($D77/2,-3)</f>
        <v>246000</v>
      </c>
      <c r="I77" s="224"/>
      <c r="J77" s="224"/>
      <c r="K77" s="224"/>
      <c r="L77" s="224"/>
      <c r="M77" s="224"/>
      <c r="N77" s="224">
        <f>D77-H77</f>
        <v>246000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25788000</v>
      </c>
      <c r="E78" s="227"/>
      <c r="F78" s="227">
        <f>F76+F70+F77</f>
        <v>7487000</v>
      </c>
      <c r="G78" s="227">
        <f t="shared" ref="G78:Q78" si="29">G76+G70+G77</f>
        <v>1766000</v>
      </c>
      <c r="H78" s="227">
        <f t="shared" si="29"/>
        <v>2044000</v>
      </c>
      <c r="I78" s="227">
        <f t="shared" si="29"/>
        <v>2141000</v>
      </c>
      <c r="J78" s="227">
        <f t="shared" si="29"/>
        <v>1766000</v>
      </c>
      <c r="K78" s="227">
        <f t="shared" si="29"/>
        <v>1766000</v>
      </c>
      <c r="L78" s="227">
        <f t="shared" si="29"/>
        <v>1766000</v>
      </c>
      <c r="M78" s="227">
        <f t="shared" si="29"/>
        <v>1766000</v>
      </c>
      <c r="N78" s="227">
        <f t="shared" si="29"/>
        <v>3513000</v>
      </c>
      <c r="O78" s="227">
        <f t="shared" si="29"/>
        <v>1766000</v>
      </c>
      <c r="P78" s="227">
        <f t="shared" si="29"/>
        <v>2000</v>
      </c>
      <c r="Q78" s="227">
        <f t="shared" si="29"/>
        <v>5000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26577000</v>
      </c>
      <c r="E87" s="37"/>
      <c r="F87" s="37">
        <f>F88+F89+F90+F91</f>
        <v>7579000</v>
      </c>
      <c r="G87" s="37">
        <f t="shared" ref="G87:Q87" si="32">G88+G89+G90+G91</f>
        <v>1827000</v>
      </c>
      <c r="H87" s="37">
        <f t="shared" si="32"/>
        <v>2105000</v>
      </c>
      <c r="I87" s="37">
        <f t="shared" si="32"/>
        <v>2202000</v>
      </c>
      <c r="J87" s="37">
        <f t="shared" si="32"/>
        <v>1827000</v>
      </c>
      <c r="K87" s="37">
        <f t="shared" si="32"/>
        <v>1829000</v>
      </c>
      <c r="L87" s="37">
        <f t="shared" si="32"/>
        <v>1855000</v>
      </c>
      <c r="M87" s="37">
        <f t="shared" si="32"/>
        <v>1827000</v>
      </c>
      <c r="N87" s="37">
        <f t="shared" si="32"/>
        <v>3576000</v>
      </c>
      <c r="O87" s="37">
        <f t="shared" si="32"/>
        <v>1827000</v>
      </c>
      <c r="P87" s="37">
        <f t="shared" si="32"/>
        <v>63000</v>
      </c>
      <c r="Q87" s="37">
        <f t="shared" si="32"/>
        <v>60000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25000</v>
      </c>
      <c r="E88" s="108" t="s">
        <v>193</v>
      </c>
      <c r="F88" s="108">
        <f>ROUND($D88/2,-3)</f>
        <v>13000</v>
      </c>
      <c r="G88" s="108"/>
      <c r="H88" s="108"/>
      <c r="I88" s="108"/>
      <c r="J88" s="108"/>
      <c r="K88" s="108"/>
      <c r="L88" s="108">
        <f>D88-F88</f>
        <v>12000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2000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1000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26550000</v>
      </c>
      <c r="E91" s="108"/>
      <c r="F91" s="108">
        <f>F92+F93+F94+F95</f>
        <v>7566000</v>
      </c>
      <c r="G91" s="108">
        <f t="shared" ref="G91:Q91" si="34">G92+G93+G94+G95</f>
        <v>1827000</v>
      </c>
      <c r="H91" s="108">
        <f t="shared" si="34"/>
        <v>2105000</v>
      </c>
      <c r="I91" s="108">
        <f t="shared" si="34"/>
        <v>2202000</v>
      </c>
      <c r="J91" s="108">
        <f t="shared" si="34"/>
        <v>1827000</v>
      </c>
      <c r="K91" s="108">
        <f t="shared" si="34"/>
        <v>1829000</v>
      </c>
      <c r="L91" s="108">
        <f t="shared" si="34"/>
        <v>1842000</v>
      </c>
      <c r="M91" s="108">
        <f t="shared" si="34"/>
        <v>1827000</v>
      </c>
      <c r="N91" s="108">
        <f t="shared" si="34"/>
        <v>3576000</v>
      </c>
      <c r="O91" s="108">
        <f t="shared" si="34"/>
        <v>1827000</v>
      </c>
      <c r="P91" s="108">
        <f t="shared" si="34"/>
        <v>63000</v>
      </c>
      <c r="Q91" s="108">
        <f t="shared" si="34"/>
        <v>59000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0</v>
      </c>
      <c r="E92" s="114" t="s">
        <v>537</v>
      </c>
      <c r="F92" s="37">
        <f>ROUND($D92/12*5,-3)</f>
        <v>0</v>
      </c>
      <c r="G92" s="37">
        <f>ROUND($D92/12,-3)</f>
        <v>0</v>
      </c>
      <c r="H92" s="37">
        <f t="shared" ref="H92:L92" si="35">ROUND($D92/12,-3)</f>
        <v>0</v>
      </c>
      <c r="I92" s="37">
        <f t="shared" si="35"/>
        <v>0</v>
      </c>
      <c r="J92" s="37">
        <f t="shared" si="35"/>
        <v>0</v>
      </c>
      <c r="K92" s="37">
        <f t="shared" si="35"/>
        <v>0</v>
      </c>
      <c r="L92" s="37">
        <f t="shared" si="35"/>
        <v>0</v>
      </c>
      <c r="M92" s="37">
        <f>D92-SUM(F92:L92)</f>
        <v>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77000</v>
      </c>
      <c r="E93" s="109" t="s">
        <v>227</v>
      </c>
      <c r="F93" s="37">
        <f>ROUND($D93/12,-3)</f>
        <v>6000</v>
      </c>
      <c r="G93" s="37">
        <f t="shared" ref="G93:P93" si="36">ROUND($D93/12,-3)</f>
        <v>6000</v>
      </c>
      <c r="H93" s="37">
        <f t="shared" si="36"/>
        <v>6000</v>
      </c>
      <c r="I93" s="37">
        <f t="shared" si="36"/>
        <v>6000</v>
      </c>
      <c r="J93" s="37">
        <f t="shared" si="36"/>
        <v>6000</v>
      </c>
      <c r="K93" s="37">
        <f t="shared" si="36"/>
        <v>6000</v>
      </c>
      <c r="L93" s="37">
        <f t="shared" si="36"/>
        <v>6000</v>
      </c>
      <c r="M93" s="37">
        <f t="shared" si="36"/>
        <v>6000</v>
      </c>
      <c r="N93" s="37">
        <f t="shared" si="36"/>
        <v>6000</v>
      </c>
      <c r="O93" s="37">
        <f t="shared" si="36"/>
        <v>6000</v>
      </c>
      <c r="P93" s="37">
        <f t="shared" si="36"/>
        <v>6000</v>
      </c>
      <c r="Q93" s="37">
        <f>D93-SUM(F93:P93)</f>
        <v>11000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1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26473000</v>
      </c>
      <c r="E95" s="37"/>
      <c r="F95" s="37">
        <f>F2+F86-F88-F89-F90-F92-F93-F94</f>
        <v>7560000</v>
      </c>
      <c r="G95" s="37">
        <f t="shared" ref="G95:Q95" si="37">G2-G88-G89-G90-G92-G93-G94</f>
        <v>1821000</v>
      </c>
      <c r="H95" s="37">
        <f t="shared" si="37"/>
        <v>2099000</v>
      </c>
      <c r="I95" s="37">
        <f t="shared" si="37"/>
        <v>2196000</v>
      </c>
      <c r="J95" s="37">
        <f t="shared" si="37"/>
        <v>1821000</v>
      </c>
      <c r="K95" s="37">
        <f t="shared" si="37"/>
        <v>1823000</v>
      </c>
      <c r="L95" s="37">
        <f t="shared" si="37"/>
        <v>1836000</v>
      </c>
      <c r="M95" s="37">
        <f t="shared" si="37"/>
        <v>1821000</v>
      </c>
      <c r="N95" s="37">
        <f t="shared" si="37"/>
        <v>3570000</v>
      </c>
      <c r="O95" s="37">
        <f t="shared" si="37"/>
        <v>1821000</v>
      </c>
      <c r="P95" s="37">
        <f t="shared" si="37"/>
        <v>57000</v>
      </c>
      <c r="Q95" s="37">
        <f t="shared" si="37"/>
        <v>48000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0</v>
      </c>
    </row>
    <row r="99" spans="2:17" ht="32.4">
      <c r="B99" s="72" t="s">
        <v>235</v>
      </c>
      <c r="D99" s="30">
        <f>HLOOKUP(D1,縣庫撥款收入明細表!H:DD,5,FALSE)</f>
        <v>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0</v>
      </c>
    </row>
    <row r="102" spans="2:17" ht="32.4">
      <c r="B102" s="71" t="s">
        <v>238</v>
      </c>
      <c r="D102" s="30">
        <f>HLOOKUP(D1,縣庫撥款收入明細表!H:DD,16,FALSE)</f>
        <v>72000</v>
      </c>
    </row>
    <row r="103" spans="2:17" ht="32.4">
      <c r="B103" s="72" t="s">
        <v>239</v>
      </c>
      <c r="D103" s="30">
        <f>HLOOKUP(D1,縣庫撥款收入明細表!H:DD,17,FALSE)</f>
        <v>0</v>
      </c>
    </row>
    <row r="104" spans="2:17" ht="32.4">
      <c r="B104" s="76" t="s">
        <v>240</v>
      </c>
      <c r="D104" s="30">
        <f>HLOOKUP(D1,縣庫撥款收入明細表!H:DD,18,FALSE)</f>
        <v>0</v>
      </c>
    </row>
    <row r="105" spans="2:17" ht="32.4">
      <c r="B105" s="72" t="s">
        <v>380</v>
      </c>
      <c r="D105" s="30">
        <f>HLOOKUP(D1,縣庫撥款收入明細表!H:DD,19,FALSE)</f>
        <v>0</v>
      </c>
    </row>
    <row r="106" spans="2:17" ht="32.4">
      <c r="B106" s="71" t="s">
        <v>241</v>
      </c>
      <c r="D106" s="30">
        <f>HLOOKUP(D1,縣庫撥款收入明細表!H:DD,20,FALSE)</f>
        <v>5000</v>
      </c>
    </row>
    <row r="107" spans="2:17" ht="32.4">
      <c r="B107" s="77" t="s">
        <v>242</v>
      </c>
      <c r="D107" s="30">
        <f>HLOOKUP(D1,縣庫撥款收入明細表!H:DD,21,FALSE)</f>
        <v>26473000</v>
      </c>
    </row>
    <row r="108" spans="2:17" ht="16.5" customHeight="1"/>
    <row r="109" spans="2:17" ht="16.5" customHeight="1">
      <c r="B109" s="4" t="s">
        <v>682</v>
      </c>
      <c r="D109" s="30">
        <f>D91-D76</f>
        <v>21281000</v>
      </c>
      <c r="F109" s="30">
        <f>F91-F76</f>
        <v>6249000</v>
      </c>
      <c r="G109" s="30">
        <f t="shared" ref="G109:Q109" si="38">G91-G76</f>
        <v>1388000</v>
      </c>
      <c r="H109" s="30">
        <f t="shared" si="38"/>
        <v>1666000</v>
      </c>
      <c r="I109" s="30">
        <f t="shared" si="38"/>
        <v>1763000</v>
      </c>
      <c r="J109" s="30">
        <f t="shared" si="38"/>
        <v>1388000</v>
      </c>
      <c r="K109" s="30">
        <f t="shared" si="38"/>
        <v>1390000</v>
      </c>
      <c r="L109" s="30">
        <f t="shared" si="38"/>
        <v>1403000</v>
      </c>
      <c r="M109" s="30">
        <f t="shared" si="38"/>
        <v>1388000</v>
      </c>
      <c r="N109" s="30">
        <f t="shared" si="38"/>
        <v>3137000</v>
      </c>
      <c r="O109" s="30">
        <f t="shared" si="38"/>
        <v>1387000</v>
      </c>
      <c r="P109" s="30">
        <f t="shared" si="38"/>
        <v>63000</v>
      </c>
      <c r="Q109" s="30">
        <f t="shared" si="38"/>
        <v>59000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8:C78"/>
    <mergeCell ref="A79:A83"/>
    <mergeCell ref="A1:B1"/>
    <mergeCell ref="A2:B2"/>
    <mergeCell ref="A3:A48"/>
    <mergeCell ref="A49:A70"/>
    <mergeCell ref="A71:A76"/>
  </mergeCells>
  <phoneticPr fontId="3" type="noConversion"/>
  <conditionalFormatting sqref="F95:Q95">
    <cfRule type="cellIs" dxfId="172" priority="1" operator="less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617</v>
      </c>
      <c r="D1" s="240" t="str">
        <f>VLOOKUP(C1,學校編號!A:B,2,FALSE)</f>
        <v>617吉安國小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61556000</v>
      </c>
      <c r="E2" s="37"/>
      <c r="F2" s="37">
        <f>F48+F70+F76+F77+F83</f>
        <v>17560000</v>
      </c>
      <c r="G2" s="37">
        <f t="shared" ref="G2:Q2" si="0">G48+G70+G76+G77+G83</f>
        <v>4462000</v>
      </c>
      <c r="H2" s="37">
        <f t="shared" si="0"/>
        <v>4685000</v>
      </c>
      <c r="I2" s="37">
        <f t="shared" si="0"/>
        <v>5067000</v>
      </c>
      <c r="J2" s="37">
        <f t="shared" si="0"/>
        <v>4462000</v>
      </c>
      <c r="K2" s="37">
        <f t="shared" si="0"/>
        <v>4466000</v>
      </c>
      <c r="L2" s="37">
        <f t="shared" si="0"/>
        <v>4637000</v>
      </c>
      <c r="M2" s="37">
        <f t="shared" si="0"/>
        <v>4462000</v>
      </c>
      <c r="N2" s="37">
        <f t="shared" si="0"/>
        <v>7057000</v>
      </c>
      <c r="O2" s="37">
        <f t="shared" si="0"/>
        <v>4458000</v>
      </c>
      <c r="P2" s="37">
        <f t="shared" si="0"/>
        <v>118000</v>
      </c>
      <c r="Q2" s="37">
        <f t="shared" si="0"/>
        <v>122000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334000</v>
      </c>
      <c r="E3" s="37" t="s">
        <v>525</v>
      </c>
      <c r="F3" s="37">
        <f t="shared" ref="F3:P17" si="1">ROUND($D3/12,0)</f>
        <v>27833</v>
      </c>
      <c r="G3" s="37">
        <f t="shared" si="1"/>
        <v>27833</v>
      </c>
      <c r="H3" s="37">
        <f t="shared" si="1"/>
        <v>27833</v>
      </c>
      <c r="I3" s="37">
        <f t="shared" si="1"/>
        <v>27833</v>
      </c>
      <c r="J3" s="37">
        <f t="shared" si="1"/>
        <v>27833</v>
      </c>
      <c r="K3" s="37">
        <f t="shared" si="1"/>
        <v>27833</v>
      </c>
      <c r="L3" s="37">
        <f t="shared" si="1"/>
        <v>27833</v>
      </c>
      <c r="M3" s="37">
        <f t="shared" si="1"/>
        <v>27833</v>
      </c>
      <c r="N3" s="37">
        <f t="shared" si="1"/>
        <v>27833</v>
      </c>
      <c r="O3" s="37">
        <f t="shared" si="1"/>
        <v>27833</v>
      </c>
      <c r="P3" s="37">
        <f t="shared" si="1"/>
        <v>27833</v>
      </c>
      <c r="Q3" s="37">
        <f t="shared" ref="Q3:Q10" si="2">D3-SUM(F3:P3)</f>
        <v>27837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143000</v>
      </c>
      <c r="E4" s="37" t="s">
        <v>525</v>
      </c>
      <c r="F4" s="37">
        <f t="shared" si="1"/>
        <v>11917</v>
      </c>
      <c r="G4" s="37">
        <f t="shared" si="1"/>
        <v>11917</v>
      </c>
      <c r="H4" s="37">
        <f t="shared" si="1"/>
        <v>11917</v>
      </c>
      <c r="I4" s="37">
        <f t="shared" si="1"/>
        <v>11917</v>
      </c>
      <c r="J4" s="37">
        <f t="shared" si="1"/>
        <v>11917</v>
      </c>
      <c r="K4" s="37">
        <f t="shared" si="1"/>
        <v>11917</v>
      </c>
      <c r="L4" s="37">
        <f t="shared" si="1"/>
        <v>11917</v>
      </c>
      <c r="M4" s="37">
        <f t="shared" si="1"/>
        <v>11917</v>
      </c>
      <c r="N4" s="37">
        <f t="shared" si="1"/>
        <v>11917</v>
      </c>
      <c r="O4" s="37">
        <f t="shared" si="1"/>
        <v>11917</v>
      </c>
      <c r="P4" s="37">
        <f t="shared" si="1"/>
        <v>11917</v>
      </c>
      <c r="Q4" s="37">
        <f t="shared" si="2"/>
        <v>11913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73000</v>
      </c>
      <c r="E7" s="37" t="s">
        <v>525</v>
      </c>
      <c r="F7" s="37">
        <f t="shared" si="1"/>
        <v>6083</v>
      </c>
      <c r="G7" s="37">
        <f t="shared" si="1"/>
        <v>6083</v>
      </c>
      <c r="H7" s="37">
        <f t="shared" si="1"/>
        <v>6083</v>
      </c>
      <c r="I7" s="37">
        <f t="shared" si="1"/>
        <v>6083</v>
      </c>
      <c r="J7" s="37">
        <f t="shared" si="1"/>
        <v>6083</v>
      </c>
      <c r="K7" s="37">
        <f t="shared" si="1"/>
        <v>6083</v>
      </c>
      <c r="L7" s="37">
        <f t="shared" si="1"/>
        <v>6083</v>
      </c>
      <c r="M7" s="37">
        <f t="shared" si="1"/>
        <v>6083</v>
      </c>
      <c r="N7" s="37">
        <f t="shared" si="1"/>
        <v>6083</v>
      </c>
      <c r="O7" s="37">
        <f t="shared" si="1"/>
        <v>6083</v>
      </c>
      <c r="P7" s="37">
        <f t="shared" si="1"/>
        <v>6083</v>
      </c>
      <c r="Q7" s="37">
        <f t="shared" si="2"/>
        <v>6087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30000</v>
      </c>
      <c r="E8" s="37" t="s">
        <v>525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6000</v>
      </c>
      <c r="E9" s="37" t="s">
        <v>525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82000</v>
      </c>
      <c r="E15" s="37" t="s">
        <v>193</v>
      </c>
      <c r="F15" s="37">
        <f>ROUND($D15/2,-3)</f>
        <v>41000</v>
      </c>
      <c r="G15" s="37"/>
      <c r="H15" s="37"/>
      <c r="I15" s="37"/>
      <c r="J15" s="37"/>
      <c r="K15" s="37"/>
      <c r="L15" s="37">
        <f>D15-F15</f>
        <v>41000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58000</v>
      </c>
      <c r="E17" s="37" t="s">
        <v>525</v>
      </c>
      <c r="F17" s="37">
        <f>ROUND($D17/12,0)</f>
        <v>4833</v>
      </c>
      <c r="G17" s="37">
        <f t="shared" si="1"/>
        <v>4833</v>
      </c>
      <c r="H17" s="37">
        <f t="shared" si="1"/>
        <v>4833</v>
      </c>
      <c r="I17" s="37">
        <f t="shared" si="1"/>
        <v>4833</v>
      </c>
      <c r="J17" s="37">
        <f t="shared" si="1"/>
        <v>4833</v>
      </c>
      <c r="K17" s="37">
        <f t="shared" si="1"/>
        <v>4833</v>
      </c>
      <c r="L17" s="37">
        <f t="shared" si="1"/>
        <v>4833</v>
      </c>
      <c r="M17" s="37">
        <f t="shared" si="1"/>
        <v>4833</v>
      </c>
      <c r="N17" s="37">
        <f t="shared" si="1"/>
        <v>4833</v>
      </c>
      <c r="O17" s="37">
        <f t="shared" si="1"/>
        <v>4833</v>
      </c>
      <c r="P17" s="37">
        <f t="shared" si="1"/>
        <v>4833</v>
      </c>
      <c r="Q17" s="37">
        <f>D17-SUM(F17:P17)</f>
        <v>4837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215000</v>
      </c>
      <c r="E24" s="37" t="s">
        <v>193</v>
      </c>
      <c r="F24" s="37">
        <f>ROUND($D24/2,-3)</f>
        <v>108000</v>
      </c>
      <c r="G24" s="37"/>
      <c r="H24" s="37"/>
      <c r="I24" s="37"/>
      <c r="J24" s="37"/>
      <c r="K24" s="37"/>
      <c r="L24" s="37">
        <f>D24-F24</f>
        <v>107000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1105000</v>
      </c>
      <c r="E25" s="108"/>
      <c r="F25" s="108">
        <f>ROUND(SUM(F3:F24),-3)</f>
        <v>216000</v>
      </c>
      <c r="G25" s="108">
        <f t="shared" ref="G25:P25" si="5">ROUND(SUM(G3:G24),-3)</f>
        <v>67000</v>
      </c>
      <c r="H25" s="108">
        <f t="shared" si="5"/>
        <v>67000</v>
      </c>
      <c r="I25" s="108">
        <f t="shared" si="5"/>
        <v>67000</v>
      </c>
      <c r="J25" s="108">
        <f t="shared" si="5"/>
        <v>67000</v>
      </c>
      <c r="K25" s="108">
        <f t="shared" si="5"/>
        <v>67000</v>
      </c>
      <c r="L25" s="108">
        <f t="shared" si="5"/>
        <v>215000</v>
      </c>
      <c r="M25" s="108">
        <f t="shared" si="5"/>
        <v>67000</v>
      </c>
      <c r="N25" s="108">
        <f t="shared" si="5"/>
        <v>67000</v>
      </c>
      <c r="O25" s="108">
        <f t="shared" si="5"/>
        <v>67000</v>
      </c>
      <c r="P25" s="108">
        <f t="shared" si="5"/>
        <v>67000</v>
      </c>
      <c r="Q25" s="108">
        <f t="shared" ref="Q25:Q33" si="6">D25-SUM(F25:P25)</f>
        <v>71000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333000</v>
      </c>
      <c r="E27" s="37" t="s">
        <v>525</v>
      </c>
      <c r="F27" s="37">
        <f t="shared" ref="F27:P33" si="8">ROUND($D27/12,0)</f>
        <v>27750</v>
      </c>
      <c r="G27" s="37">
        <f t="shared" si="8"/>
        <v>27750</v>
      </c>
      <c r="H27" s="37">
        <f t="shared" si="8"/>
        <v>27750</v>
      </c>
      <c r="I27" s="37">
        <f t="shared" si="8"/>
        <v>27750</v>
      </c>
      <c r="J27" s="37">
        <f t="shared" si="8"/>
        <v>27750</v>
      </c>
      <c r="K27" s="37">
        <f t="shared" si="8"/>
        <v>27750</v>
      </c>
      <c r="L27" s="37">
        <f t="shared" si="8"/>
        <v>27750</v>
      </c>
      <c r="M27" s="37">
        <f t="shared" si="8"/>
        <v>27750</v>
      </c>
      <c r="N27" s="37">
        <f t="shared" si="8"/>
        <v>27750</v>
      </c>
      <c r="O27" s="37">
        <f t="shared" si="8"/>
        <v>27750</v>
      </c>
      <c r="P27" s="37">
        <f t="shared" si="8"/>
        <v>27750</v>
      </c>
      <c r="Q27" s="37">
        <f t="shared" si="6"/>
        <v>27750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34000</v>
      </c>
      <c r="E29" s="37" t="s">
        <v>525</v>
      </c>
      <c r="F29" s="37">
        <f t="shared" si="8"/>
        <v>2833</v>
      </c>
      <c r="G29" s="37">
        <f t="shared" si="8"/>
        <v>2833</v>
      </c>
      <c r="H29" s="37">
        <f t="shared" si="8"/>
        <v>2833</v>
      </c>
      <c r="I29" s="37">
        <f t="shared" si="8"/>
        <v>2833</v>
      </c>
      <c r="J29" s="37">
        <f t="shared" si="8"/>
        <v>2833</v>
      </c>
      <c r="K29" s="37">
        <f t="shared" si="8"/>
        <v>2833</v>
      </c>
      <c r="L29" s="37">
        <f t="shared" si="8"/>
        <v>2833</v>
      </c>
      <c r="M29" s="37">
        <f t="shared" si="8"/>
        <v>2833</v>
      </c>
      <c r="N29" s="37">
        <f t="shared" si="8"/>
        <v>2833</v>
      </c>
      <c r="O29" s="37">
        <f t="shared" si="8"/>
        <v>2833</v>
      </c>
      <c r="P29" s="37">
        <f t="shared" si="8"/>
        <v>2833</v>
      </c>
      <c r="Q29" s="37">
        <f t="shared" si="6"/>
        <v>2837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62000</v>
      </c>
      <c r="E30" s="37" t="s">
        <v>525</v>
      </c>
      <c r="F30" s="37">
        <f t="shared" si="8"/>
        <v>5167</v>
      </c>
      <c r="G30" s="37">
        <f t="shared" si="8"/>
        <v>5167</v>
      </c>
      <c r="H30" s="37">
        <f t="shared" si="8"/>
        <v>5167</v>
      </c>
      <c r="I30" s="37">
        <f t="shared" si="8"/>
        <v>5167</v>
      </c>
      <c r="J30" s="37">
        <f t="shared" si="8"/>
        <v>5167</v>
      </c>
      <c r="K30" s="37">
        <f t="shared" si="8"/>
        <v>5167</v>
      </c>
      <c r="L30" s="37">
        <f t="shared" si="8"/>
        <v>5167</v>
      </c>
      <c r="M30" s="37">
        <f t="shared" si="8"/>
        <v>5167</v>
      </c>
      <c r="N30" s="37">
        <f t="shared" si="8"/>
        <v>5167</v>
      </c>
      <c r="O30" s="37">
        <f t="shared" si="8"/>
        <v>5167</v>
      </c>
      <c r="P30" s="37">
        <f t="shared" si="8"/>
        <v>5167</v>
      </c>
      <c r="Q30" s="37">
        <f t="shared" si="6"/>
        <v>5163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31000</v>
      </c>
      <c r="E31" s="37" t="s">
        <v>525</v>
      </c>
      <c r="F31" s="37">
        <f t="shared" si="8"/>
        <v>2583</v>
      </c>
      <c r="G31" s="37">
        <f t="shared" si="8"/>
        <v>2583</v>
      </c>
      <c r="H31" s="37">
        <f t="shared" si="8"/>
        <v>2583</v>
      </c>
      <c r="I31" s="37">
        <f t="shared" si="8"/>
        <v>2583</v>
      </c>
      <c r="J31" s="37">
        <f t="shared" si="8"/>
        <v>2583</v>
      </c>
      <c r="K31" s="37">
        <f t="shared" si="8"/>
        <v>2583</v>
      </c>
      <c r="L31" s="37">
        <f t="shared" si="8"/>
        <v>2583</v>
      </c>
      <c r="M31" s="37">
        <f t="shared" si="8"/>
        <v>2583</v>
      </c>
      <c r="N31" s="37">
        <f t="shared" si="8"/>
        <v>2583</v>
      </c>
      <c r="O31" s="37">
        <f t="shared" si="8"/>
        <v>2583</v>
      </c>
      <c r="P31" s="37">
        <f t="shared" si="8"/>
        <v>2583</v>
      </c>
      <c r="Q31" s="37">
        <f t="shared" si="6"/>
        <v>2587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36000</v>
      </c>
      <c r="E32" s="37" t="s">
        <v>525</v>
      </c>
      <c r="F32" s="37">
        <f t="shared" si="8"/>
        <v>3000</v>
      </c>
      <c r="G32" s="37">
        <f t="shared" si="8"/>
        <v>3000</v>
      </c>
      <c r="H32" s="37">
        <f t="shared" si="8"/>
        <v>3000</v>
      </c>
      <c r="I32" s="37">
        <f t="shared" si="8"/>
        <v>3000</v>
      </c>
      <c r="J32" s="37">
        <f t="shared" si="8"/>
        <v>3000</v>
      </c>
      <c r="K32" s="37">
        <f t="shared" si="8"/>
        <v>3000</v>
      </c>
      <c r="L32" s="37">
        <f t="shared" si="8"/>
        <v>3000</v>
      </c>
      <c r="M32" s="37">
        <f t="shared" si="8"/>
        <v>3000</v>
      </c>
      <c r="N32" s="37">
        <f t="shared" si="8"/>
        <v>3000</v>
      </c>
      <c r="O32" s="37">
        <f t="shared" si="8"/>
        <v>3000</v>
      </c>
      <c r="P32" s="37">
        <f t="shared" si="8"/>
        <v>3000</v>
      </c>
      <c r="Q32" s="37">
        <f t="shared" si="6"/>
        <v>3000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22000</v>
      </c>
      <c r="E33" s="37" t="s">
        <v>525</v>
      </c>
      <c r="F33" s="37">
        <f t="shared" si="8"/>
        <v>1833</v>
      </c>
      <c r="G33" s="37">
        <f t="shared" si="8"/>
        <v>1833</v>
      </c>
      <c r="H33" s="37">
        <f t="shared" si="8"/>
        <v>1833</v>
      </c>
      <c r="I33" s="37">
        <f t="shared" si="8"/>
        <v>1833</v>
      </c>
      <c r="J33" s="37">
        <f t="shared" si="8"/>
        <v>1833</v>
      </c>
      <c r="K33" s="37">
        <f t="shared" si="8"/>
        <v>1833</v>
      </c>
      <c r="L33" s="37">
        <f t="shared" si="8"/>
        <v>1833</v>
      </c>
      <c r="M33" s="37">
        <f t="shared" si="8"/>
        <v>1833</v>
      </c>
      <c r="N33" s="37">
        <f t="shared" si="8"/>
        <v>1833</v>
      </c>
      <c r="O33" s="37">
        <f t="shared" si="8"/>
        <v>1833</v>
      </c>
      <c r="P33" s="37">
        <f t="shared" si="8"/>
        <v>1833</v>
      </c>
      <c r="Q33" s="37">
        <f t="shared" si="6"/>
        <v>1837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50000</v>
      </c>
      <c r="E36" s="37" t="s">
        <v>193</v>
      </c>
      <c r="F36" s="37">
        <f>ROUND($D36/2,-3)</f>
        <v>25000</v>
      </c>
      <c r="G36" s="37"/>
      <c r="H36" s="37"/>
      <c r="I36" s="37"/>
      <c r="J36" s="37"/>
      <c r="K36" s="37"/>
      <c r="L36" s="37">
        <f>D36-F36</f>
        <v>25000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568000</v>
      </c>
      <c r="E37" s="108"/>
      <c r="F37" s="108">
        <f t="shared" ref="F37:P37" si="9">ROUND(SUM(F26:F36),-3)</f>
        <v>68000</v>
      </c>
      <c r="G37" s="108">
        <f t="shared" si="9"/>
        <v>43000</v>
      </c>
      <c r="H37" s="108">
        <f t="shared" si="9"/>
        <v>43000</v>
      </c>
      <c r="I37" s="108">
        <f t="shared" si="9"/>
        <v>43000</v>
      </c>
      <c r="J37" s="108">
        <f t="shared" si="9"/>
        <v>43000</v>
      </c>
      <c r="K37" s="108">
        <f t="shared" si="9"/>
        <v>43000</v>
      </c>
      <c r="L37" s="108">
        <f t="shared" si="9"/>
        <v>68000</v>
      </c>
      <c r="M37" s="108">
        <f t="shared" si="9"/>
        <v>43000</v>
      </c>
      <c r="N37" s="108">
        <f t="shared" si="9"/>
        <v>43000</v>
      </c>
      <c r="O37" s="108">
        <f t="shared" si="9"/>
        <v>43000</v>
      </c>
      <c r="P37" s="108">
        <f t="shared" si="9"/>
        <v>43000</v>
      </c>
      <c r="Q37" s="108">
        <f>D37-SUM(F37:P37)</f>
        <v>45000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1685000</v>
      </c>
      <c r="E48" s="37"/>
      <c r="F48" s="115">
        <f>F25+F37+F45+F47</f>
        <v>288000</v>
      </c>
      <c r="G48" s="115">
        <f t="shared" ref="G48:R48" si="14">G25+G37+G45+G47</f>
        <v>110000</v>
      </c>
      <c r="H48" s="115">
        <f t="shared" si="14"/>
        <v>110000</v>
      </c>
      <c r="I48" s="115">
        <f t="shared" si="14"/>
        <v>110000</v>
      </c>
      <c r="J48" s="115">
        <f t="shared" si="14"/>
        <v>110000</v>
      </c>
      <c r="K48" s="115">
        <f t="shared" si="14"/>
        <v>114000</v>
      </c>
      <c r="L48" s="115">
        <f t="shared" si="14"/>
        <v>283000</v>
      </c>
      <c r="M48" s="115">
        <f t="shared" si="14"/>
        <v>110000</v>
      </c>
      <c r="N48" s="115">
        <f t="shared" si="14"/>
        <v>114000</v>
      </c>
      <c r="O48" s="115">
        <f t="shared" si="14"/>
        <v>110000</v>
      </c>
      <c r="P48" s="115">
        <f t="shared" si="14"/>
        <v>110000</v>
      </c>
      <c r="Q48" s="115">
        <f t="shared" si="14"/>
        <v>116000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29395000</v>
      </c>
      <c r="E49" s="114" t="s">
        <v>202</v>
      </c>
      <c r="F49" s="37">
        <f>ROUND($D49/12*3,-3)</f>
        <v>7349000</v>
      </c>
      <c r="G49" s="37">
        <f>ROUND($D49/12,-3)</f>
        <v>2450000</v>
      </c>
      <c r="H49" s="37">
        <f t="shared" ref="H49:N53" si="15">ROUND($D49/12,-3)</f>
        <v>2450000</v>
      </c>
      <c r="I49" s="37">
        <f t="shared" si="15"/>
        <v>2450000</v>
      </c>
      <c r="J49" s="37">
        <f t="shared" si="15"/>
        <v>2450000</v>
      </c>
      <c r="K49" s="37">
        <f t="shared" si="15"/>
        <v>2450000</v>
      </c>
      <c r="L49" s="37">
        <f t="shared" si="15"/>
        <v>2450000</v>
      </c>
      <c r="M49" s="37">
        <f t="shared" si="15"/>
        <v>2450000</v>
      </c>
      <c r="N49" s="37">
        <f t="shared" si="15"/>
        <v>2450000</v>
      </c>
      <c r="O49" s="37">
        <f>D49-SUM(F49:N49)</f>
        <v>2446000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406000</v>
      </c>
      <c r="E50" s="114" t="s">
        <v>202</v>
      </c>
      <c r="F50" s="37">
        <f t="shared" ref="F50:F53" si="16">ROUND($D50/12*3,-3)</f>
        <v>102000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si="15"/>
        <v>34000</v>
      </c>
      <c r="N50" s="37">
        <f t="shared" si="15"/>
        <v>34000</v>
      </c>
      <c r="O50" s="37">
        <f t="shared" ref="O50:O53" si="18">D50-SUM(F50:N50)</f>
        <v>32000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2571000</v>
      </c>
      <c r="E51" s="114" t="s">
        <v>202</v>
      </c>
      <c r="F51" s="37">
        <f t="shared" si="16"/>
        <v>643000</v>
      </c>
      <c r="G51" s="37">
        <f t="shared" si="17"/>
        <v>214000</v>
      </c>
      <c r="H51" s="37">
        <f t="shared" si="15"/>
        <v>214000</v>
      </c>
      <c r="I51" s="37">
        <f t="shared" si="15"/>
        <v>214000</v>
      </c>
      <c r="J51" s="37">
        <f t="shared" si="15"/>
        <v>214000</v>
      </c>
      <c r="K51" s="37">
        <f t="shared" si="15"/>
        <v>214000</v>
      </c>
      <c r="L51" s="37">
        <f t="shared" si="15"/>
        <v>214000</v>
      </c>
      <c r="M51" s="37">
        <f t="shared" si="15"/>
        <v>214000</v>
      </c>
      <c r="N51" s="37">
        <f t="shared" si="15"/>
        <v>214000</v>
      </c>
      <c r="O51" s="37">
        <f t="shared" si="18"/>
        <v>216000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399000</v>
      </c>
      <c r="E52" s="114" t="s">
        <v>202</v>
      </c>
      <c r="F52" s="37">
        <f t="shared" si="16"/>
        <v>100000</v>
      </c>
      <c r="G52" s="37">
        <f t="shared" si="17"/>
        <v>33000</v>
      </c>
      <c r="H52" s="37">
        <f t="shared" si="15"/>
        <v>33000</v>
      </c>
      <c r="I52" s="37">
        <f t="shared" si="15"/>
        <v>33000</v>
      </c>
      <c r="J52" s="37">
        <f t="shared" si="15"/>
        <v>33000</v>
      </c>
      <c r="K52" s="37">
        <f t="shared" si="15"/>
        <v>33000</v>
      </c>
      <c r="L52" s="37">
        <f t="shared" si="15"/>
        <v>33000</v>
      </c>
      <c r="M52" s="37">
        <f t="shared" si="15"/>
        <v>33000</v>
      </c>
      <c r="N52" s="37">
        <f t="shared" si="15"/>
        <v>33000</v>
      </c>
      <c r="O52" s="37">
        <f t="shared" si="18"/>
        <v>35000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94000</v>
      </c>
      <c r="E54" s="37" t="s">
        <v>525</v>
      </c>
      <c r="F54" s="37">
        <f t="shared" ref="F54:P61" si="19">ROUND($D54/12,0)</f>
        <v>7833</v>
      </c>
      <c r="G54" s="37">
        <f t="shared" si="19"/>
        <v>7833</v>
      </c>
      <c r="H54" s="37">
        <f t="shared" si="19"/>
        <v>7833</v>
      </c>
      <c r="I54" s="37">
        <f t="shared" si="19"/>
        <v>7833</v>
      </c>
      <c r="J54" s="37">
        <f t="shared" si="19"/>
        <v>7833</v>
      </c>
      <c r="K54" s="37">
        <f t="shared" si="19"/>
        <v>7833</v>
      </c>
      <c r="L54" s="37">
        <f t="shared" si="19"/>
        <v>7833</v>
      </c>
      <c r="M54" s="37">
        <f t="shared" si="19"/>
        <v>7833</v>
      </c>
      <c r="N54" s="37">
        <f t="shared" si="19"/>
        <v>7833</v>
      </c>
      <c r="O54" s="37">
        <f t="shared" si="19"/>
        <v>7833</v>
      </c>
      <c r="P54" s="37">
        <f t="shared" si="19"/>
        <v>7833</v>
      </c>
      <c r="Q54" s="37">
        <f t="shared" ref="Q54:Q61" si="20">D54-SUM(F54:P54)</f>
        <v>7837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0</v>
      </c>
      <c r="E59" s="37" t="s">
        <v>525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434000</v>
      </c>
      <c r="E60" s="37" t="s">
        <v>195</v>
      </c>
      <c r="F60" s="37">
        <f>D60</f>
        <v>434000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3024000</v>
      </c>
      <c r="E62" s="37" t="s">
        <v>197</v>
      </c>
      <c r="F62" s="37"/>
      <c r="G62" s="37"/>
      <c r="H62" s="37"/>
      <c r="I62" s="37">
        <f>ROUND($D62/5,-3)</f>
        <v>605000</v>
      </c>
      <c r="J62" s="37"/>
      <c r="K62" s="37"/>
      <c r="L62" s="37"/>
      <c r="M62" s="37"/>
      <c r="N62" s="37">
        <f>D62-I62</f>
        <v>2419000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3629000</v>
      </c>
      <c r="E63" s="37" t="s">
        <v>195</v>
      </c>
      <c r="F63" s="37">
        <f>D63</f>
        <v>3629000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2928000</v>
      </c>
      <c r="E64" s="114" t="s">
        <v>202</v>
      </c>
      <c r="F64" s="37">
        <f>ROUND($D64/12*3,-3)</f>
        <v>732000</v>
      </c>
      <c r="G64" s="37">
        <f>ROUND($D64/12,-3)</f>
        <v>244000</v>
      </c>
      <c r="H64" s="37">
        <f t="shared" ref="H64:N66" si="21">ROUND($D64/12,-3)</f>
        <v>244000</v>
      </c>
      <c r="I64" s="37">
        <f t="shared" si="21"/>
        <v>244000</v>
      </c>
      <c r="J64" s="37">
        <f t="shared" si="21"/>
        <v>244000</v>
      </c>
      <c r="K64" s="37">
        <f t="shared" si="21"/>
        <v>244000</v>
      </c>
      <c r="L64" s="37">
        <f t="shared" si="21"/>
        <v>244000</v>
      </c>
      <c r="M64" s="37">
        <f t="shared" si="21"/>
        <v>244000</v>
      </c>
      <c r="N64" s="37">
        <f t="shared" si="21"/>
        <v>244000</v>
      </c>
      <c r="O64" s="37">
        <f>D64-SUM(F64:N64)</f>
        <v>244000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613000</v>
      </c>
      <c r="E65" s="114" t="s">
        <v>202</v>
      </c>
      <c r="F65" s="37">
        <f t="shared" ref="F65:F66" si="22">ROUND($D65/12*3,-3)</f>
        <v>153000</v>
      </c>
      <c r="G65" s="37">
        <f t="shared" ref="G65:G66" si="23">ROUND($D65/12,-3)</f>
        <v>51000</v>
      </c>
      <c r="H65" s="37">
        <f t="shared" si="21"/>
        <v>51000</v>
      </c>
      <c r="I65" s="37">
        <f t="shared" si="21"/>
        <v>51000</v>
      </c>
      <c r="J65" s="37">
        <f t="shared" si="21"/>
        <v>51000</v>
      </c>
      <c r="K65" s="37">
        <f t="shared" si="21"/>
        <v>51000</v>
      </c>
      <c r="L65" s="37">
        <f t="shared" si="21"/>
        <v>51000</v>
      </c>
      <c r="M65" s="37">
        <f t="shared" si="21"/>
        <v>51000</v>
      </c>
      <c r="N65" s="37">
        <f t="shared" si="21"/>
        <v>51000</v>
      </c>
      <c r="O65" s="37">
        <f t="shared" ref="O65:O66" si="24">D65-SUM(F65:N65)</f>
        <v>52000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2417000</v>
      </c>
      <c r="E66" s="114" t="s">
        <v>202</v>
      </c>
      <c r="F66" s="37">
        <f t="shared" si="22"/>
        <v>604000</v>
      </c>
      <c r="G66" s="37">
        <f t="shared" si="23"/>
        <v>201000</v>
      </c>
      <c r="H66" s="37">
        <f t="shared" si="21"/>
        <v>201000</v>
      </c>
      <c r="I66" s="37">
        <f t="shared" si="21"/>
        <v>201000</v>
      </c>
      <c r="J66" s="37">
        <f t="shared" si="21"/>
        <v>201000</v>
      </c>
      <c r="K66" s="37">
        <f t="shared" si="21"/>
        <v>201000</v>
      </c>
      <c r="L66" s="37">
        <f t="shared" si="21"/>
        <v>201000</v>
      </c>
      <c r="M66" s="37">
        <f t="shared" si="21"/>
        <v>201000</v>
      </c>
      <c r="N66" s="37">
        <f t="shared" si="21"/>
        <v>201000</v>
      </c>
      <c r="O66" s="37">
        <f t="shared" si="24"/>
        <v>205000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50000</v>
      </c>
      <c r="E67" s="37" t="s">
        <v>196</v>
      </c>
      <c r="F67" s="37"/>
      <c r="G67" s="37"/>
      <c r="H67" s="37">
        <f>D67</f>
        <v>50000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166000</v>
      </c>
      <c r="E68" s="37" t="s">
        <v>195</v>
      </c>
      <c r="F68" s="37">
        <f>D68</f>
        <v>166000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5000</v>
      </c>
      <c r="E69" s="37" t="s">
        <v>193</v>
      </c>
      <c r="F69" s="37">
        <f>ROUND($D69/2,-3)</f>
        <v>3000</v>
      </c>
      <c r="G69" s="37"/>
      <c r="H69" s="37"/>
      <c r="I69" s="37"/>
      <c r="J69" s="37"/>
      <c r="K69" s="37"/>
      <c r="L69" s="37">
        <f>D69-F69</f>
        <v>2000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46131000</v>
      </c>
      <c r="E70" s="108"/>
      <c r="F70" s="108">
        <f t="shared" ref="F70:P70" si="25">ROUND(SUM(F49:F69),-3)</f>
        <v>13923000</v>
      </c>
      <c r="G70" s="108">
        <f t="shared" si="25"/>
        <v>3235000</v>
      </c>
      <c r="H70" s="108">
        <f t="shared" si="25"/>
        <v>3285000</v>
      </c>
      <c r="I70" s="108">
        <f t="shared" si="25"/>
        <v>3840000</v>
      </c>
      <c r="J70" s="108">
        <f t="shared" si="25"/>
        <v>3235000</v>
      </c>
      <c r="K70" s="108">
        <f t="shared" si="25"/>
        <v>3235000</v>
      </c>
      <c r="L70" s="108">
        <f t="shared" si="25"/>
        <v>3237000</v>
      </c>
      <c r="M70" s="108">
        <f t="shared" si="25"/>
        <v>3235000</v>
      </c>
      <c r="N70" s="108">
        <f t="shared" si="25"/>
        <v>5654000</v>
      </c>
      <c r="O70" s="108">
        <f t="shared" si="25"/>
        <v>3238000</v>
      </c>
      <c r="P70" s="108">
        <f t="shared" si="25"/>
        <v>8000</v>
      </c>
      <c r="Q70" s="108">
        <f>D70-SUM(F70:P70)</f>
        <v>6000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12486000</v>
      </c>
      <c r="E72" s="114" t="s">
        <v>202</v>
      </c>
      <c r="F72" s="37">
        <f>ROUND($D72/12*3,-3)</f>
        <v>3122000</v>
      </c>
      <c r="G72" s="37">
        <f>ROUND($D72/12,-3)</f>
        <v>1041000</v>
      </c>
      <c r="H72" s="37">
        <f t="shared" ref="H72:N75" si="26">ROUND($D72/12,-3)</f>
        <v>1041000</v>
      </c>
      <c r="I72" s="37">
        <f t="shared" si="26"/>
        <v>1041000</v>
      </c>
      <c r="J72" s="37">
        <f t="shared" si="26"/>
        <v>1041000</v>
      </c>
      <c r="K72" s="37">
        <f t="shared" si="26"/>
        <v>1041000</v>
      </c>
      <c r="L72" s="37">
        <f t="shared" si="26"/>
        <v>1041000</v>
      </c>
      <c r="M72" s="37">
        <f t="shared" si="26"/>
        <v>1041000</v>
      </c>
      <c r="N72" s="37">
        <f t="shared" si="26"/>
        <v>1041000</v>
      </c>
      <c r="O72" s="37">
        <f>D72-SUM(F72:N72)</f>
        <v>1036000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909000</v>
      </c>
      <c r="E75" s="114" t="s">
        <v>202</v>
      </c>
      <c r="F75" s="37">
        <f>ROUND($D75/12*3,-3)</f>
        <v>227000</v>
      </c>
      <c r="G75" s="37">
        <f>ROUND($D75/12,-3)</f>
        <v>76000</v>
      </c>
      <c r="H75" s="37">
        <f t="shared" si="26"/>
        <v>76000</v>
      </c>
      <c r="I75" s="37">
        <f t="shared" si="26"/>
        <v>76000</v>
      </c>
      <c r="J75" s="37">
        <f t="shared" si="26"/>
        <v>76000</v>
      </c>
      <c r="K75" s="37">
        <f t="shared" si="26"/>
        <v>76000</v>
      </c>
      <c r="L75" s="37">
        <f t="shared" si="26"/>
        <v>76000</v>
      </c>
      <c r="M75" s="37">
        <f t="shared" si="26"/>
        <v>76000</v>
      </c>
      <c r="N75" s="37">
        <f t="shared" si="26"/>
        <v>76000</v>
      </c>
      <c r="O75" s="37">
        <f>D75-SUM(F75:N75)</f>
        <v>74000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13395000</v>
      </c>
      <c r="E76" s="108"/>
      <c r="F76" s="108">
        <f>ROUND(SUM(F71:F75),-3)</f>
        <v>3349000</v>
      </c>
      <c r="G76" s="108">
        <f t="shared" ref="G76:N76" si="27">ROUND(SUM(G71:G75),-3)</f>
        <v>1117000</v>
      </c>
      <c r="H76" s="108">
        <f t="shared" si="27"/>
        <v>1117000</v>
      </c>
      <c r="I76" s="108">
        <f t="shared" si="27"/>
        <v>1117000</v>
      </c>
      <c r="J76" s="108">
        <f t="shared" si="27"/>
        <v>1117000</v>
      </c>
      <c r="K76" s="108">
        <f t="shared" si="27"/>
        <v>1117000</v>
      </c>
      <c r="L76" s="108">
        <f t="shared" si="27"/>
        <v>1117000</v>
      </c>
      <c r="M76" s="108">
        <f t="shared" si="27"/>
        <v>1117000</v>
      </c>
      <c r="N76" s="108">
        <f t="shared" si="27"/>
        <v>1117000</v>
      </c>
      <c r="O76" s="108">
        <f>D76-SUM(F76:N76)</f>
        <v>1110000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345000</v>
      </c>
      <c r="E77" s="37" t="s">
        <v>681</v>
      </c>
      <c r="F77" s="224"/>
      <c r="G77" s="224"/>
      <c r="H77" s="224">
        <f>ROUND($D77/2,-3)</f>
        <v>173000</v>
      </c>
      <c r="I77" s="224"/>
      <c r="J77" s="224"/>
      <c r="K77" s="224"/>
      <c r="L77" s="224"/>
      <c r="M77" s="224"/>
      <c r="N77" s="224">
        <f>D77-H77</f>
        <v>172000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59871000</v>
      </c>
      <c r="E78" s="227"/>
      <c r="F78" s="227">
        <f>F76+F70+F77</f>
        <v>17272000</v>
      </c>
      <c r="G78" s="227">
        <f t="shared" ref="G78:Q78" si="29">G76+G70+G77</f>
        <v>4352000</v>
      </c>
      <c r="H78" s="227">
        <f t="shared" si="29"/>
        <v>4575000</v>
      </c>
      <c r="I78" s="227">
        <f t="shared" si="29"/>
        <v>4957000</v>
      </c>
      <c r="J78" s="227">
        <f t="shared" si="29"/>
        <v>4352000</v>
      </c>
      <c r="K78" s="227">
        <f t="shared" si="29"/>
        <v>4352000</v>
      </c>
      <c r="L78" s="227">
        <f t="shared" si="29"/>
        <v>4354000</v>
      </c>
      <c r="M78" s="227">
        <f t="shared" si="29"/>
        <v>4352000</v>
      </c>
      <c r="N78" s="227">
        <f t="shared" si="29"/>
        <v>6943000</v>
      </c>
      <c r="O78" s="227">
        <f t="shared" si="29"/>
        <v>4348000</v>
      </c>
      <c r="P78" s="227">
        <f t="shared" si="29"/>
        <v>8000</v>
      </c>
      <c r="Q78" s="227">
        <f t="shared" si="29"/>
        <v>6000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61556000</v>
      </c>
      <c r="E87" s="37"/>
      <c r="F87" s="37">
        <f>F88+F89+F90+F91</f>
        <v>17560000</v>
      </c>
      <c r="G87" s="37">
        <f t="shared" ref="G87:Q87" si="32">G88+G89+G90+G91</f>
        <v>4462000</v>
      </c>
      <c r="H87" s="37">
        <f t="shared" si="32"/>
        <v>4685000</v>
      </c>
      <c r="I87" s="37">
        <f t="shared" si="32"/>
        <v>5067000</v>
      </c>
      <c r="J87" s="37">
        <f t="shared" si="32"/>
        <v>4462000</v>
      </c>
      <c r="K87" s="37">
        <f t="shared" si="32"/>
        <v>4466000</v>
      </c>
      <c r="L87" s="37">
        <f t="shared" si="32"/>
        <v>4637000</v>
      </c>
      <c r="M87" s="37">
        <f t="shared" si="32"/>
        <v>4462000</v>
      </c>
      <c r="N87" s="37">
        <f t="shared" si="32"/>
        <v>7057000</v>
      </c>
      <c r="O87" s="37">
        <f t="shared" si="32"/>
        <v>4458000</v>
      </c>
      <c r="P87" s="37">
        <f t="shared" si="32"/>
        <v>118000</v>
      </c>
      <c r="Q87" s="37">
        <f t="shared" si="32"/>
        <v>122000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270000</v>
      </c>
      <c r="E88" s="108" t="s">
        <v>193</v>
      </c>
      <c r="F88" s="108">
        <f>ROUND($D88/2,-3)</f>
        <v>135000</v>
      </c>
      <c r="G88" s="108"/>
      <c r="H88" s="108"/>
      <c r="I88" s="108"/>
      <c r="J88" s="108"/>
      <c r="K88" s="108"/>
      <c r="L88" s="108">
        <f>D88-F88</f>
        <v>135000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2000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1000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61284000</v>
      </c>
      <c r="E91" s="108"/>
      <c r="F91" s="108">
        <f>F92+F93+F94+F95</f>
        <v>17425000</v>
      </c>
      <c r="G91" s="108">
        <f t="shared" ref="G91:Q91" si="34">G92+G93+G94+G95</f>
        <v>4462000</v>
      </c>
      <c r="H91" s="108">
        <f t="shared" si="34"/>
        <v>4685000</v>
      </c>
      <c r="I91" s="108">
        <f t="shared" si="34"/>
        <v>5067000</v>
      </c>
      <c r="J91" s="108">
        <f t="shared" si="34"/>
        <v>4462000</v>
      </c>
      <c r="K91" s="108">
        <f t="shared" si="34"/>
        <v>4466000</v>
      </c>
      <c r="L91" s="108">
        <f t="shared" si="34"/>
        <v>4501000</v>
      </c>
      <c r="M91" s="108">
        <f t="shared" si="34"/>
        <v>4462000</v>
      </c>
      <c r="N91" s="108">
        <f t="shared" si="34"/>
        <v>7057000</v>
      </c>
      <c r="O91" s="108">
        <f t="shared" si="34"/>
        <v>4458000</v>
      </c>
      <c r="P91" s="108">
        <f t="shared" si="34"/>
        <v>118000</v>
      </c>
      <c r="Q91" s="108">
        <f t="shared" si="34"/>
        <v>121000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5540000</v>
      </c>
      <c r="E92" s="114" t="s">
        <v>537</v>
      </c>
      <c r="F92" s="37">
        <f>ROUND($D92/12*5,-3)</f>
        <v>2308000</v>
      </c>
      <c r="G92" s="37">
        <f>ROUND($D92/12,-3)</f>
        <v>462000</v>
      </c>
      <c r="H92" s="37">
        <f t="shared" ref="H92:L92" si="35">ROUND($D92/12,-3)</f>
        <v>462000</v>
      </c>
      <c r="I92" s="37">
        <f t="shared" si="35"/>
        <v>462000</v>
      </c>
      <c r="J92" s="37">
        <f t="shared" si="35"/>
        <v>462000</v>
      </c>
      <c r="K92" s="37">
        <f t="shared" si="35"/>
        <v>462000</v>
      </c>
      <c r="L92" s="37">
        <f t="shared" si="35"/>
        <v>462000</v>
      </c>
      <c r="M92" s="37">
        <f>D92-SUM(F92:L92)</f>
        <v>460000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294000</v>
      </c>
      <c r="E93" s="109" t="s">
        <v>227</v>
      </c>
      <c r="F93" s="37">
        <f>ROUND($D93/12,-3)</f>
        <v>25000</v>
      </c>
      <c r="G93" s="37">
        <f t="shared" ref="G93:P93" si="36">ROUND($D93/12,-3)</f>
        <v>25000</v>
      </c>
      <c r="H93" s="37">
        <f t="shared" si="36"/>
        <v>25000</v>
      </c>
      <c r="I93" s="37">
        <f t="shared" si="36"/>
        <v>25000</v>
      </c>
      <c r="J93" s="37">
        <f t="shared" si="36"/>
        <v>25000</v>
      </c>
      <c r="K93" s="37">
        <f t="shared" si="36"/>
        <v>25000</v>
      </c>
      <c r="L93" s="37">
        <f t="shared" si="36"/>
        <v>25000</v>
      </c>
      <c r="M93" s="37">
        <f t="shared" si="36"/>
        <v>25000</v>
      </c>
      <c r="N93" s="37">
        <f t="shared" si="36"/>
        <v>25000</v>
      </c>
      <c r="O93" s="37">
        <f t="shared" si="36"/>
        <v>25000</v>
      </c>
      <c r="P93" s="37">
        <f t="shared" si="36"/>
        <v>25000</v>
      </c>
      <c r="Q93" s="37">
        <f>D93-SUM(F93:P93)</f>
        <v>19000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140000</v>
      </c>
      <c r="E94" s="110" t="s">
        <v>229</v>
      </c>
      <c r="F94" s="37"/>
      <c r="G94" s="37"/>
      <c r="H94" s="37">
        <f>ROUND($D94/2,-3)</f>
        <v>70000</v>
      </c>
      <c r="I94" s="37"/>
      <c r="J94" s="37"/>
      <c r="K94" s="37"/>
      <c r="L94" s="37"/>
      <c r="M94" s="37"/>
      <c r="N94" s="37"/>
      <c r="O94" s="37">
        <f>D94-H94</f>
        <v>70000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55310000</v>
      </c>
      <c r="E95" s="37"/>
      <c r="F95" s="37">
        <f>F2+F86-F88-F89-F90-F92-F93-F94</f>
        <v>15092000</v>
      </c>
      <c r="G95" s="37">
        <f t="shared" ref="G95:Q95" si="37">G2-G88-G89-G90-G92-G93-G94</f>
        <v>3975000</v>
      </c>
      <c r="H95" s="37">
        <f t="shared" si="37"/>
        <v>4128000</v>
      </c>
      <c r="I95" s="37">
        <f t="shared" si="37"/>
        <v>4580000</v>
      </c>
      <c r="J95" s="37">
        <f t="shared" si="37"/>
        <v>3975000</v>
      </c>
      <c r="K95" s="37">
        <f t="shared" si="37"/>
        <v>3979000</v>
      </c>
      <c r="L95" s="37">
        <f t="shared" si="37"/>
        <v>4014000</v>
      </c>
      <c r="M95" s="37">
        <f t="shared" si="37"/>
        <v>3977000</v>
      </c>
      <c r="N95" s="37">
        <f t="shared" si="37"/>
        <v>7032000</v>
      </c>
      <c r="O95" s="37">
        <f t="shared" si="37"/>
        <v>4363000</v>
      </c>
      <c r="P95" s="37">
        <f t="shared" si="37"/>
        <v>93000</v>
      </c>
      <c r="Q95" s="37">
        <f t="shared" si="37"/>
        <v>102000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800000</v>
      </c>
    </row>
    <row r="99" spans="2:17" ht="32.4">
      <c r="B99" s="72" t="s">
        <v>235</v>
      </c>
      <c r="D99" s="30">
        <f>HLOOKUP(D1,縣庫撥款收入明細表!H:DD,5,FALSE)</f>
        <v>3570000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1170000</v>
      </c>
    </row>
    <row r="102" spans="2:17" ht="32.4">
      <c r="B102" s="71" t="s">
        <v>238</v>
      </c>
      <c r="D102" s="30">
        <f>HLOOKUP(D1,縣庫撥款收入明細表!H:DD,16,FALSE)</f>
        <v>276000</v>
      </c>
    </row>
    <row r="103" spans="2:17" ht="32.4">
      <c r="B103" s="72" t="s">
        <v>239</v>
      </c>
      <c r="D103" s="30">
        <f>HLOOKUP(D1,縣庫撥款收入明細表!H:DD,17,FALSE)</f>
        <v>0</v>
      </c>
    </row>
    <row r="104" spans="2:17" ht="32.4">
      <c r="B104" s="76" t="s">
        <v>240</v>
      </c>
      <c r="D104" s="30">
        <f>HLOOKUP(D1,縣庫撥款收入明細表!H:DD,18,FALSE)</f>
        <v>140000</v>
      </c>
    </row>
    <row r="105" spans="2:17" ht="32.4">
      <c r="B105" s="72" t="s">
        <v>380</v>
      </c>
      <c r="D105" s="30">
        <f>HLOOKUP(D1,縣庫撥款收入明細表!H:DD,19,FALSE)</f>
        <v>0</v>
      </c>
    </row>
    <row r="106" spans="2:17" ht="32.4">
      <c r="B106" s="71" t="s">
        <v>241</v>
      </c>
      <c r="D106" s="30">
        <f>HLOOKUP(D1,縣庫撥款收入明細表!H:DD,20,FALSE)</f>
        <v>18000</v>
      </c>
    </row>
    <row r="107" spans="2:17" ht="32.4">
      <c r="B107" s="77" t="s">
        <v>242</v>
      </c>
      <c r="D107" s="30">
        <f>HLOOKUP(D1,縣庫撥款收入明細表!H:DD,21,FALSE)</f>
        <v>55310000</v>
      </c>
    </row>
    <row r="108" spans="2:17" ht="16.5" customHeight="1"/>
    <row r="109" spans="2:17" ht="16.5" customHeight="1">
      <c r="B109" s="4" t="s">
        <v>682</v>
      </c>
      <c r="D109" s="30">
        <f>D91-D76</f>
        <v>47889000</v>
      </c>
      <c r="F109" s="30">
        <f>F91-F76</f>
        <v>14076000</v>
      </c>
      <c r="G109" s="30">
        <f t="shared" ref="G109:Q109" si="38">G91-G76</f>
        <v>3345000</v>
      </c>
      <c r="H109" s="30">
        <f t="shared" si="38"/>
        <v>3568000</v>
      </c>
      <c r="I109" s="30">
        <f t="shared" si="38"/>
        <v>3950000</v>
      </c>
      <c r="J109" s="30">
        <f t="shared" si="38"/>
        <v>3345000</v>
      </c>
      <c r="K109" s="30">
        <f t="shared" si="38"/>
        <v>3349000</v>
      </c>
      <c r="L109" s="30">
        <f t="shared" si="38"/>
        <v>3384000</v>
      </c>
      <c r="M109" s="30">
        <f t="shared" si="38"/>
        <v>3345000</v>
      </c>
      <c r="N109" s="30">
        <f t="shared" si="38"/>
        <v>5940000</v>
      </c>
      <c r="O109" s="30">
        <f t="shared" si="38"/>
        <v>3348000</v>
      </c>
      <c r="P109" s="30">
        <f t="shared" si="38"/>
        <v>118000</v>
      </c>
      <c r="Q109" s="30">
        <f t="shared" si="38"/>
        <v>121000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8:C78"/>
    <mergeCell ref="A79:A83"/>
    <mergeCell ref="A1:B1"/>
    <mergeCell ref="A2:B2"/>
    <mergeCell ref="A3:A48"/>
    <mergeCell ref="A49:A70"/>
    <mergeCell ref="A71:A76"/>
  </mergeCells>
  <phoneticPr fontId="3" type="noConversion"/>
  <conditionalFormatting sqref="F95:Q95">
    <cfRule type="cellIs" dxfId="170" priority="1" operator="less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topLeftCell="A73" workbookViewId="0">
      <selection activeCell="N87" sqref="N87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618</v>
      </c>
      <c r="D1" s="240" t="str">
        <f>VLOOKUP(C1,學校編號!A:B,2,FALSE)</f>
        <v>618宜昌國小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151264000</v>
      </c>
      <c r="E2" s="37"/>
      <c r="F2" s="37">
        <f>F48+F70+F76+F77+F83</f>
        <v>43500000</v>
      </c>
      <c r="G2" s="37">
        <f t="shared" ref="G2:Q2" si="0">G48+G70+G76+G77+G83</f>
        <v>10834000</v>
      </c>
      <c r="H2" s="37">
        <f t="shared" si="0"/>
        <v>11729000</v>
      </c>
      <c r="I2" s="37">
        <f t="shared" si="0"/>
        <v>12383000</v>
      </c>
      <c r="J2" s="37">
        <f t="shared" si="0"/>
        <v>10834000</v>
      </c>
      <c r="K2" s="37">
        <f t="shared" si="0"/>
        <v>10844000</v>
      </c>
      <c r="L2" s="37">
        <f t="shared" si="0"/>
        <v>11153000</v>
      </c>
      <c r="M2" s="37">
        <f t="shared" si="0"/>
        <v>10834000</v>
      </c>
      <c r="N2" s="37">
        <f t="shared" si="0"/>
        <v>17794000</v>
      </c>
      <c r="O2" s="37">
        <f t="shared" si="0"/>
        <v>10829000</v>
      </c>
      <c r="P2" s="37">
        <f t="shared" si="0"/>
        <v>269000</v>
      </c>
      <c r="Q2" s="37">
        <f t="shared" si="0"/>
        <v>261000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587000</v>
      </c>
      <c r="E3" s="37" t="s">
        <v>525</v>
      </c>
      <c r="F3" s="37">
        <f t="shared" ref="F3:P17" si="1">ROUND($D3/12,0)</f>
        <v>48917</v>
      </c>
      <c r="G3" s="37">
        <f t="shared" si="1"/>
        <v>48917</v>
      </c>
      <c r="H3" s="37">
        <f t="shared" si="1"/>
        <v>48917</v>
      </c>
      <c r="I3" s="37">
        <f t="shared" si="1"/>
        <v>48917</v>
      </c>
      <c r="J3" s="37">
        <f t="shared" si="1"/>
        <v>48917</v>
      </c>
      <c r="K3" s="37">
        <f t="shared" si="1"/>
        <v>48917</v>
      </c>
      <c r="L3" s="37">
        <f t="shared" si="1"/>
        <v>48917</v>
      </c>
      <c r="M3" s="37">
        <f t="shared" si="1"/>
        <v>48917</v>
      </c>
      <c r="N3" s="37">
        <f t="shared" si="1"/>
        <v>48917</v>
      </c>
      <c r="O3" s="37">
        <f t="shared" si="1"/>
        <v>48917</v>
      </c>
      <c r="P3" s="37">
        <f t="shared" si="1"/>
        <v>48917</v>
      </c>
      <c r="Q3" s="37">
        <f t="shared" ref="Q3:Q10" si="2">D3-SUM(F3:P3)</f>
        <v>48913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252000</v>
      </c>
      <c r="E4" s="37" t="s">
        <v>525</v>
      </c>
      <c r="F4" s="37">
        <f t="shared" si="1"/>
        <v>21000</v>
      </c>
      <c r="G4" s="37">
        <f t="shared" si="1"/>
        <v>21000</v>
      </c>
      <c r="H4" s="37">
        <f t="shared" si="1"/>
        <v>21000</v>
      </c>
      <c r="I4" s="37">
        <f t="shared" si="1"/>
        <v>21000</v>
      </c>
      <c r="J4" s="37">
        <f t="shared" si="1"/>
        <v>21000</v>
      </c>
      <c r="K4" s="37">
        <f t="shared" si="1"/>
        <v>21000</v>
      </c>
      <c r="L4" s="37">
        <f t="shared" si="1"/>
        <v>21000</v>
      </c>
      <c r="M4" s="37">
        <f t="shared" si="1"/>
        <v>21000</v>
      </c>
      <c r="N4" s="37">
        <f t="shared" si="1"/>
        <v>21000</v>
      </c>
      <c r="O4" s="37">
        <f t="shared" si="1"/>
        <v>21000</v>
      </c>
      <c r="P4" s="37">
        <f t="shared" si="1"/>
        <v>21000</v>
      </c>
      <c r="Q4" s="37">
        <f t="shared" si="2"/>
        <v>21000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30000</v>
      </c>
      <c r="E5" s="37" t="s">
        <v>525</v>
      </c>
      <c r="F5" s="37">
        <f t="shared" si="1"/>
        <v>2500</v>
      </c>
      <c r="G5" s="37">
        <f t="shared" si="1"/>
        <v>2500</v>
      </c>
      <c r="H5" s="37">
        <f t="shared" si="1"/>
        <v>2500</v>
      </c>
      <c r="I5" s="37">
        <f t="shared" si="1"/>
        <v>2500</v>
      </c>
      <c r="J5" s="37">
        <f t="shared" si="1"/>
        <v>2500</v>
      </c>
      <c r="K5" s="37">
        <f t="shared" si="1"/>
        <v>2500</v>
      </c>
      <c r="L5" s="37">
        <f t="shared" si="1"/>
        <v>2500</v>
      </c>
      <c r="M5" s="37">
        <f t="shared" si="1"/>
        <v>2500</v>
      </c>
      <c r="N5" s="37">
        <f t="shared" si="1"/>
        <v>2500</v>
      </c>
      <c r="O5" s="37">
        <f t="shared" si="1"/>
        <v>2500</v>
      </c>
      <c r="P5" s="37">
        <f t="shared" si="1"/>
        <v>2500</v>
      </c>
      <c r="Q5" s="37">
        <f t="shared" si="2"/>
        <v>2500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88000</v>
      </c>
      <c r="E7" s="37" t="s">
        <v>525</v>
      </c>
      <c r="F7" s="37">
        <f t="shared" si="1"/>
        <v>7333</v>
      </c>
      <c r="G7" s="37">
        <f t="shared" si="1"/>
        <v>7333</v>
      </c>
      <c r="H7" s="37">
        <f t="shared" si="1"/>
        <v>7333</v>
      </c>
      <c r="I7" s="37">
        <f t="shared" si="1"/>
        <v>7333</v>
      </c>
      <c r="J7" s="37">
        <f t="shared" si="1"/>
        <v>7333</v>
      </c>
      <c r="K7" s="37">
        <f t="shared" si="1"/>
        <v>7333</v>
      </c>
      <c r="L7" s="37">
        <f t="shared" si="1"/>
        <v>7333</v>
      </c>
      <c r="M7" s="37">
        <f t="shared" si="1"/>
        <v>7333</v>
      </c>
      <c r="N7" s="37">
        <f t="shared" si="1"/>
        <v>7333</v>
      </c>
      <c r="O7" s="37">
        <f t="shared" si="1"/>
        <v>7333</v>
      </c>
      <c r="P7" s="37">
        <f t="shared" si="1"/>
        <v>7333</v>
      </c>
      <c r="Q7" s="37">
        <f t="shared" si="2"/>
        <v>7337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90000</v>
      </c>
      <c r="E8" s="37" t="s">
        <v>525</v>
      </c>
      <c r="F8" s="37">
        <f t="shared" si="1"/>
        <v>7500</v>
      </c>
      <c r="G8" s="37">
        <f t="shared" si="1"/>
        <v>7500</v>
      </c>
      <c r="H8" s="37">
        <f t="shared" si="1"/>
        <v>7500</v>
      </c>
      <c r="I8" s="37">
        <f t="shared" si="1"/>
        <v>7500</v>
      </c>
      <c r="J8" s="37">
        <f t="shared" si="1"/>
        <v>7500</v>
      </c>
      <c r="K8" s="37">
        <f t="shared" si="1"/>
        <v>7500</v>
      </c>
      <c r="L8" s="37">
        <f t="shared" si="1"/>
        <v>7500</v>
      </c>
      <c r="M8" s="37">
        <f t="shared" si="1"/>
        <v>7500</v>
      </c>
      <c r="N8" s="37">
        <f t="shared" si="1"/>
        <v>7500</v>
      </c>
      <c r="O8" s="37">
        <f t="shared" si="1"/>
        <v>7500</v>
      </c>
      <c r="P8" s="37">
        <f t="shared" si="1"/>
        <v>7500</v>
      </c>
      <c r="Q8" s="37">
        <f t="shared" si="2"/>
        <v>7500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9000</v>
      </c>
      <c r="E9" s="37" t="s">
        <v>525</v>
      </c>
      <c r="F9" s="37">
        <f t="shared" si="1"/>
        <v>750</v>
      </c>
      <c r="G9" s="37">
        <f t="shared" si="1"/>
        <v>750</v>
      </c>
      <c r="H9" s="37">
        <f t="shared" si="1"/>
        <v>750</v>
      </c>
      <c r="I9" s="37">
        <f t="shared" si="1"/>
        <v>750</v>
      </c>
      <c r="J9" s="37">
        <f t="shared" si="1"/>
        <v>750</v>
      </c>
      <c r="K9" s="37">
        <f t="shared" si="1"/>
        <v>750</v>
      </c>
      <c r="L9" s="37">
        <f t="shared" si="1"/>
        <v>750</v>
      </c>
      <c r="M9" s="37">
        <f t="shared" si="1"/>
        <v>750</v>
      </c>
      <c r="N9" s="37">
        <f t="shared" si="1"/>
        <v>750</v>
      </c>
      <c r="O9" s="37">
        <f t="shared" si="1"/>
        <v>750</v>
      </c>
      <c r="P9" s="37">
        <f t="shared" si="1"/>
        <v>750</v>
      </c>
      <c r="Q9" s="37">
        <f t="shared" si="2"/>
        <v>750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164000</v>
      </c>
      <c r="E13" s="37" t="s">
        <v>525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178000</v>
      </c>
      <c r="E15" s="37" t="s">
        <v>193</v>
      </c>
      <c r="F15" s="37">
        <f>ROUND($D15/2,-3)</f>
        <v>89000</v>
      </c>
      <c r="G15" s="37"/>
      <c r="H15" s="37"/>
      <c r="I15" s="37"/>
      <c r="J15" s="37"/>
      <c r="K15" s="37"/>
      <c r="L15" s="37">
        <f>D15-F15</f>
        <v>89000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0</v>
      </c>
      <c r="E16" s="37" t="s">
        <v>525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72000</v>
      </c>
      <c r="E17" s="37" t="s">
        <v>525</v>
      </c>
      <c r="F17" s="37">
        <f>ROUND($D17/12,0)</f>
        <v>6000</v>
      </c>
      <c r="G17" s="37">
        <f t="shared" si="1"/>
        <v>6000</v>
      </c>
      <c r="H17" s="37">
        <f t="shared" si="1"/>
        <v>6000</v>
      </c>
      <c r="I17" s="37">
        <f t="shared" si="1"/>
        <v>6000</v>
      </c>
      <c r="J17" s="37">
        <f t="shared" si="1"/>
        <v>6000</v>
      </c>
      <c r="K17" s="37">
        <f t="shared" si="1"/>
        <v>6000</v>
      </c>
      <c r="L17" s="37">
        <f t="shared" si="1"/>
        <v>6000</v>
      </c>
      <c r="M17" s="37">
        <f t="shared" si="1"/>
        <v>6000</v>
      </c>
      <c r="N17" s="37">
        <f t="shared" si="1"/>
        <v>6000</v>
      </c>
      <c r="O17" s="37">
        <f t="shared" si="1"/>
        <v>6000</v>
      </c>
      <c r="P17" s="37">
        <f t="shared" si="1"/>
        <v>6000</v>
      </c>
      <c r="Q17" s="37">
        <f>D17-SUM(F17:P17)</f>
        <v>6000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360000</v>
      </c>
      <c r="E24" s="37" t="s">
        <v>193</v>
      </c>
      <c r="F24" s="37">
        <f>ROUND($D24/2,-3)</f>
        <v>180000</v>
      </c>
      <c r="G24" s="37"/>
      <c r="H24" s="37"/>
      <c r="I24" s="37"/>
      <c r="J24" s="37"/>
      <c r="K24" s="37"/>
      <c r="L24" s="37">
        <f>D24-F24</f>
        <v>180000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1830000</v>
      </c>
      <c r="E25" s="108"/>
      <c r="F25" s="108">
        <f>ROUND(SUM(F3:F24),-3)</f>
        <v>377000</v>
      </c>
      <c r="G25" s="108">
        <f t="shared" ref="G25:P25" si="5">ROUND(SUM(G3:G24),-3)</f>
        <v>108000</v>
      </c>
      <c r="H25" s="108">
        <f t="shared" si="5"/>
        <v>108000</v>
      </c>
      <c r="I25" s="108">
        <f t="shared" si="5"/>
        <v>108000</v>
      </c>
      <c r="J25" s="108">
        <f t="shared" si="5"/>
        <v>108000</v>
      </c>
      <c r="K25" s="108">
        <f t="shared" si="5"/>
        <v>108000</v>
      </c>
      <c r="L25" s="108">
        <f t="shared" si="5"/>
        <v>377000</v>
      </c>
      <c r="M25" s="108">
        <f t="shared" si="5"/>
        <v>108000</v>
      </c>
      <c r="N25" s="108">
        <f t="shared" si="5"/>
        <v>108000</v>
      </c>
      <c r="O25" s="108">
        <f t="shared" si="5"/>
        <v>108000</v>
      </c>
      <c r="P25" s="108">
        <f t="shared" si="5"/>
        <v>108000</v>
      </c>
      <c r="Q25" s="108">
        <f t="shared" ref="Q25:Q33" si="6">D25-SUM(F25:P25)</f>
        <v>104000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619000</v>
      </c>
      <c r="E27" s="37" t="s">
        <v>525</v>
      </c>
      <c r="F27" s="37">
        <f t="shared" ref="F27:P33" si="8">ROUND($D27/12,0)</f>
        <v>51583</v>
      </c>
      <c r="G27" s="37">
        <f t="shared" si="8"/>
        <v>51583</v>
      </c>
      <c r="H27" s="37">
        <f t="shared" si="8"/>
        <v>51583</v>
      </c>
      <c r="I27" s="37">
        <f t="shared" si="8"/>
        <v>51583</v>
      </c>
      <c r="J27" s="37">
        <f t="shared" si="8"/>
        <v>51583</v>
      </c>
      <c r="K27" s="37">
        <f t="shared" si="8"/>
        <v>51583</v>
      </c>
      <c r="L27" s="37">
        <f t="shared" si="8"/>
        <v>51583</v>
      </c>
      <c r="M27" s="37">
        <f t="shared" si="8"/>
        <v>51583</v>
      </c>
      <c r="N27" s="37">
        <f t="shared" si="8"/>
        <v>51583</v>
      </c>
      <c r="O27" s="37">
        <f t="shared" si="8"/>
        <v>51583</v>
      </c>
      <c r="P27" s="37">
        <f t="shared" si="8"/>
        <v>51583</v>
      </c>
      <c r="Q27" s="37">
        <f t="shared" si="6"/>
        <v>51587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11000</v>
      </c>
      <c r="E28" s="37" t="s">
        <v>525</v>
      </c>
      <c r="F28" s="37">
        <f t="shared" si="8"/>
        <v>917</v>
      </c>
      <c r="G28" s="37">
        <f t="shared" si="8"/>
        <v>917</v>
      </c>
      <c r="H28" s="37">
        <f t="shared" si="8"/>
        <v>917</v>
      </c>
      <c r="I28" s="37">
        <f t="shared" si="8"/>
        <v>917</v>
      </c>
      <c r="J28" s="37">
        <f t="shared" si="8"/>
        <v>917</v>
      </c>
      <c r="K28" s="37">
        <f t="shared" si="8"/>
        <v>917</v>
      </c>
      <c r="L28" s="37">
        <f t="shared" si="8"/>
        <v>917</v>
      </c>
      <c r="M28" s="37">
        <f t="shared" si="8"/>
        <v>917</v>
      </c>
      <c r="N28" s="37">
        <f t="shared" si="8"/>
        <v>917</v>
      </c>
      <c r="O28" s="37">
        <f t="shared" si="8"/>
        <v>917</v>
      </c>
      <c r="P28" s="37">
        <f t="shared" si="8"/>
        <v>917</v>
      </c>
      <c r="Q28" s="37">
        <f t="shared" si="6"/>
        <v>913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56000</v>
      </c>
      <c r="E29" s="37" t="s">
        <v>525</v>
      </c>
      <c r="F29" s="37">
        <f t="shared" si="8"/>
        <v>4667</v>
      </c>
      <c r="G29" s="37">
        <f t="shared" si="8"/>
        <v>4667</v>
      </c>
      <c r="H29" s="37">
        <f t="shared" si="8"/>
        <v>4667</v>
      </c>
      <c r="I29" s="37">
        <f t="shared" si="8"/>
        <v>4667</v>
      </c>
      <c r="J29" s="37">
        <f t="shared" si="8"/>
        <v>4667</v>
      </c>
      <c r="K29" s="37">
        <f t="shared" si="8"/>
        <v>4667</v>
      </c>
      <c r="L29" s="37">
        <f t="shared" si="8"/>
        <v>4667</v>
      </c>
      <c r="M29" s="37">
        <f t="shared" si="8"/>
        <v>4667</v>
      </c>
      <c r="N29" s="37">
        <f t="shared" si="8"/>
        <v>4667</v>
      </c>
      <c r="O29" s="37">
        <f t="shared" si="8"/>
        <v>4667</v>
      </c>
      <c r="P29" s="37">
        <f t="shared" si="8"/>
        <v>4667</v>
      </c>
      <c r="Q29" s="37">
        <f t="shared" si="6"/>
        <v>4663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169000</v>
      </c>
      <c r="E30" s="37" t="s">
        <v>525</v>
      </c>
      <c r="F30" s="37">
        <f t="shared" si="8"/>
        <v>14083</v>
      </c>
      <c r="G30" s="37">
        <f t="shared" si="8"/>
        <v>14083</v>
      </c>
      <c r="H30" s="37">
        <f t="shared" si="8"/>
        <v>14083</v>
      </c>
      <c r="I30" s="37">
        <f t="shared" si="8"/>
        <v>14083</v>
      </c>
      <c r="J30" s="37">
        <f t="shared" si="8"/>
        <v>14083</v>
      </c>
      <c r="K30" s="37">
        <f t="shared" si="8"/>
        <v>14083</v>
      </c>
      <c r="L30" s="37">
        <f t="shared" si="8"/>
        <v>14083</v>
      </c>
      <c r="M30" s="37">
        <f t="shared" si="8"/>
        <v>14083</v>
      </c>
      <c r="N30" s="37">
        <f t="shared" si="8"/>
        <v>14083</v>
      </c>
      <c r="O30" s="37">
        <f t="shared" si="8"/>
        <v>14083</v>
      </c>
      <c r="P30" s="37">
        <f t="shared" si="8"/>
        <v>14083</v>
      </c>
      <c r="Q30" s="37">
        <f t="shared" si="6"/>
        <v>14087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85000</v>
      </c>
      <c r="E31" s="37" t="s">
        <v>525</v>
      </c>
      <c r="F31" s="37">
        <f t="shared" si="8"/>
        <v>7083</v>
      </c>
      <c r="G31" s="37">
        <f t="shared" si="8"/>
        <v>7083</v>
      </c>
      <c r="H31" s="37">
        <f t="shared" si="8"/>
        <v>7083</v>
      </c>
      <c r="I31" s="37">
        <f t="shared" si="8"/>
        <v>7083</v>
      </c>
      <c r="J31" s="37">
        <f t="shared" si="8"/>
        <v>7083</v>
      </c>
      <c r="K31" s="37">
        <f t="shared" si="8"/>
        <v>7083</v>
      </c>
      <c r="L31" s="37">
        <f t="shared" si="8"/>
        <v>7083</v>
      </c>
      <c r="M31" s="37">
        <f t="shared" si="8"/>
        <v>7083</v>
      </c>
      <c r="N31" s="37">
        <f t="shared" si="8"/>
        <v>7083</v>
      </c>
      <c r="O31" s="37">
        <f t="shared" si="8"/>
        <v>7083</v>
      </c>
      <c r="P31" s="37">
        <f t="shared" si="8"/>
        <v>7083</v>
      </c>
      <c r="Q31" s="37">
        <f t="shared" si="6"/>
        <v>7087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132000</v>
      </c>
      <c r="E32" s="37" t="s">
        <v>525</v>
      </c>
      <c r="F32" s="37">
        <f t="shared" si="8"/>
        <v>11000</v>
      </c>
      <c r="G32" s="37">
        <f t="shared" si="8"/>
        <v>11000</v>
      </c>
      <c r="H32" s="37">
        <f t="shared" si="8"/>
        <v>11000</v>
      </c>
      <c r="I32" s="37">
        <f t="shared" si="8"/>
        <v>11000</v>
      </c>
      <c r="J32" s="37">
        <f t="shared" si="8"/>
        <v>11000</v>
      </c>
      <c r="K32" s="37">
        <f t="shared" si="8"/>
        <v>11000</v>
      </c>
      <c r="L32" s="37">
        <f t="shared" si="8"/>
        <v>11000</v>
      </c>
      <c r="M32" s="37">
        <f t="shared" si="8"/>
        <v>11000</v>
      </c>
      <c r="N32" s="37">
        <f t="shared" si="8"/>
        <v>11000</v>
      </c>
      <c r="O32" s="37">
        <f t="shared" si="8"/>
        <v>11000</v>
      </c>
      <c r="P32" s="37">
        <f t="shared" si="8"/>
        <v>11000</v>
      </c>
      <c r="Q32" s="37">
        <f t="shared" si="6"/>
        <v>11000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22000</v>
      </c>
      <c r="E33" s="37" t="s">
        <v>525</v>
      </c>
      <c r="F33" s="37">
        <f t="shared" si="8"/>
        <v>1833</v>
      </c>
      <c r="G33" s="37">
        <f t="shared" si="8"/>
        <v>1833</v>
      </c>
      <c r="H33" s="37">
        <f t="shared" si="8"/>
        <v>1833</v>
      </c>
      <c r="I33" s="37">
        <f t="shared" si="8"/>
        <v>1833</v>
      </c>
      <c r="J33" s="37">
        <f t="shared" si="8"/>
        <v>1833</v>
      </c>
      <c r="K33" s="37">
        <f t="shared" si="8"/>
        <v>1833</v>
      </c>
      <c r="L33" s="37">
        <f t="shared" si="8"/>
        <v>1833</v>
      </c>
      <c r="M33" s="37">
        <f t="shared" si="8"/>
        <v>1833</v>
      </c>
      <c r="N33" s="37">
        <f t="shared" si="8"/>
        <v>1833</v>
      </c>
      <c r="O33" s="37">
        <f t="shared" si="8"/>
        <v>1833</v>
      </c>
      <c r="P33" s="37">
        <f t="shared" si="8"/>
        <v>1833</v>
      </c>
      <c r="Q33" s="37">
        <f t="shared" si="6"/>
        <v>1837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100000</v>
      </c>
      <c r="E36" s="37" t="s">
        <v>193</v>
      </c>
      <c r="F36" s="37">
        <f>ROUND($D36/2,-3)</f>
        <v>50000</v>
      </c>
      <c r="G36" s="37"/>
      <c r="H36" s="37"/>
      <c r="I36" s="37"/>
      <c r="J36" s="37"/>
      <c r="K36" s="37"/>
      <c r="L36" s="37">
        <f>D36-F36</f>
        <v>50000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1194000</v>
      </c>
      <c r="E37" s="108"/>
      <c r="F37" s="108">
        <f t="shared" ref="F37:P37" si="9">ROUND(SUM(F26:F36),-3)</f>
        <v>141000</v>
      </c>
      <c r="G37" s="108">
        <f t="shared" si="9"/>
        <v>91000</v>
      </c>
      <c r="H37" s="108">
        <f t="shared" si="9"/>
        <v>91000</v>
      </c>
      <c r="I37" s="108">
        <f t="shared" si="9"/>
        <v>91000</v>
      </c>
      <c r="J37" s="108">
        <f t="shared" si="9"/>
        <v>91000</v>
      </c>
      <c r="K37" s="108">
        <f t="shared" si="9"/>
        <v>91000</v>
      </c>
      <c r="L37" s="108">
        <f t="shared" si="9"/>
        <v>141000</v>
      </c>
      <c r="M37" s="108">
        <f t="shared" si="9"/>
        <v>91000</v>
      </c>
      <c r="N37" s="108">
        <f t="shared" si="9"/>
        <v>91000</v>
      </c>
      <c r="O37" s="108">
        <f t="shared" si="9"/>
        <v>91000</v>
      </c>
      <c r="P37" s="108">
        <f t="shared" si="9"/>
        <v>91000</v>
      </c>
      <c r="Q37" s="108">
        <f>D37-SUM(F37:P37)</f>
        <v>93000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30000</v>
      </c>
      <c r="E46" s="37" t="s">
        <v>194</v>
      </c>
      <c r="F46" s="37">
        <f>ROUND($D46/3,0)</f>
        <v>10000</v>
      </c>
      <c r="G46" s="37"/>
      <c r="H46" s="37"/>
      <c r="I46" s="37"/>
      <c r="J46" s="37"/>
      <c r="K46" s="37">
        <f>ROUND($D46/3,0)</f>
        <v>10000</v>
      </c>
      <c r="L46" s="37"/>
      <c r="M46" s="37"/>
      <c r="N46" s="37">
        <f>ROUND($D46/3,0)</f>
        <v>10000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30000</v>
      </c>
      <c r="E47" s="108"/>
      <c r="F47" s="108">
        <f t="shared" ref="F47:P47" si="13">ROUND(SUM(F46),-3)</f>
        <v>10000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10000</v>
      </c>
      <c r="L47" s="108">
        <f t="shared" si="13"/>
        <v>0</v>
      </c>
      <c r="M47" s="108">
        <f t="shared" si="13"/>
        <v>0</v>
      </c>
      <c r="N47" s="108">
        <f t="shared" si="13"/>
        <v>10000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3054000</v>
      </c>
      <c r="E48" s="37"/>
      <c r="F48" s="115">
        <f>F25+F37+F45+F47</f>
        <v>528000</v>
      </c>
      <c r="G48" s="115">
        <f t="shared" ref="G48:R48" si="14">G25+G37+G45+G47</f>
        <v>199000</v>
      </c>
      <c r="H48" s="115">
        <f t="shared" si="14"/>
        <v>199000</v>
      </c>
      <c r="I48" s="115">
        <f t="shared" si="14"/>
        <v>199000</v>
      </c>
      <c r="J48" s="115">
        <f t="shared" si="14"/>
        <v>199000</v>
      </c>
      <c r="K48" s="115">
        <f t="shared" si="14"/>
        <v>209000</v>
      </c>
      <c r="L48" s="115">
        <f t="shared" si="14"/>
        <v>518000</v>
      </c>
      <c r="M48" s="115">
        <f t="shared" si="14"/>
        <v>199000</v>
      </c>
      <c r="N48" s="115">
        <f t="shared" si="14"/>
        <v>209000</v>
      </c>
      <c r="O48" s="115">
        <f t="shared" si="14"/>
        <v>199000</v>
      </c>
      <c r="P48" s="115">
        <f t="shared" si="14"/>
        <v>199000</v>
      </c>
      <c r="Q48" s="115">
        <f t="shared" si="14"/>
        <v>197000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75860000</v>
      </c>
      <c r="E49" s="114" t="s">
        <v>202</v>
      </c>
      <c r="F49" s="37">
        <f>ROUND($D49/12*3,-3)</f>
        <v>18965000</v>
      </c>
      <c r="G49" s="37">
        <f>ROUND($D49/12,-3)</f>
        <v>6322000</v>
      </c>
      <c r="H49" s="37">
        <f t="shared" ref="H49:N53" si="15">ROUND($D49/12,-3)</f>
        <v>6322000</v>
      </c>
      <c r="I49" s="37">
        <f t="shared" si="15"/>
        <v>6322000</v>
      </c>
      <c r="J49" s="37">
        <f t="shared" si="15"/>
        <v>6322000</v>
      </c>
      <c r="K49" s="37">
        <f t="shared" si="15"/>
        <v>6322000</v>
      </c>
      <c r="L49" s="37">
        <f t="shared" si="15"/>
        <v>6322000</v>
      </c>
      <c r="M49" s="37">
        <f t="shared" si="15"/>
        <v>6322000</v>
      </c>
      <c r="N49" s="37">
        <f t="shared" si="15"/>
        <v>6322000</v>
      </c>
      <c r="O49" s="37">
        <f>D49-SUM(F49:N49)</f>
        <v>6319000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406000</v>
      </c>
      <c r="E50" s="114" t="s">
        <v>202</v>
      </c>
      <c r="F50" s="37">
        <f t="shared" ref="F50:F53" si="16">ROUND($D50/12*3,-3)</f>
        <v>102000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si="15"/>
        <v>34000</v>
      </c>
      <c r="N50" s="37">
        <f t="shared" si="15"/>
        <v>34000</v>
      </c>
      <c r="O50" s="37">
        <f t="shared" ref="O50:O53" si="18">D50-SUM(F50:N50)</f>
        <v>32000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2024000</v>
      </c>
      <c r="E51" s="114" t="s">
        <v>202</v>
      </c>
      <c r="F51" s="37">
        <f t="shared" si="16"/>
        <v>506000</v>
      </c>
      <c r="G51" s="37">
        <f t="shared" si="17"/>
        <v>169000</v>
      </c>
      <c r="H51" s="37">
        <f t="shared" si="15"/>
        <v>169000</v>
      </c>
      <c r="I51" s="37">
        <f t="shared" si="15"/>
        <v>169000</v>
      </c>
      <c r="J51" s="37">
        <f t="shared" si="15"/>
        <v>169000</v>
      </c>
      <c r="K51" s="37">
        <f t="shared" si="15"/>
        <v>169000</v>
      </c>
      <c r="L51" s="37">
        <f t="shared" si="15"/>
        <v>169000</v>
      </c>
      <c r="M51" s="37">
        <f t="shared" si="15"/>
        <v>169000</v>
      </c>
      <c r="N51" s="37">
        <f t="shared" si="15"/>
        <v>169000</v>
      </c>
      <c r="O51" s="37">
        <f t="shared" si="18"/>
        <v>166000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294000</v>
      </c>
      <c r="E54" s="37" t="s">
        <v>525</v>
      </c>
      <c r="F54" s="37">
        <f t="shared" ref="F54:P61" si="19">ROUND($D54/12,0)</f>
        <v>24500</v>
      </c>
      <c r="G54" s="37">
        <f t="shared" si="19"/>
        <v>24500</v>
      </c>
      <c r="H54" s="37">
        <f t="shared" si="19"/>
        <v>24500</v>
      </c>
      <c r="I54" s="37">
        <f t="shared" si="19"/>
        <v>24500</v>
      </c>
      <c r="J54" s="37">
        <f t="shared" si="19"/>
        <v>24500</v>
      </c>
      <c r="K54" s="37">
        <f t="shared" si="19"/>
        <v>24500</v>
      </c>
      <c r="L54" s="37">
        <f t="shared" si="19"/>
        <v>24500</v>
      </c>
      <c r="M54" s="37">
        <f t="shared" si="19"/>
        <v>24500</v>
      </c>
      <c r="N54" s="37">
        <f t="shared" si="19"/>
        <v>24500</v>
      </c>
      <c r="O54" s="37">
        <f t="shared" si="19"/>
        <v>24500</v>
      </c>
      <c r="P54" s="37">
        <f t="shared" si="19"/>
        <v>24500</v>
      </c>
      <c r="Q54" s="37">
        <f t="shared" ref="Q54:Q61" si="20">D54-SUM(F54:P54)</f>
        <v>24500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276000</v>
      </c>
      <c r="E55" s="37" t="s">
        <v>525</v>
      </c>
      <c r="F55" s="37">
        <f t="shared" si="19"/>
        <v>23000</v>
      </c>
      <c r="G55" s="37">
        <f t="shared" si="19"/>
        <v>23000</v>
      </c>
      <c r="H55" s="37">
        <f t="shared" si="19"/>
        <v>23000</v>
      </c>
      <c r="I55" s="37">
        <f t="shared" si="19"/>
        <v>23000</v>
      </c>
      <c r="J55" s="37">
        <f t="shared" si="19"/>
        <v>23000</v>
      </c>
      <c r="K55" s="37">
        <f t="shared" si="19"/>
        <v>23000</v>
      </c>
      <c r="L55" s="37">
        <f t="shared" si="19"/>
        <v>23000</v>
      </c>
      <c r="M55" s="37">
        <f t="shared" si="19"/>
        <v>23000</v>
      </c>
      <c r="N55" s="37">
        <f t="shared" si="19"/>
        <v>23000</v>
      </c>
      <c r="O55" s="37">
        <f t="shared" si="19"/>
        <v>23000</v>
      </c>
      <c r="P55" s="37">
        <f t="shared" si="19"/>
        <v>23000</v>
      </c>
      <c r="Q55" s="37">
        <f t="shared" si="20"/>
        <v>23000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48000</v>
      </c>
      <c r="E56" s="37" t="s">
        <v>525</v>
      </c>
      <c r="F56" s="37">
        <f t="shared" si="19"/>
        <v>4000</v>
      </c>
      <c r="G56" s="37">
        <f t="shared" si="19"/>
        <v>4000</v>
      </c>
      <c r="H56" s="37">
        <f t="shared" si="19"/>
        <v>4000</v>
      </c>
      <c r="I56" s="37">
        <f t="shared" si="19"/>
        <v>4000</v>
      </c>
      <c r="J56" s="37">
        <f t="shared" si="19"/>
        <v>4000</v>
      </c>
      <c r="K56" s="37">
        <f t="shared" si="19"/>
        <v>4000</v>
      </c>
      <c r="L56" s="37">
        <f t="shared" si="19"/>
        <v>4000</v>
      </c>
      <c r="M56" s="37">
        <f t="shared" si="19"/>
        <v>4000</v>
      </c>
      <c r="N56" s="37">
        <f t="shared" si="19"/>
        <v>4000</v>
      </c>
      <c r="O56" s="37">
        <f t="shared" si="19"/>
        <v>4000</v>
      </c>
      <c r="P56" s="37">
        <f t="shared" si="19"/>
        <v>4000</v>
      </c>
      <c r="Q56" s="37">
        <f t="shared" si="20"/>
        <v>4000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66000</v>
      </c>
      <c r="E57" s="37" t="s">
        <v>525</v>
      </c>
      <c r="F57" s="37">
        <f t="shared" si="19"/>
        <v>5500</v>
      </c>
      <c r="G57" s="37">
        <f t="shared" si="19"/>
        <v>5500</v>
      </c>
      <c r="H57" s="37">
        <f t="shared" si="19"/>
        <v>5500</v>
      </c>
      <c r="I57" s="37">
        <f t="shared" si="19"/>
        <v>5500</v>
      </c>
      <c r="J57" s="37">
        <f t="shared" si="19"/>
        <v>5500</v>
      </c>
      <c r="K57" s="37">
        <f t="shared" si="19"/>
        <v>5500</v>
      </c>
      <c r="L57" s="37">
        <f t="shared" si="19"/>
        <v>5500</v>
      </c>
      <c r="M57" s="37">
        <f t="shared" si="19"/>
        <v>5500</v>
      </c>
      <c r="N57" s="37">
        <f t="shared" si="19"/>
        <v>5500</v>
      </c>
      <c r="O57" s="37">
        <f t="shared" si="19"/>
        <v>5500</v>
      </c>
      <c r="P57" s="37">
        <f t="shared" si="19"/>
        <v>5500</v>
      </c>
      <c r="Q57" s="37">
        <f t="shared" si="20"/>
        <v>5500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150000</v>
      </c>
      <c r="E58" s="37" t="s">
        <v>525</v>
      </c>
      <c r="F58" s="37">
        <f t="shared" si="19"/>
        <v>12500</v>
      </c>
      <c r="G58" s="37">
        <f t="shared" si="19"/>
        <v>12500</v>
      </c>
      <c r="H58" s="37">
        <f t="shared" si="19"/>
        <v>12500</v>
      </c>
      <c r="I58" s="37">
        <f t="shared" si="19"/>
        <v>12500</v>
      </c>
      <c r="J58" s="37">
        <f t="shared" si="19"/>
        <v>12500</v>
      </c>
      <c r="K58" s="37">
        <f t="shared" si="19"/>
        <v>12500</v>
      </c>
      <c r="L58" s="37">
        <f t="shared" si="19"/>
        <v>12500</v>
      </c>
      <c r="M58" s="37">
        <f t="shared" si="19"/>
        <v>12500</v>
      </c>
      <c r="N58" s="37">
        <f t="shared" si="19"/>
        <v>12500</v>
      </c>
      <c r="O58" s="37">
        <f t="shared" si="19"/>
        <v>12500</v>
      </c>
      <c r="P58" s="37">
        <f t="shared" si="19"/>
        <v>12500</v>
      </c>
      <c r="Q58" s="37">
        <f t="shared" si="20"/>
        <v>12500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0</v>
      </c>
      <c r="E59" s="37" t="s">
        <v>525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1408000</v>
      </c>
      <c r="E60" s="37" t="s">
        <v>195</v>
      </c>
      <c r="F60" s="37">
        <f>D60</f>
        <v>1408000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7745000</v>
      </c>
      <c r="E62" s="37" t="s">
        <v>197</v>
      </c>
      <c r="F62" s="37"/>
      <c r="G62" s="37"/>
      <c r="H62" s="37"/>
      <c r="I62" s="37">
        <f>ROUND($D62/5,-3)</f>
        <v>1549000</v>
      </c>
      <c r="J62" s="37"/>
      <c r="K62" s="37"/>
      <c r="L62" s="37"/>
      <c r="M62" s="37"/>
      <c r="N62" s="37">
        <f>D62-I62</f>
        <v>6196000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9300000</v>
      </c>
      <c r="E63" s="37" t="s">
        <v>195</v>
      </c>
      <c r="F63" s="37">
        <f>D63</f>
        <v>9300000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8140000</v>
      </c>
      <c r="E64" s="114" t="s">
        <v>202</v>
      </c>
      <c r="F64" s="37">
        <f>ROUND($D64/12*3,-3)</f>
        <v>2035000</v>
      </c>
      <c r="G64" s="37">
        <f>ROUND($D64/12,-3)</f>
        <v>678000</v>
      </c>
      <c r="H64" s="37">
        <f t="shared" ref="H64:N66" si="21">ROUND($D64/12,-3)</f>
        <v>678000</v>
      </c>
      <c r="I64" s="37">
        <f t="shared" si="21"/>
        <v>678000</v>
      </c>
      <c r="J64" s="37">
        <f t="shared" si="21"/>
        <v>678000</v>
      </c>
      <c r="K64" s="37">
        <f t="shared" si="21"/>
        <v>678000</v>
      </c>
      <c r="L64" s="37">
        <f t="shared" si="21"/>
        <v>678000</v>
      </c>
      <c r="M64" s="37">
        <f t="shared" si="21"/>
        <v>678000</v>
      </c>
      <c r="N64" s="37">
        <f t="shared" si="21"/>
        <v>678000</v>
      </c>
      <c r="O64" s="37">
        <f>D64-SUM(F64:N64)</f>
        <v>681000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1936000</v>
      </c>
      <c r="E65" s="114" t="s">
        <v>202</v>
      </c>
      <c r="F65" s="37">
        <f t="shared" ref="F65:F66" si="22">ROUND($D65/12*3,-3)</f>
        <v>484000</v>
      </c>
      <c r="G65" s="37">
        <f t="shared" ref="G65:G66" si="23">ROUND($D65/12,-3)</f>
        <v>161000</v>
      </c>
      <c r="H65" s="37">
        <f t="shared" si="21"/>
        <v>161000</v>
      </c>
      <c r="I65" s="37">
        <f t="shared" si="21"/>
        <v>161000</v>
      </c>
      <c r="J65" s="37">
        <f t="shared" si="21"/>
        <v>161000</v>
      </c>
      <c r="K65" s="37">
        <f t="shared" si="21"/>
        <v>161000</v>
      </c>
      <c r="L65" s="37">
        <f t="shared" si="21"/>
        <v>161000</v>
      </c>
      <c r="M65" s="37">
        <f t="shared" si="21"/>
        <v>161000</v>
      </c>
      <c r="N65" s="37">
        <f t="shared" si="21"/>
        <v>161000</v>
      </c>
      <c r="O65" s="37">
        <f t="shared" ref="O65:O66" si="24">D65-SUM(F65:N65)</f>
        <v>164000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5389000</v>
      </c>
      <c r="E66" s="114" t="s">
        <v>202</v>
      </c>
      <c r="F66" s="37">
        <f t="shared" si="22"/>
        <v>1347000</v>
      </c>
      <c r="G66" s="37">
        <f t="shared" si="23"/>
        <v>449000</v>
      </c>
      <c r="H66" s="37">
        <f t="shared" si="21"/>
        <v>449000</v>
      </c>
      <c r="I66" s="37">
        <f t="shared" si="21"/>
        <v>449000</v>
      </c>
      <c r="J66" s="37">
        <f t="shared" si="21"/>
        <v>449000</v>
      </c>
      <c r="K66" s="37">
        <f t="shared" si="21"/>
        <v>449000</v>
      </c>
      <c r="L66" s="37">
        <f t="shared" si="21"/>
        <v>449000</v>
      </c>
      <c r="M66" s="37">
        <f t="shared" si="21"/>
        <v>449000</v>
      </c>
      <c r="N66" s="37">
        <f t="shared" si="21"/>
        <v>449000</v>
      </c>
      <c r="O66" s="37">
        <f t="shared" si="24"/>
        <v>450000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140000</v>
      </c>
      <c r="E67" s="37" t="s">
        <v>196</v>
      </c>
      <c r="F67" s="37"/>
      <c r="G67" s="37"/>
      <c r="H67" s="37">
        <f>D67</f>
        <v>140000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416000</v>
      </c>
      <c r="E68" s="37" t="s">
        <v>195</v>
      </c>
      <c r="F68" s="37">
        <f>D68</f>
        <v>416000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113863000</v>
      </c>
      <c r="E70" s="108"/>
      <c r="F70" s="108">
        <f t="shared" ref="F70:P70" si="25">ROUND(SUM(F49:F69),-3)</f>
        <v>34699000</v>
      </c>
      <c r="G70" s="108">
        <f t="shared" si="25"/>
        <v>7905000</v>
      </c>
      <c r="H70" s="108">
        <f t="shared" si="25"/>
        <v>8045000</v>
      </c>
      <c r="I70" s="108">
        <f t="shared" si="25"/>
        <v>9454000</v>
      </c>
      <c r="J70" s="108">
        <f t="shared" si="25"/>
        <v>7905000</v>
      </c>
      <c r="K70" s="108">
        <f t="shared" si="25"/>
        <v>7905000</v>
      </c>
      <c r="L70" s="108">
        <f t="shared" si="25"/>
        <v>7905000</v>
      </c>
      <c r="M70" s="108">
        <f t="shared" si="25"/>
        <v>7905000</v>
      </c>
      <c r="N70" s="108">
        <f t="shared" si="25"/>
        <v>14101000</v>
      </c>
      <c r="O70" s="108">
        <f t="shared" si="25"/>
        <v>7905000</v>
      </c>
      <c r="P70" s="108">
        <f t="shared" si="25"/>
        <v>70000</v>
      </c>
      <c r="Q70" s="108">
        <f>D70-SUM(F70:P70)</f>
        <v>64000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34000</v>
      </c>
      <c r="E71" s="37" t="s">
        <v>195</v>
      </c>
      <c r="F71" s="37">
        <f>D71</f>
        <v>34000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31728000</v>
      </c>
      <c r="E72" s="114" t="s">
        <v>202</v>
      </c>
      <c r="F72" s="37">
        <f>ROUND($D72/12*3,-3)</f>
        <v>7932000</v>
      </c>
      <c r="G72" s="37">
        <f>ROUND($D72/12,-3)</f>
        <v>2644000</v>
      </c>
      <c r="H72" s="37">
        <f t="shared" ref="H72:N75" si="26">ROUND($D72/12,-3)</f>
        <v>2644000</v>
      </c>
      <c r="I72" s="37">
        <f t="shared" si="26"/>
        <v>2644000</v>
      </c>
      <c r="J72" s="37">
        <f t="shared" si="26"/>
        <v>2644000</v>
      </c>
      <c r="K72" s="37">
        <f t="shared" si="26"/>
        <v>2644000</v>
      </c>
      <c r="L72" s="37">
        <f t="shared" si="26"/>
        <v>2644000</v>
      </c>
      <c r="M72" s="37">
        <f t="shared" si="26"/>
        <v>2644000</v>
      </c>
      <c r="N72" s="37">
        <f t="shared" si="26"/>
        <v>2644000</v>
      </c>
      <c r="O72" s="37">
        <f>D72-SUM(F72:N72)</f>
        <v>2644000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1026000</v>
      </c>
      <c r="E75" s="114" t="s">
        <v>202</v>
      </c>
      <c r="F75" s="37">
        <f>ROUND($D75/12*3,-3)</f>
        <v>257000</v>
      </c>
      <c r="G75" s="37">
        <f>ROUND($D75/12,-3)</f>
        <v>86000</v>
      </c>
      <c r="H75" s="37">
        <f t="shared" si="26"/>
        <v>86000</v>
      </c>
      <c r="I75" s="37">
        <f t="shared" si="26"/>
        <v>86000</v>
      </c>
      <c r="J75" s="37">
        <f t="shared" si="26"/>
        <v>86000</v>
      </c>
      <c r="K75" s="37">
        <f t="shared" si="26"/>
        <v>86000</v>
      </c>
      <c r="L75" s="37">
        <f t="shared" si="26"/>
        <v>86000</v>
      </c>
      <c r="M75" s="37">
        <f t="shared" si="26"/>
        <v>86000</v>
      </c>
      <c r="N75" s="37">
        <f t="shared" si="26"/>
        <v>86000</v>
      </c>
      <c r="O75" s="37">
        <f>D75-SUM(F75:N75)</f>
        <v>81000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32788000</v>
      </c>
      <c r="E76" s="108"/>
      <c r="F76" s="108">
        <f>ROUND(SUM(F71:F75),-3)</f>
        <v>8223000</v>
      </c>
      <c r="G76" s="108">
        <f t="shared" ref="G76:N76" si="27">ROUND(SUM(G71:G75),-3)</f>
        <v>2730000</v>
      </c>
      <c r="H76" s="108">
        <f t="shared" si="27"/>
        <v>2730000</v>
      </c>
      <c r="I76" s="108">
        <f t="shared" si="27"/>
        <v>2730000</v>
      </c>
      <c r="J76" s="108">
        <f t="shared" si="27"/>
        <v>2730000</v>
      </c>
      <c r="K76" s="108">
        <f t="shared" si="27"/>
        <v>2730000</v>
      </c>
      <c r="L76" s="108">
        <f t="shared" si="27"/>
        <v>2730000</v>
      </c>
      <c r="M76" s="108">
        <f t="shared" si="27"/>
        <v>2730000</v>
      </c>
      <c r="N76" s="108">
        <f t="shared" si="27"/>
        <v>2730000</v>
      </c>
      <c r="O76" s="108">
        <f>D76-SUM(F76:N76)</f>
        <v>2725000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1509000</v>
      </c>
      <c r="E77" s="37" t="s">
        <v>681</v>
      </c>
      <c r="F77" s="224"/>
      <c r="G77" s="224"/>
      <c r="H77" s="224">
        <f>ROUND($D77/2,-3)</f>
        <v>755000</v>
      </c>
      <c r="I77" s="224"/>
      <c r="J77" s="224"/>
      <c r="K77" s="224"/>
      <c r="L77" s="224"/>
      <c r="M77" s="224"/>
      <c r="N77" s="224">
        <f>D77-H77</f>
        <v>754000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148160000</v>
      </c>
      <c r="E78" s="227"/>
      <c r="F78" s="227">
        <f>F76+F70+F77</f>
        <v>42922000</v>
      </c>
      <c r="G78" s="227">
        <f t="shared" ref="G78:Q78" si="29">G76+G70+G77</f>
        <v>10635000</v>
      </c>
      <c r="H78" s="227">
        <f t="shared" si="29"/>
        <v>11530000</v>
      </c>
      <c r="I78" s="227">
        <f t="shared" si="29"/>
        <v>12184000</v>
      </c>
      <c r="J78" s="227">
        <f t="shared" si="29"/>
        <v>10635000</v>
      </c>
      <c r="K78" s="227">
        <f t="shared" si="29"/>
        <v>10635000</v>
      </c>
      <c r="L78" s="227">
        <f t="shared" si="29"/>
        <v>10635000</v>
      </c>
      <c r="M78" s="227">
        <f t="shared" si="29"/>
        <v>10635000</v>
      </c>
      <c r="N78" s="227">
        <f t="shared" si="29"/>
        <v>17585000</v>
      </c>
      <c r="O78" s="227">
        <f t="shared" si="29"/>
        <v>10630000</v>
      </c>
      <c r="P78" s="227">
        <f t="shared" si="29"/>
        <v>70000</v>
      </c>
      <c r="Q78" s="227">
        <f t="shared" si="29"/>
        <v>64000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50000</v>
      </c>
      <c r="E82" s="108" t="s">
        <v>195</v>
      </c>
      <c r="F82" s="108">
        <f t="shared" si="30"/>
        <v>50000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50000</v>
      </c>
      <c r="E83" s="116"/>
      <c r="F83" s="116">
        <f>SUM(F79:F82)</f>
        <v>50000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151264000</v>
      </c>
      <c r="E87" s="37"/>
      <c r="F87" s="37">
        <f>F88+F89+F90+F91</f>
        <v>43500000</v>
      </c>
      <c r="G87" s="37">
        <f t="shared" ref="G87:Q87" si="32">G88+G89+G90+G91</f>
        <v>10834000</v>
      </c>
      <c r="H87" s="37">
        <f t="shared" si="32"/>
        <v>11729000</v>
      </c>
      <c r="I87" s="37">
        <f t="shared" si="32"/>
        <v>12383000</v>
      </c>
      <c r="J87" s="37">
        <f t="shared" si="32"/>
        <v>10834000</v>
      </c>
      <c r="K87" s="37">
        <f t="shared" si="32"/>
        <v>10844000</v>
      </c>
      <c r="L87" s="37">
        <f t="shared" si="32"/>
        <v>11153000</v>
      </c>
      <c r="M87" s="37">
        <f t="shared" si="32"/>
        <v>10834000</v>
      </c>
      <c r="N87" s="37">
        <f t="shared" si="32"/>
        <v>17794000</v>
      </c>
      <c r="O87" s="37">
        <f t="shared" si="32"/>
        <v>10829000</v>
      </c>
      <c r="P87" s="37">
        <f t="shared" si="32"/>
        <v>269000</v>
      </c>
      <c r="Q87" s="37">
        <f t="shared" si="32"/>
        <v>261000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510000</v>
      </c>
      <c r="E88" s="108" t="s">
        <v>193</v>
      </c>
      <c r="F88" s="108">
        <f>ROUND($D88/2,-3)</f>
        <v>255000</v>
      </c>
      <c r="G88" s="108"/>
      <c r="H88" s="108"/>
      <c r="I88" s="108"/>
      <c r="J88" s="108"/>
      <c r="K88" s="108"/>
      <c r="L88" s="108">
        <f>D88-F88</f>
        <v>255000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5000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2000</v>
      </c>
      <c r="M90" s="108"/>
      <c r="N90" s="108"/>
      <c r="O90" s="108"/>
      <c r="P90" s="108"/>
      <c r="Q90" s="108">
        <f>ROUND($D90/2,-3)</f>
        <v>3000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150749000</v>
      </c>
      <c r="E91" s="108"/>
      <c r="F91" s="108">
        <f>F92+F93+F94+F95</f>
        <v>43245000</v>
      </c>
      <c r="G91" s="108">
        <f t="shared" ref="G91:Q91" si="34">G92+G93+G94+G95</f>
        <v>10834000</v>
      </c>
      <c r="H91" s="108">
        <f t="shared" si="34"/>
        <v>11729000</v>
      </c>
      <c r="I91" s="108">
        <f t="shared" si="34"/>
        <v>12383000</v>
      </c>
      <c r="J91" s="108">
        <f t="shared" si="34"/>
        <v>10834000</v>
      </c>
      <c r="K91" s="108">
        <f t="shared" si="34"/>
        <v>10844000</v>
      </c>
      <c r="L91" s="108">
        <f t="shared" si="34"/>
        <v>10896000</v>
      </c>
      <c r="M91" s="108">
        <f t="shared" si="34"/>
        <v>10834000</v>
      </c>
      <c r="N91" s="108">
        <f t="shared" si="34"/>
        <v>17794000</v>
      </c>
      <c r="O91" s="108">
        <f t="shared" si="34"/>
        <v>10829000</v>
      </c>
      <c r="P91" s="108">
        <f t="shared" si="34"/>
        <v>269000</v>
      </c>
      <c r="Q91" s="108">
        <f t="shared" si="34"/>
        <v>258000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2615000</v>
      </c>
      <c r="E92" s="114" t="s">
        <v>537</v>
      </c>
      <c r="F92" s="37">
        <f>ROUND($D92/12*5,-3)</f>
        <v>1090000</v>
      </c>
      <c r="G92" s="37">
        <f>ROUND($D92/12,-3)</f>
        <v>218000</v>
      </c>
      <c r="H92" s="37">
        <f t="shared" ref="H92:L92" si="35">ROUND($D92/12,-3)</f>
        <v>218000</v>
      </c>
      <c r="I92" s="37">
        <f t="shared" si="35"/>
        <v>218000</v>
      </c>
      <c r="J92" s="37">
        <f t="shared" si="35"/>
        <v>218000</v>
      </c>
      <c r="K92" s="37">
        <f t="shared" si="35"/>
        <v>218000</v>
      </c>
      <c r="L92" s="37">
        <f t="shared" si="35"/>
        <v>218000</v>
      </c>
      <c r="M92" s="37">
        <f>D92-SUM(F92:L92)</f>
        <v>217000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649000</v>
      </c>
      <c r="E93" s="109" t="s">
        <v>227</v>
      </c>
      <c r="F93" s="37">
        <f>ROUND($D93/12,-3)</f>
        <v>54000</v>
      </c>
      <c r="G93" s="37">
        <f t="shared" ref="G93:P93" si="36">ROUND($D93/12,-3)</f>
        <v>54000</v>
      </c>
      <c r="H93" s="37">
        <f t="shared" si="36"/>
        <v>54000</v>
      </c>
      <c r="I93" s="37">
        <f t="shared" si="36"/>
        <v>54000</v>
      </c>
      <c r="J93" s="37">
        <f t="shared" si="36"/>
        <v>54000</v>
      </c>
      <c r="K93" s="37">
        <f t="shared" si="36"/>
        <v>54000</v>
      </c>
      <c r="L93" s="37">
        <f t="shared" si="36"/>
        <v>54000</v>
      </c>
      <c r="M93" s="37">
        <f t="shared" si="36"/>
        <v>54000</v>
      </c>
      <c r="N93" s="37">
        <f t="shared" si="36"/>
        <v>54000</v>
      </c>
      <c r="O93" s="37">
        <f t="shared" si="36"/>
        <v>54000</v>
      </c>
      <c r="P93" s="37">
        <f t="shared" si="36"/>
        <v>54000</v>
      </c>
      <c r="Q93" s="37">
        <f>D93-SUM(F93:P93)</f>
        <v>55000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336000</v>
      </c>
      <c r="E94" s="110" t="s">
        <v>229</v>
      </c>
      <c r="F94" s="37"/>
      <c r="G94" s="37"/>
      <c r="H94" s="37">
        <f>ROUND($D94/2,-3)</f>
        <v>168000</v>
      </c>
      <c r="I94" s="37"/>
      <c r="J94" s="37"/>
      <c r="K94" s="37"/>
      <c r="L94" s="37"/>
      <c r="M94" s="37"/>
      <c r="N94" s="37"/>
      <c r="O94" s="37">
        <f>D94-H94</f>
        <v>168000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147149000</v>
      </c>
      <c r="E95" s="37"/>
      <c r="F95" s="37">
        <f>F2+F86-F88-F89-F90-F92-F93-F94</f>
        <v>42101000</v>
      </c>
      <c r="G95" s="37">
        <f t="shared" ref="G95:Q95" si="37">G2-G88-G89-G90-G92-G93-G94</f>
        <v>10562000</v>
      </c>
      <c r="H95" s="37">
        <f t="shared" si="37"/>
        <v>11289000</v>
      </c>
      <c r="I95" s="37">
        <f t="shared" si="37"/>
        <v>12111000</v>
      </c>
      <c r="J95" s="37">
        <f t="shared" si="37"/>
        <v>10562000</v>
      </c>
      <c r="K95" s="37">
        <f t="shared" si="37"/>
        <v>10572000</v>
      </c>
      <c r="L95" s="37">
        <f t="shared" si="37"/>
        <v>10624000</v>
      </c>
      <c r="M95" s="37">
        <f t="shared" si="37"/>
        <v>10563000</v>
      </c>
      <c r="N95" s="37">
        <f t="shared" si="37"/>
        <v>17740000</v>
      </c>
      <c r="O95" s="37">
        <f t="shared" si="37"/>
        <v>10607000</v>
      </c>
      <c r="P95" s="37">
        <f t="shared" si="37"/>
        <v>215000</v>
      </c>
      <c r="Q95" s="37">
        <f t="shared" si="37"/>
        <v>203000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800000</v>
      </c>
    </row>
    <row r="99" spans="2:17" ht="32.4">
      <c r="B99" s="72" t="s">
        <v>235</v>
      </c>
      <c r="D99" s="30">
        <f>HLOOKUP(D1,縣庫撥款收入明細表!H:DD,5,FALSE)</f>
        <v>790000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1025000</v>
      </c>
    </row>
    <row r="102" spans="2:17" ht="32.4">
      <c r="B102" s="71" t="s">
        <v>238</v>
      </c>
      <c r="D102" s="30">
        <f>HLOOKUP(D1,縣庫撥款收入明細表!H:DD,16,FALSE)</f>
        <v>594000</v>
      </c>
    </row>
    <row r="103" spans="2:17" ht="32.4">
      <c r="B103" s="72" t="s">
        <v>239</v>
      </c>
      <c r="D103" s="30">
        <f>HLOOKUP(D1,縣庫撥款收入明細表!H:DD,17,FALSE)</f>
        <v>0</v>
      </c>
    </row>
    <row r="104" spans="2:17" ht="32.4">
      <c r="B104" s="76" t="s">
        <v>240</v>
      </c>
      <c r="D104" s="30">
        <f>HLOOKUP(D1,縣庫撥款收入明細表!H:DD,18,FALSE)</f>
        <v>336000</v>
      </c>
    </row>
    <row r="105" spans="2:17" ht="32.4">
      <c r="B105" s="72" t="s">
        <v>380</v>
      </c>
      <c r="D105" s="30">
        <f>HLOOKUP(D1,縣庫撥款收入明細表!H:DD,19,FALSE)</f>
        <v>0</v>
      </c>
    </row>
    <row r="106" spans="2:17" ht="32.4">
      <c r="B106" s="71" t="s">
        <v>241</v>
      </c>
      <c r="D106" s="30">
        <f>HLOOKUP(D1,縣庫撥款收入明細表!H:DD,20,FALSE)</f>
        <v>55000</v>
      </c>
    </row>
    <row r="107" spans="2:17" ht="32.4">
      <c r="B107" s="77" t="s">
        <v>242</v>
      </c>
      <c r="D107" s="30">
        <f>HLOOKUP(D1,縣庫撥款收入明細表!H:DD,21,FALSE)</f>
        <v>147149000</v>
      </c>
    </row>
    <row r="108" spans="2:17" ht="16.5" customHeight="1"/>
    <row r="109" spans="2:17" ht="16.5" customHeight="1">
      <c r="B109" s="4" t="s">
        <v>682</v>
      </c>
      <c r="D109" s="30">
        <f>D91-D76</f>
        <v>117961000</v>
      </c>
      <c r="F109" s="30">
        <f>F91-F76</f>
        <v>35022000</v>
      </c>
      <c r="G109" s="30">
        <f t="shared" ref="G109:Q109" si="38">G91-G76</f>
        <v>8104000</v>
      </c>
      <c r="H109" s="30">
        <f t="shared" si="38"/>
        <v>8999000</v>
      </c>
      <c r="I109" s="30">
        <f t="shared" si="38"/>
        <v>9653000</v>
      </c>
      <c r="J109" s="30">
        <f t="shared" si="38"/>
        <v>8104000</v>
      </c>
      <c r="K109" s="30">
        <f t="shared" si="38"/>
        <v>8114000</v>
      </c>
      <c r="L109" s="30">
        <f t="shared" si="38"/>
        <v>8166000</v>
      </c>
      <c r="M109" s="30">
        <f t="shared" si="38"/>
        <v>8104000</v>
      </c>
      <c r="N109" s="30">
        <f t="shared" si="38"/>
        <v>15064000</v>
      </c>
      <c r="O109" s="30">
        <f t="shared" si="38"/>
        <v>8104000</v>
      </c>
      <c r="P109" s="30">
        <f t="shared" si="38"/>
        <v>269000</v>
      </c>
      <c r="Q109" s="30">
        <f t="shared" si="38"/>
        <v>258000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8:C78"/>
    <mergeCell ref="A79:A83"/>
    <mergeCell ref="A1:B1"/>
    <mergeCell ref="A2:B2"/>
    <mergeCell ref="A3:A48"/>
    <mergeCell ref="A49:A70"/>
    <mergeCell ref="A71:A76"/>
  </mergeCells>
  <phoneticPr fontId="3" type="noConversion"/>
  <conditionalFormatting sqref="F95:Q95">
    <cfRule type="cellIs" dxfId="168" priority="1" operator="less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topLeftCell="A70"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619</v>
      </c>
      <c r="D1" s="240" t="str">
        <f>VLOOKUP(C1,學校編號!A:B,2,FALSE)</f>
        <v>619北昌國小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109675000</v>
      </c>
      <c r="E2" s="37"/>
      <c r="F2" s="37">
        <f>F48+F70+F76+F77+F83</f>
        <v>31563000</v>
      </c>
      <c r="G2" s="37">
        <f t="shared" ref="G2:Q2" si="0">G48+G70+G76+G77+G83</f>
        <v>7622000</v>
      </c>
      <c r="H2" s="37">
        <f t="shared" si="0"/>
        <v>8085000</v>
      </c>
      <c r="I2" s="37">
        <f t="shared" si="0"/>
        <v>9268000</v>
      </c>
      <c r="J2" s="37">
        <f t="shared" si="0"/>
        <v>7622000</v>
      </c>
      <c r="K2" s="37">
        <f t="shared" si="0"/>
        <v>7630000</v>
      </c>
      <c r="L2" s="37">
        <f t="shared" si="0"/>
        <v>7730000</v>
      </c>
      <c r="M2" s="37">
        <f t="shared" si="0"/>
        <v>7622000</v>
      </c>
      <c r="N2" s="37">
        <f t="shared" si="0"/>
        <v>14558000</v>
      </c>
      <c r="O2" s="37">
        <f t="shared" si="0"/>
        <v>7614000</v>
      </c>
      <c r="P2" s="37">
        <f t="shared" si="0"/>
        <v>176000</v>
      </c>
      <c r="Q2" s="37">
        <f t="shared" si="0"/>
        <v>185000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489000</v>
      </c>
      <c r="E3" s="37" t="s">
        <v>525</v>
      </c>
      <c r="F3" s="37">
        <f t="shared" ref="F3:P17" si="1">ROUND($D3/12,0)</f>
        <v>40750</v>
      </c>
      <c r="G3" s="37">
        <f t="shared" si="1"/>
        <v>40750</v>
      </c>
      <c r="H3" s="37">
        <f t="shared" si="1"/>
        <v>40750</v>
      </c>
      <c r="I3" s="37">
        <f t="shared" si="1"/>
        <v>40750</v>
      </c>
      <c r="J3" s="37">
        <f t="shared" si="1"/>
        <v>40750</v>
      </c>
      <c r="K3" s="37">
        <f t="shared" si="1"/>
        <v>40750</v>
      </c>
      <c r="L3" s="37">
        <f t="shared" si="1"/>
        <v>40750</v>
      </c>
      <c r="M3" s="37">
        <f t="shared" si="1"/>
        <v>40750</v>
      </c>
      <c r="N3" s="37">
        <f t="shared" si="1"/>
        <v>40750</v>
      </c>
      <c r="O3" s="37">
        <f t="shared" si="1"/>
        <v>40750</v>
      </c>
      <c r="P3" s="37">
        <f t="shared" si="1"/>
        <v>40750</v>
      </c>
      <c r="Q3" s="37">
        <f t="shared" ref="Q3:Q10" si="2">D3-SUM(F3:P3)</f>
        <v>40750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210000</v>
      </c>
      <c r="E4" s="37" t="s">
        <v>525</v>
      </c>
      <c r="F4" s="37">
        <f t="shared" si="1"/>
        <v>17500</v>
      </c>
      <c r="G4" s="37">
        <f t="shared" si="1"/>
        <v>17500</v>
      </c>
      <c r="H4" s="37">
        <f t="shared" si="1"/>
        <v>17500</v>
      </c>
      <c r="I4" s="37">
        <f t="shared" si="1"/>
        <v>17500</v>
      </c>
      <c r="J4" s="37">
        <f t="shared" si="1"/>
        <v>17500</v>
      </c>
      <c r="K4" s="37">
        <f t="shared" si="1"/>
        <v>17500</v>
      </c>
      <c r="L4" s="37">
        <f t="shared" si="1"/>
        <v>17500</v>
      </c>
      <c r="M4" s="37">
        <f t="shared" si="1"/>
        <v>17500</v>
      </c>
      <c r="N4" s="37">
        <f t="shared" si="1"/>
        <v>17500</v>
      </c>
      <c r="O4" s="37">
        <f t="shared" si="1"/>
        <v>17500</v>
      </c>
      <c r="P4" s="37">
        <f t="shared" si="1"/>
        <v>17500</v>
      </c>
      <c r="Q4" s="37">
        <f t="shared" si="2"/>
        <v>17500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81000</v>
      </c>
      <c r="E7" s="37" t="s">
        <v>525</v>
      </c>
      <c r="F7" s="37">
        <f t="shared" si="1"/>
        <v>6750</v>
      </c>
      <c r="G7" s="37">
        <f t="shared" si="1"/>
        <v>6750</v>
      </c>
      <c r="H7" s="37">
        <f t="shared" si="1"/>
        <v>6750</v>
      </c>
      <c r="I7" s="37">
        <f t="shared" si="1"/>
        <v>6750</v>
      </c>
      <c r="J7" s="37">
        <f t="shared" si="1"/>
        <v>6750</v>
      </c>
      <c r="K7" s="37">
        <f t="shared" si="1"/>
        <v>6750</v>
      </c>
      <c r="L7" s="37">
        <f t="shared" si="1"/>
        <v>6750</v>
      </c>
      <c r="M7" s="37">
        <f t="shared" si="1"/>
        <v>6750</v>
      </c>
      <c r="N7" s="37">
        <f t="shared" si="1"/>
        <v>6750</v>
      </c>
      <c r="O7" s="37">
        <f t="shared" si="1"/>
        <v>6750</v>
      </c>
      <c r="P7" s="37">
        <f t="shared" si="1"/>
        <v>6750</v>
      </c>
      <c r="Q7" s="37">
        <f t="shared" si="2"/>
        <v>6750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90000</v>
      </c>
      <c r="E8" s="37" t="s">
        <v>525</v>
      </c>
      <c r="F8" s="37">
        <f t="shared" si="1"/>
        <v>7500</v>
      </c>
      <c r="G8" s="37">
        <f t="shared" si="1"/>
        <v>7500</v>
      </c>
      <c r="H8" s="37">
        <f t="shared" si="1"/>
        <v>7500</v>
      </c>
      <c r="I8" s="37">
        <f t="shared" si="1"/>
        <v>7500</v>
      </c>
      <c r="J8" s="37">
        <f t="shared" si="1"/>
        <v>7500</v>
      </c>
      <c r="K8" s="37">
        <f t="shared" si="1"/>
        <v>7500</v>
      </c>
      <c r="L8" s="37">
        <f t="shared" si="1"/>
        <v>7500</v>
      </c>
      <c r="M8" s="37">
        <f t="shared" si="1"/>
        <v>7500</v>
      </c>
      <c r="N8" s="37">
        <f t="shared" si="1"/>
        <v>7500</v>
      </c>
      <c r="O8" s="37">
        <f t="shared" si="1"/>
        <v>7500</v>
      </c>
      <c r="P8" s="37">
        <f t="shared" si="1"/>
        <v>7500</v>
      </c>
      <c r="Q8" s="37">
        <f t="shared" si="2"/>
        <v>7500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15000</v>
      </c>
      <c r="E9" s="37" t="s">
        <v>525</v>
      </c>
      <c r="F9" s="37">
        <f t="shared" si="1"/>
        <v>1250</v>
      </c>
      <c r="G9" s="37">
        <f t="shared" si="1"/>
        <v>1250</v>
      </c>
      <c r="H9" s="37">
        <f t="shared" si="1"/>
        <v>1250</v>
      </c>
      <c r="I9" s="37">
        <f t="shared" si="1"/>
        <v>1250</v>
      </c>
      <c r="J9" s="37">
        <f t="shared" si="1"/>
        <v>1250</v>
      </c>
      <c r="K9" s="37">
        <f t="shared" si="1"/>
        <v>1250</v>
      </c>
      <c r="L9" s="37">
        <f t="shared" si="1"/>
        <v>1250</v>
      </c>
      <c r="M9" s="37">
        <f t="shared" si="1"/>
        <v>1250</v>
      </c>
      <c r="N9" s="37">
        <f t="shared" si="1"/>
        <v>1250</v>
      </c>
      <c r="O9" s="37">
        <f t="shared" si="1"/>
        <v>1250</v>
      </c>
      <c r="P9" s="37">
        <f t="shared" si="1"/>
        <v>1250</v>
      </c>
      <c r="Q9" s="37">
        <f t="shared" si="2"/>
        <v>1250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164000</v>
      </c>
      <c r="E13" s="37" t="s">
        <v>525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136000</v>
      </c>
      <c r="E15" s="37" t="s">
        <v>193</v>
      </c>
      <c r="F15" s="37">
        <f>ROUND($D15/2,-3)</f>
        <v>68000</v>
      </c>
      <c r="G15" s="37"/>
      <c r="H15" s="37"/>
      <c r="I15" s="37"/>
      <c r="J15" s="37"/>
      <c r="K15" s="37"/>
      <c r="L15" s="37">
        <f>D15-F15</f>
        <v>68000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0</v>
      </c>
      <c r="E16" s="37" t="s">
        <v>525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72000</v>
      </c>
      <c r="E17" s="37" t="s">
        <v>525</v>
      </c>
      <c r="F17" s="37">
        <f>ROUND($D17/12,0)</f>
        <v>6000</v>
      </c>
      <c r="G17" s="37">
        <f t="shared" si="1"/>
        <v>6000</v>
      </c>
      <c r="H17" s="37">
        <f t="shared" si="1"/>
        <v>6000</v>
      </c>
      <c r="I17" s="37">
        <f t="shared" si="1"/>
        <v>6000</v>
      </c>
      <c r="J17" s="37">
        <f t="shared" si="1"/>
        <v>6000</v>
      </c>
      <c r="K17" s="37">
        <f t="shared" si="1"/>
        <v>6000</v>
      </c>
      <c r="L17" s="37">
        <f t="shared" si="1"/>
        <v>6000</v>
      </c>
      <c r="M17" s="37">
        <f t="shared" si="1"/>
        <v>6000</v>
      </c>
      <c r="N17" s="37">
        <f t="shared" si="1"/>
        <v>6000</v>
      </c>
      <c r="O17" s="37">
        <f t="shared" si="1"/>
        <v>6000</v>
      </c>
      <c r="P17" s="37">
        <f t="shared" si="1"/>
        <v>6000</v>
      </c>
      <c r="Q17" s="37">
        <f>D17-SUM(F17:P17)</f>
        <v>6000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80000</v>
      </c>
      <c r="E24" s="37" t="s">
        <v>193</v>
      </c>
      <c r="F24" s="37">
        <f>ROUND($D24/2,-3)</f>
        <v>40000</v>
      </c>
      <c r="G24" s="37"/>
      <c r="H24" s="37"/>
      <c r="I24" s="37"/>
      <c r="J24" s="37"/>
      <c r="K24" s="37"/>
      <c r="L24" s="37">
        <f>D24-F24</f>
        <v>40000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1337000</v>
      </c>
      <c r="E25" s="108"/>
      <c r="F25" s="108">
        <f>ROUND(SUM(F3:F24),-3)</f>
        <v>201000</v>
      </c>
      <c r="G25" s="108">
        <f t="shared" ref="G25:P25" si="5">ROUND(SUM(G3:G24),-3)</f>
        <v>93000</v>
      </c>
      <c r="H25" s="108">
        <f t="shared" si="5"/>
        <v>93000</v>
      </c>
      <c r="I25" s="108">
        <f t="shared" si="5"/>
        <v>93000</v>
      </c>
      <c r="J25" s="108">
        <f t="shared" si="5"/>
        <v>93000</v>
      </c>
      <c r="K25" s="108">
        <f t="shared" si="5"/>
        <v>93000</v>
      </c>
      <c r="L25" s="108">
        <f t="shared" si="5"/>
        <v>201000</v>
      </c>
      <c r="M25" s="108">
        <f t="shared" si="5"/>
        <v>93000</v>
      </c>
      <c r="N25" s="108">
        <f t="shared" si="5"/>
        <v>93000</v>
      </c>
      <c r="O25" s="108">
        <f t="shared" si="5"/>
        <v>93000</v>
      </c>
      <c r="P25" s="108">
        <f t="shared" si="5"/>
        <v>93000</v>
      </c>
      <c r="Q25" s="108">
        <f t="shared" ref="Q25:Q33" si="6">D25-SUM(F25:P25)</f>
        <v>98000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427000</v>
      </c>
      <c r="E27" s="37" t="s">
        <v>525</v>
      </c>
      <c r="F27" s="37">
        <f t="shared" ref="F27:P33" si="8">ROUND($D27/12,0)</f>
        <v>35583</v>
      </c>
      <c r="G27" s="37">
        <f t="shared" si="8"/>
        <v>35583</v>
      </c>
      <c r="H27" s="37">
        <f t="shared" si="8"/>
        <v>35583</v>
      </c>
      <c r="I27" s="37">
        <f t="shared" si="8"/>
        <v>35583</v>
      </c>
      <c r="J27" s="37">
        <f t="shared" si="8"/>
        <v>35583</v>
      </c>
      <c r="K27" s="37">
        <f t="shared" si="8"/>
        <v>35583</v>
      </c>
      <c r="L27" s="37">
        <f t="shared" si="8"/>
        <v>35583</v>
      </c>
      <c r="M27" s="37">
        <f t="shared" si="8"/>
        <v>35583</v>
      </c>
      <c r="N27" s="37">
        <f t="shared" si="8"/>
        <v>35583</v>
      </c>
      <c r="O27" s="37">
        <f t="shared" si="8"/>
        <v>35583</v>
      </c>
      <c r="P27" s="37">
        <f t="shared" si="8"/>
        <v>35583</v>
      </c>
      <c r="Q27" s="37">
        <f t="shared" si="6"/>
        <v>35587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49000</v>
      </c>
      <c r="E29" s="37" t="s">
        <v>525</v>
      </c>
      <c r="F29" s="37">
        <f t="shared" si="8"/>
        <v>4083</v>
      </c>
      <c r="G29" s="37">
        <f t="shared" si="8"/>
        <v>4083</v>
      </c>
      <c r="H29" s="37">
        <f t="shared" si="8"/>
        <v>4083</v>
      </c>
      <c r="I29" s="37">
        <f t="shared" si="8"/>
        <v>4083</v>
      </c>
      <c r="J29" s="37">
        <f t="shared" si="8"/>
        <v>4083</v>
      </c>
      <c r="K29" s="37">
        <f t="shared" si="8"/>
        <v>4083</v>
      </c>
      <c r="L29" s="37">
        <f t="shared" si="8"/>
        <v>4083</v>
      </c>
      <c r="M29" s="37">
        <f t="shared" si="8"/>
        <v>4083</v>
      </c>
      <c r="N29" s="37">
        <f t="shared" si="8"/>
        <v>4083</v>
      </c>
      <c r="O29" s="37">
        <f t="shared" si="8"/>
        <v>4083</v>
      </c>
      <c r="P29" s="37">
        <f t="shared" si="8"/>
        <v>4083</v>
      </c>
      <c r="Q29" s="37">
        <f t="shared" si="6"/>
        <v>4087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169000</v>
      </c>
      <c r="E30" s="37" t="s">
        <v>525</v>
      </c>
      <c r="F30" s="37">
        <f t="shared" si="8"/>
        <v>14083</v>
      </c>
      <c r="G30" s="37">
        <f t="shared" si="8"/>
        <v>14083</v>
      </c>
      <c r="H30" s="37">
        <f t="shared" si="8"/>
        <v>14083</v>
      </c>
      <c r="I30" s="37">
        <f t="shared" si="8"/>
        <v>14083</v>
      </c>
      <c r="J30" s="37">
        <f t="shared" si="8"/>
        <v>14083</v>
      </c>
      <c r="K30" s="37">
        <f t="shared" si="8"/>
        <v>14083</v>
      </c>
      <c r="L30" s="37">
        <f t="shared" si="8"/>
        <v>14083</v>
      </c>
      <c r="M30" s="37">
        <f t="shared" si="8"/>
        <v>14083</v>
      </c>
      <c r="N30" s="37">
        <f t="shared" si="8"/>
        <v>14083</v>
      </c>
      <c r="O30" s="37">
        <f t="shared" si="8"/>
        <v>14083</v>
      </c>
      <c r="P30" s="37">
        <f t="shared" si="8"/>
        <v>14083</v>
      </c>
      <c r="Q30" s="37">
        <f t="shared" si="6"/>
        <v>14087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85000</v>
      </c>
      <c r="E31" s="37" t="s">
        <v>525</v>
      </c>
      <c r="F31" s="37">
        <f t="shared" si="8"/>
        <v>7083</v>
      </c>
      <c r="G31" s="37">
        <f t="shared" si="8"/>
        <v>7083</v>
      </c>
      <c r="H31" s="37">
        <f t="shared" si="8"/>
        <v>7083</v>
      </c>
      <c r="I31" s="37">
        <f t="shared" si="8"/>
        <v>7083</v>
      </c>
      <c r="J31" s="37">
        <f t="shared" si="8"/>
        <v>7083</v>
      </c>
      <c r="K31" s="37">
        <f t="shared" si="8"/>
        <v>7083</v>
      </c>
      <c r="L31" s="37">
        <f t="shared" si="8"/>
        <v>7083</v>
      </c>
      <c r="M31" s="37">
        <f t="shared" si="8"/>
        <v>7083</v>
      </c>
      <c r="N31" s="37">
        <f t="shared" si="8"/>
        <v>7083</v>
      </c>
      <c r="O31" s="37">
        <f t="shared" si="8"/>
        <v>7083</v>
      </c>
      <c r="P31" s="37">
        <f t="shared" si="8"/>
        <v>7083</v>
      </c>
      <c r="Q31" s="37">
        <f t="shared" si="6"/>
        <v>7087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24000</v>
      </c>
      <c r="E32" s="37" t="s">
        <v>525</v>
      </c>
      <c r="F32" s="37">
        <f t="shared" si="8"/>
        <v>2000</v>
      </c>
      <c r="G32" s="37">
        <f t="shared" si="8"/>
        <v>2000</v>
      </c>
      <c r="H32" s="37">
        <f t="shared" si="8"/>
        <v>2000</v>
      </c>
      <c r="I32" s="37">
        <f t="shared" si="8"/>
        <v>2000</v>
      </c>
      <c r="J32" s="37">
        <f t="shared" si="8"/>
        <v>2000</v>
      </c>
      <c r="K32" s="37">
        <f t="shared" si="8"/>
        <v>2000</v>
      </c>
      <c r="L32" s="37">
        <f t="shared" si="8"/>
        <v>2000</v>
      </c>
      <c r="M32" s="37">
        <f t="shared" si="8"/>
        <v>2000</v>
      </c>
      <c r="N32" s="37">
        <f t="shared" si="8"/>
        <v>2000</v>
      </c>
      <c r="O32" s="37">
        <f t="shared" si="8"/>
        <v>2000</v>
      </c>
      <c r="P32" s="37">
        <f t="shared" si="8"/>
        <v>2000</v>
      </c>
      <c r="Q32" s="37">
        <f t="shared" si="6"/>
        <v>2000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15000</v>
      </c>
      <c r="E33" s="37" t="s">
        <v>525</v>
      </c>
      <c r="F33" s="37">
        <f t="shared" si="8"/>
        <v>1250</v>
      </c>
      <c r="G33" s="37">
        <f t="shared" si="8"/>
        <v>1250</v>
      </c>
      <c r="H33" s="37">
        <f t="shared" si="8"/>
        <v>1250</v>
      </c>
      <c r="I33" s="37">
        <f t="shared" si="8"/>
        <v>1250</v>
      </c>
      <c r="J33" s="37">
        <f t="shared" si="8"/>
        <v>1250</v>
      </c>
      <c r="K33" s="37">
        <f t="shared" si="8"/>
        <v>1250</v>
      </c>
      <c r="L33" s="37">
        <f t="shared" si="8"/>
        <v>1250</v>
      </c>
      <c r="M33" s="37">
        <f t="shared" si="8"/>
        <v>1250</v>
      </c>
      <c r="N33" s="37">
        <f t="shared" si="8"/>
        <v>1250</v>
      </c>
      <c r="O33" s="37">
        <f t="shared" si="8"/>
        <v>1250</v>
      </c>
      <c r="P33" s="37">
        <f t="shared" si="8"/>
        <v>1250</v>
      </c>
      <c r="Q33" s="37">
        <f t="shared" si="6"/>
        <v>1250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769000</v>
      </c>
      <c r="E37" s="108"/>
      <c r="F37" s="108">
        <f t="shared" ref="F37:P37" si="9">ROUND(SUM(F26:F36),-3)</f>
        <v>64000</v>
      </c>
      <c r="G37" s="108">
        <f t="shared" si="9"/>
        <v>64000</v>
      </c>
      <c r="H37" s="108">
        <f t="shared" si="9"/>
        <v>64000</v>
      </c>
      <c r="I37" s="108">
        <f t="shared" si="9"/>
        <v>64000</v>
      </c>
      <c r="J37" s="108">
        <f t="shared" si="9"/>
        <v>64000</v>
      </c>
      <c r="K37" s="108">
        <f t="shared" si="9"/>
        <v>64000</v>
      </c>
      <c r="L37" s="108">
        <f t="shared" si="9"/>
        <v>64000</v>
      </c>
      <c r="M37" s="108">
        <f t="shared" si="9"/>
        <v>64000</v>
      </c>
      <c r="N37" s="108">
        <f t="shared" si="9"/>
        <v>64000</v>
      </c>
      <c r="O37" s="108">
        <f t="shared" si="9"/>
        <v>64000</v>
      </c>
      <c r="P37" s="108">
        <f t="shared" si="9"/>
        <v>64000</v>
      </c>
      <c r="Q37" s="108">
        <f>D37-SUM(F37:P37)</f>
        <v>65000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24000</v>
      </c>
      <c r="E46" s="37" t="s">
        <v>194</v>
      </c>
      <c r="F46" s="37">
        <f>ROUND($D46/3,0)</f>
        <v>8000</v>
      </c>
      <c r="G46" s="37"/>
      <c r="H46" s="37"/>
      <c r="I46" s="37"/>
      <c r="J46" s="37"/>
      <c r="K46" s="37">
        <f>ROUND($D46/3,0)</f>
        <v>8000</v>
      </c>
      <c r="L46" s="37"/>
      <c r="M46" s="37"/>
      <c r="N46" s="37">
        <f>ROUND($D46/3,0)</f>
        <v>8000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24000</v>
      </c>
      <c r="E47" s="108"/>
      <c r="F47" s="108">
        <f t="shared" ref="F47:P47" si="13">ROUND(SUM(F46),-3)</f>
        <v>8000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8000</v>
      </c>
      <c r="L47" s="108">
        <f t="shared" si="13"/>
        <v>0</v>
      </c>
      <c r="M47" s="108">
        <f t="shared" si="13"/>
        <v>0</v>
      </c>
      <c r="N47" s="108">
        <f t="shared" si="13"/>
        <v>8000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2130000</v>
      </c>
      <c r="E48" s="37"/>
      <c r="F48" s="115">
        <f>F25+F37+F45+F47</f>
        <v>273000</v>
      </c>
      <c r="G48" s="115">
        <f t="shared" ref="G48:R48" si="14">G25+G37+G45+G47</f>
        <v>157000</v>
      </c>
      <c r="H48" s="115">
        <f t="shared" si="14"/>
        <v>157000</v>
      </c>
      <c r="I48" s="115">
        <f t="shared" si="14"/>
        <v>157000</v>
      </c>
      <c r="J48" s="115">
        <f t="shared" si="14"/>
        <v>157000</v>
      </c>
      <c r="K48" s="115">
        <f t="shared" si="14"/>
        <v>165000</v>
      </c>
      <c r="L48" s="115">
        <f t="shared" si="14"/>
        <v>265000</v>
      </c>
      <c r="M48" s="115">
        <f t="shared" si="14"/>
        <v>157000</v>
      </c>
      <c r="N48" s="115">
        <f t="shared" si="14"/>
        <v>165000</v>
      </c>
      <c r="O48" s="115">
        <f t="shared" si="14"/>
        <v>157000</v>
      </c>
      <c r="P48" s="115">
        <f t="shared" si="14"/>
        <v>157000</v>
      </c>
      <c r="Q48" s="115">
        <f t="shared" si="14"/>
        <v>163000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59631000</v>
      </c>
      <c r="E49" s="114" t="s">
        <v>202</v>
      </c>
      <c r="F49" s="37">
        <f>ROUND($D49/12*3,-3)</f>
        <v>14908000</v>
      </c>
      <c r="G49" s="37">
        <f>ROUND($D49/12,-3)</f>
        <v>4969000</v>
      </c>
      <c r="H49" s="37">
        <f t="shared" ref="H49:N53" si="15">ROUND($D49/12,-3)</f>
        <v>4969000</v>
      </c>
      <c r="I49" s="37">
        <f t="shared" si="15"/>
        <v>4969000</v>
      </c>
      <c r="J49" s="37">
        <f t="shared" si="15"/>
        <v>4969000</v>
      </c>
      <c r="K49" s="37">
        <f t="shared" si="15"/>
        <v>4969000</v>
      </c>
      <c r="L49" s="37">
        <f t="shared" si="15"/>
        <v>4969000</v>
      </c>
      <c r="M49" s="37">
        <f t="shared" si="15"/>
        <v>4969000</v>
      </c>
      <c r="N49" s="37">
        <f t="shared" si="15"/>
        <v>4969000</v>
      </c>
      <c r="O49" s="37">
        <f>D49-SUM(F49:N49)</f>
        <v>4971000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405000</v>
      </c>
      <c r="E50" s="114" t="s">
        <v>202</v>
      </c>
      <c r="F50" s="37">
        <f t="shared" ref="F50:F53" si="16">ROUND($D50/12*3,-3)</f>
        <v>101000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si="15"/>
        <v>34000</v>
      </c>
      <c r="N50" s="37">
        <f t="shared" si="15"/>
        <v>34000</v>
      </c>
      <c r="O50" s="37">
        <f t="shared" ref="O50:O53" si="18">D50-SUM(F50:N50)</f>
        <v>32000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2698000</v>
      </c>
      <c r="E51" s="114" t="s">
        <v>202</v>
      </c>
      <c r="F51" s="37">
        <f t="shared" si="16"/>
        <v>675000</v>
      </c>
      <c r="G51" s="37">
        <f t="shared" si="17"/>
        <v>225000</v>
      </c>
      <c r="H51" s="37">
        <f t="shared" si="15"/>
        <v>225000</v>
      </c>
      <c r="I51" s="37">
        <f t="shared" si="15"/>
        <v>225000</v>
      </c>
      <c r="J51" s="37">
        <f t="shared" si="15"/>
        <v>225000</v>
      </c>
      <c r="K51" s="37">
        <f t="shared" si="15"/>
        <v>225000</v>
      </c>
      <c r="L51" s="37">
        <f t="shared" si="15"/>
        <v>225000</v>
      </c>
      <c r="M51" s="37">
        <f t="shared" si="15"/>
        <v>225000</v>
      </c>
      <c r="N51" s="37">
        <f t="shared" si="15"/>
        <v>225000</v>
      </c>
      <c r="O51" s="37">
        <f t="shared" si="18"/>
        <v>223000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398000</v>
      </c>
      <c r="E52" s="114" t="s">
        <v>202</v>
      </c>
      <c r="F52" s="37">
        <f t="shared" si="16"/>
        <v>100000</v>
      </c>
      <c r="G52" s="37">
        <f t="shared" si="17"/>
        <v>33000</v>
      </c>
      <c r="H52" s="37">
        <f t="shared" si="15"/>
        <v>33000</v>
      </c>
      <c r="I52" s="37">
        <f t="shared" si="15"/>
        <v>33000</v>
      </c>
      <c r="J52" s="37">
        <f t="shared" si="15"/>
        <v>33000</v>
      </c>
      <c r="K52" s="37">
        <f t="shared" si="15"/>
        <v>33000</v>
      </c>
      <c r="L52" s="37">
        <f t="shared" si="15"/>
        <v>33000</v>
      </c>
      <c r="M52" s="37">
        <f t="shared" si="15"/>
        <v>33000</v>
      </c>
      <c r="N52" s="37">
        <f t="shared" si="15"/>
        <v>33000</v>
      </c>
      <c r="O52" s="37">
        <f t="shared" si="18"/>
        <v>34000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231000</v>
      </c>
      <c r="E54" s="37" t="s">
        <v>525</v>
      </c>
      <c r="F54" s="37">
        <f t="shared" ref="F54:P61" si="19">ROUND($D54/12,0)</f>
        <v>19250</v>
      </c>
      <c r="G54" s="37">
        <f t="shared" si="19"/>
        <v>19250</v>
      </c>
      <c r="H54" s="37">
        <f t="shared" si="19"/>
        <v>19250</v>
      </c>
      <c r="I54" s="37">
        <f t="shared" si="19"/>
        <v>19250</v>
      </c>
      <c r="J54" s="37">
        <f t="shared" si="19"/>
        <v>19250</v>
      </c>
      <c r="K54" s="37">
        <f t="shared" si="19"/>
        <v>19250</v>
      </c>
      <c r="L54" s="37">
        <f t="shared" si="19"/>
        <v>19250</v>
      </c>
      <c r="M54" s="37">
        <f t="shared" si="19"/>
        <v>19250</v>
      </c>
      <c r="N54" s="37">
        <f t="shared" si="19"/>
        <v>19250</v>
      </c>
      <c r="O54" s="37">
        <f t="shared" si="19"/>
        <v>19250</v>
      </c>
      <c r="P54" s="37">
        <f t="shared" si="19"/>
        <v>19250</v>
      </c>
      <c r="Q54" s="37">
        <f t="shared" ref="Q54:Q61" si="20">D54-SUM(F54:P54)</f>
        <v>19250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0</v>
      </c>
      <c r="E59" s="37" t="s">
        <v>525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1191000</v>
      </c>
      <c r="E60" s="37" t="s">
        <v>195</v>
      </c>
      <c r="F60" s="37">
        <f>D60</f>
        <v>1191000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8229000</v>
      </c>
      <c r="E62" s="37" t="s">
        <v>197</v>
      </c>
      <c r="F62" s="37"/>
      <c r="G62" s="37"/>
      <c r="H62" s="37"/>
      <c r="I62" s="37">
        <f>ROUND($D62/5,-3)</f>
        <v>1646000</v>
      </c>
      <c r="J62" s="37"/>
      <c r="K62" s="37"/>
      <c r="L62" s="37"/>
      <c r="M62" s="37"/>
      <c r="N62" s="37">
        <f>D62-I62</f>
        <v>6583000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7321000</v>
      </c>
      <c r="E63" s="37" t="s">
        <v>195</v>
      </c>
      <c r="F63" s="37">
        <f>D63</f>
        <v>7321000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6551000</v>
      </c>
      <c r="E64" s="114" t="s">
        <v>202</v>
      </c>
      <c r="F64" s="37">
        <f>ROUND($D64/12*3,-3)</f>
        <v>1638000</v>
      </c>
      <c r="G64" s="37">
        <f>ROUND($D64/12,-3)</f>
        <v>546000</v>
      </c>
      <c r="H64" s="37">
        <f t="shared" ref="H64:N66" si="21">ROUND($D64/12,-3)</f>
        <v>546000</v>
      </c>
      <c r="I64" s="37">
        <f t="shared" si="21"/>
        <v>546000</v>
      </c>
      <c r="J64" s="37">
        <f t="shared" si="21"/>
        <v>546000</v>
      </c>
      <c r="K64" s="37">
        <f t="shared" si="21"/>
        <v>546000</v>
      </c>
      <c r="L64" s="37">
        <f t="shared" si="21"/>
        <v>546000</v>
      </c>
      <c r="M64" s="37">
        <f t="shared" si="21"/>
        <v>546000</v>
      </c>
      <c r="N64" s="37">
        <f t="shared" si="21"/>
        <v>546000</v>
      </c>
      <c r="O64" s="37">
        <f>D64-SUM(F64:N64)</f>
        <v>545000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1614000</v>
      </c>
      <c r="E65" s="114" t="s">
        <v>202</v>
      </c>
      <c r="F65" s="37">
        <f t="shared" ref="F65:F66" si="22">ROUND($D65/12*3,-3)</f>
        <v>404000</v>
      </c>
      <c r="G65" s="37">
        <f t="shared" ref="G65:G66" si="23">ROUND($D65/12,-3)</f>
        <v>135000</v>
      </c>
      <c r="H65" s="37">
        <f t="shared" si="21"/>
        <v>135000</v>
      </c>
      <c r="I65" s="37">
        <f t="shared" si="21"/>
        <v>135000</v>
      </c>
      <c r="J65" s="37">
        <f t="shared" si="21"/>
        <v>135000</v>
      </c>
      <c r="K65" s="37">
        <f t="shared" si="21"/>
        <v>135000</v>
      </c>
      <c r="L65" s="37">
        <f t="shared" si="21"/>
        <v>135000</v>
      </c>
      <c r="M65" s="37">
        <f t="shared" si="21"/>
        <v>135000</v>
      </c>
      <c r="N65" s="37">
        <f t="shared" si="21"/>
        <v>135000</v>
      </c>
      <c r="O65" s="37">
        <f t="shared" ref="O65:O66" si="24">D65-SUM(F65:N65)</f>
        <v>130000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4008000</v>
      </c>
      <c r="E66" s="114" t="s">
        <v>202</v>
      </c>
      <c r="F66" s="37">
        <f t="shared" si="22"/>
        <v>1002000</v>
      </c>
      <c r="G66" s="37">
        <f t="shared" si="23"/>
        <v>334000</v>
      </c>
      <c r="H66" s="37">
        <f t="shared" si="21"/>
        <v>334000</v>
      </c>
      <c r="I66" s="37">
        <f t="shared" si="21"/>
        <v>334000</v>
      </c>
      <c r="J66" s="37">
        <f t="shared" si="21"/>
        <v>334000</v>
      </c>
      <c r="K66" s="37">
        <f t="shared" si="21"/>
        <v>334000</v>
      </c>
      <c r="L66" s="37">
        <f t="shared" si="21"/>
        <v>334000</v>
      </c>
      <c r="M66" s="37">
        <f t="shared" si="21"/>
        <v>334000</v>
      </c>
      <c r="N66" s="37">
        <f t="shared" si="21"/>
        <v>334000</v>
      </c>
      <c r="O66" s="37">
        <f t="shared" si="24"/>
        <v>334000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117000</v>
      </c>
      <c r="E67" s="37" t="s">
        <v>196</v>
      </c>
      <c r="F67" s="37"/>
      <c r="G67" s="37"/>
      <c r="H67" s="37">
        <f>D67</f>
        <v>117000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352000</v>
      </c>
      <c r="E68" s="37" t="s">
        <v>195</v>
      </c>
      <c r="F68" s="37">
        <f>D68</f>
        <v>352000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92746000</v>
      </c>
      <c r="E70" s="108"/>
      <c r="F70" s="108">
        <f t="shared" ref="F70:P70" si="25">ROUND(SUM(F49:F69),-3)</f>
        <v>27711000</v>
      </c>
      <c r="G70" s="108">
        <f t="shared" si="25"/>
        <v>6295000</v>
      </c>
      <c r="H70" s="108">
        <f t="shared" si="25"/>
        <v>6412000</v>
      </c>
      <c r="I70" s="108">
        <f t="shared" si="25"/>
        <v>7941000</v>
      </c>
      <c r="J70" s="108">
        <f t="shared" si="25"/>
        <v>6295000</v>
      </c>
      <c r="K70" s="108">
        <f t="shared" si="25"/>
        <v>6295000</v>
      </c>
      <c r="L70" s="108">
        <f t="shared" si="25"/>
        <v>6295000</v>
      </c>
      <c r="M70" s="108">
        <f t="shared" si="25"/>
        <v>6295000</v>
      </c>
      <c r="N70" s="108">
        <f t="shared" si="25"/>
        <v>12878000</v>
      </c>
      <c r="O70" s="108">
        <f t="shared" si="25"/>
        <v>6288000</v>
      </c>
      <c r="P70" s="108">
        <f t="shared" si="25"/>
        <v>19000</v>
      </c>
      <c r="Q70" s="108">
        <f>D70-SUM(F70:P70)</f>
        <v>22000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69000</v>
      </c>
      <c r="E71" s="37" t="s">
        <v>195</v>
      </c>
      <c r="F71" s="37">
        <f>D71</f>
        <v>69000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13194000</v>
      </c>
      <c r="E72" s="114" t="s">
        <v>202</v>
      </c>
      <c r="F72" s="37">
        <f>ROUND($D72/12*3,-3)</f>
        <v>3299000</v>
      </c>
      <c r="G72" s="37">
        <f>ROUND($D72/12,-3)</f>
        <v>1100000</v>
      </c>
      <c r="H72" s="37">
        <f t="shared" ref="H72:N75" si="26">ROUND($D72/12,-3)</f>
        <v>1100000</v>
      </c>
      <c r="I72" s="37">
        <f t="shared" si="26"/>
        <v>1100000</v>
      </c>
      <c r="J72" s="37">
        <f t="shared" si="26"/>
        <v>1100000</v>
      </c>
      <c r="K72" s="37">
        <f t="shared" si="26"/>
        <v>1100000</v>
      </c>
      <c r="L72" s="37">
        <f t="shared" si="26"/>
        <v>1100000</v>
      </c>
      <c r="M72" s="37">
        <f t="shared" si="26"/>
        <v>1100000</v>
      </c>
      <c r="N72" s="37">
        <f t="shared" si="26"/>
        <v>1100000</v>
      </c>
      <c r="O72" s="37">
        <f>D72-SUM(F72:N72)</f>
        <v>1095000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845000</v>
      </c>
      <c r="E75" s="114" t="s">
        <v>202</v>
      </c>
      <c r="F75" s="37">
        <f>ROUND($D75/12*3,-3)</f>
        <v>211000</v>
      </c>
      <c r="G75" s="37">
        <f>ROUND($D75/12,-3)</f>
        <v>70000</v>
      </c>
      <c r="H75" s="37">
        <f t="shared" si="26"/>
        <v>70000</v>
      </c>
      <c r="I75" s="37">
        <f t="shared" si="26"/>
        <v>70000</v>
      </c>
      <c r="J75" s="37">
        <f t="shared" si="26"/>
        <v>70000</v>
      </c>
      <c r="K75" s="37">
        <f t="shared" si="26"/>
        <v>70000</v>
      </c>
      <c r="L75" s="37">
        <f t="shared" si="26"/>
        <v>70000</v>
      </c>
      <c r="M75" s="37">
        <f t="shared" si="26"/>
        <v>70000</v>
      </c>
      <c r="N75" s="37">
        <f t="shared" si="26"/>
        <v>70000</v>
      </c>
      <c r="O75" s="37">
        <f>D75-SUM(F75:N75)</f>
        <v>74000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14108000</v>
      </c>
      <c r="E76" s="108"/>
      <c r="F76" s="108">
        <f>ROUND(SUM(F71:F75),-3)</f>
        <v>3579000</v>
      </c>
      <c r="G76" s="108">
        <f t="shared" ref="G76:N76" si="27">ROUND(SUM(G71:G75),-3)</f>
        <v>1170000</v>
      </c>
      <c r="H76" s="108">
        <f t="shared" si="27"/>
        <v>1170000</v>
      </c>
      <c r="I76" s="108">
        <f t="shared" si="27"/>
        <v>1170000</v>
      </c>
      <c r="J76" s="108">
        <f t="shared" si="27"/>
        <v>1170000</v>
      </c>
      <c r="K76" s="108">
        <f t="shared" si="27"/>
        <v>1170000</v>
      </c>
      <c r="L76" s="108">
        <f t="shared" si="27"/>
        <v>1170000</v>
      </c>
      <c r="M76" s="108">
        <f t="shared" si="27"/>
        <v>1170000</v>
      </c>
      <c r="N76" s="108">
        <f t="shared" si="27"/>
        <v>1170000</v>
      </c>
      <c r="O76" s="108">
        <f>D76-SUM(F76:N76)</f>
        <v>1169000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691000</v>
      </c>
      <c r="E77" s="37" t="s">
        <v>681</v>
      </c>
      <c r="F77" s="224"/>
      <c r="G77" s="224"/>
      <c r="H77" s="224">
        <f>ROUND($D77/2,-3)</f>
        <v>346000</v>
      </c>
      <c r="I77" s="224"/>
      <c r="J77" s="224"/>
      <c r="K77" s="224"/>
      <c r="L77" s="224"/>
      <c r="M77" s="224"/>
      <c r="N77" s="224">
        <f>D77-H77</f>
        <v>345000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107545000</v>
      </c>
      <c r="E78" s="227"/>
      <c r="F78" s="227">
        <f>F76+F70+F77</f>
        <v>31290000</v>
      </c>
      <c r="G78" s="227">
        <f t="shared" ref="G78:Q78" si="29">G76+G70+G77</f>
        <v>7465000</v>
      </c>
      <c r="H78" s="227">
        <f t="shared" si="29"/>
        <v>7928000</v>
      </c>
      <c r="I78" s="227">
        <f t="shared" si="29"/>
        <v>9111000</v>
      </c>
      <c r="J78" s="227">
        <f t="shared" si="29"/>
        <v>7465000</v>
      </c>
      <c r="K78" s="227">
        <f t="shared" si="29"/>
        <v>7465000</v>
      </c>
      <c r="L78" s="227">
        <f t="shared" si="29"/>
        <v>7465000</v>
      </c>
      <c r="M78" s="227">
        <f t="shared" si="29"/>
        <v>7465000</v>
      </c>
      <c r="N78" s="227">
        <f t="shared" si="29"/>
        <v>14393000</v>
      </c>
      <c r="O78" s="227">
        <f t="shared" si="29"/>
        <v>7457000</v>
      </c>
      <c r="P78" s="227">
        <f t="shared" si="29"/>
        <v>19000</v>
      </c>
      <c r="Q78" s="227">
        <f t="shared" si="29"/>
        <v>22000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109675000</v>
      </c>
      <c r="E87" s="37"/>
      <c r="F87" s="37">
        <f>F88+F89+F90+F91</f>
        <v>31563000</v>
      </c>
      <c r="G87" s="37">
        <f t="shared" ref="G87:Q87" si="32">G88+G89+G90+G91</f>
        <v>7622000</v>
      </c>
      <c r="H87" s="37">
        <f t="shared" si="32"/>
        <v>8085000</v>
      </c>
      <c r="I87" s="37">
        <f t="shared" si="32"/>
        <v>9268000</v>
      </c>
      <c r="J87" s="37">
        <f t="shared" si="32"/>
        <v>7622000</v>
      </c>
      <c r="K87" s="37">
        <f t="shared" si="32"/>
        <v>7630000</v>
      </c>
      <c r="L87" s="37">
        <f t="shared" si="32"/>
        <v>7730000</v>
      </c>
      <c r="M87" s="37">
        <f t="shared" si="32"/>
        <v>7622000</v>
      </c>
      <c r="N87" s="37">
        <f t="shared" si="32"/>
        <v>14558000</v>
      </c>
      <c r="O87" s="37">
        <f t="shared" si="32"/>
        <v>7614000</v>
      </c>
      <c r="P87" s="37">
        <f t="shared" si="32"/>
        <v>176000</v>
      </c>
      <c r="Q87" s="37">
        <f t="shared" si="32"/>
        <v>185000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80000</v>
      </c>
      <c r="E88" s="108" t="s">
        <v>193</v>
      </c>
      <c r="F88" s="108">
        <f>ROUND($D88/2,-3)</f>
        <v>40000</v>
      </c>
      <c r="G88" s="108"/>
      <c r="H88" s="108"/>
      <c r="I88" s="108"/>
      <c r="J88" s="108"/>
      <c r="K88" s="108"/>
      <c r="L88" s="108">
        <f>D88-F88</f>
        <v>40000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2000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1000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109593000</v>
      </c>
      <c r="E91" s="108"/>
      <c r="F91" s="108">
        <f>F92+F93+F94+F95</f>
        <v>31523000</v>
      </c>
      <c r="G91" s="108">
        <f t="shared" ref="G91:Q91" si="34">G92+G93+G94+G95</f>
        <v>7622000</v>
      </c>
      <c r="H91" s="108">
        <f t="shared" si="34"/>
        <v>8085000</v>
      </c>
      <c r="I91" s="108">
        <f t="shared" si="34"/>
        <v>9268000</v>
      </c>
      <c r="J91" s="108">
        <f t="shared" si="34"/>
        <v>7622000</v>
      </c>
      <c r="K91" s="108">
        <f t="shared" si="34"/>
        <v>7630000</v>
      </c>
      <c r="L91" s="108">
        <f t="shared" si="34"/>
        <v>7689000</v>
      </c>
      <c r="M91" s="108">
        <f t="shared" si="34"/>
        <v>7622000</v>
      </c>
      <c r="N91" s="108">
        <f t="shared" si="34"/>
        <v>14558000</v>
      </c>
      <c r="O91" s="108">
        <f t="shared" si="34"/>
        <v>7614000</v>
      </c>
      <c r="P91" s="108">
        <f t="shared" si="34"/>
        <v>176000</v>
      </c>
      <c r="Q91" s="108">
        <f t="shared" si="34"/>
        <v>184000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2760000</v>
      </c>
      <c r="E92" s="114" t="s">
        <v>537</v>
      </c>
      <c r="F92" s="37">
        <f>ROUND($D92/12*5,-3)</f>
        <v>1150000</v>
      </c>
      <c r="G92" s="37">
        <f>ROUND($D92/12,-3)</f>
        <v>230000</v>
      </c>
      <c r="H92" s="37">
        <f t="shared" ref="H92:L92" si="35">ROUND($D92/12,-3)</f>
        <v>230000</v>
      </c>
      <c r="I92" s="37">
        <f t="shared" si="35"/>
        <v>230000</v>
      </c>
      <c r="J92" s="37">
        <f t="shared" si="35"/>
        <v>230000</v>
      </c>
      <c r="K92" s="37">
        <f t="shared" si="35"/>
        <v>230000</v>
      </c>
      <c r="L92" s="37">
        <f t="shared" si="35"/>
        <v>230000</v>
      </c>
      <c r="M92" s="37">
        <f>D92-SUM(F92:L92)</f>
        <v>230000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475000</v>
      </c>
      <c r="E93" s="109" t="s">
        <v>227</v>
      </c>
      <c r="F93" s="37">
        <f>ROUND($D93/12,-3)</f>
        <v>40000</v>
      </c>
      <c r="G93" s="37">
        <f t="shared" ref="G93:P93" si="36">ROUND($D93/12,-3)</f>
        <v>40000</v>
      </c>
      <c r="H93" s="37">
        <f t="shared" si="36"/>
        <v>40000</v>
      </c>
      <c r="I93" s="37">
        <f t="shared" si="36"/>
        <v>40000</v>
      </c>
      <c r="J93" s="37">
        <f t="shared" si="36"/>
        <v>40000</v>
      </c>
      <c r="K93" s="37">
        <f t="shared" si="36"/>
        <v>40000</v>
      </c>
      <c r="L93" s="37">
        <f t="shared" si="36"/>
        <v>40000</v>
      </c>
      <c r="M93" s="37">
        <f t="shared" si="36"/>
        <v>40000</v>
      </c>
      <c r="N93" s="37">
        <f t="shared" si="36"/>
        <v>40000</v>
      </c>
      <c r="O93" s="37">
        <f t="shared" si="36"/>
        <v>40000</v>
      </c>
      <c r="P93" s="37">
        <f t="shared" si="36"/>
        <v>40000</v>
      </c>
      <c r="Q93" s="37">
        <f>D93-SUM(F93:P93)</f>
        <v>35000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840000</v>
      </c>
      <c r="E94" s="110" t="s">
        <v>229</v>
      </c>
      <c r="F94" s="37"/>
      <c r="G94" s="37"/>
      <c r="H94" s="37">
        <f>ROUND($D94/2,-3)</f>
        <v>420000</v>
      </c>
      <c r="I94" s="37"/>
      <c r="J94" s="37"/>
      <c r="K94" s="37"/>
      <c r="L94" s="37"/>
      <c r="M94" s="37"/>
      <c r="N94" s="37"/>
      <c r="O94" s="37">
        <f>D94-H94</f>
        <v>420000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105518000</v>
      </c>
      <c r="E95" s="37"/>
      <c r="F95" s="37">
        <f>F2+F86-F88-F89-F90-F92-F93-F94</f>
        <v>30333000</v>
      </c>
      <c r="G95" s="37">
        <f t="shared" ref="G95:Q95" si="37">G2-G88-G89-G90-G92-G93-G94</f>
        <v>7352000</v>
      </c>
      <c r="H95" s="37">
        <f t="shared" si="37"/>
        <v>7395000</v>
      </c>
      <c r="I95" s="37">
        <f t="shared" si="37"/>
        <v>8998000</v>
      </c>
      <c r="J95" s="37">
        <f t="shared" si="37"/>
        <v>7352000</v>
      </c>
      <c r="K95" s="37">
        <f t="shared" si="37"/>
        <v>7360000</v>
      </c>
      <c r="L95" s="37">
        <f t="shared" si="37"/>
        <v>7419000</v>
      </c>
      <c r="M95" s="37">
        <f t="shared" si="37"/>
        <v>7352000</v>
      </c>
      <c r="N95" s="37">
        <f t="shared" si="37"/>
        <v>14518000</v>
      </c>
      <c r="O95" s="37">
        <f t="shared" si="37"/>
        <v>7154000</v>
      </c>
      <c r="P95" s="37">
        <f t="shared" si="37"/>
        <v>136000</v>
      </c>
      <c r="Q95" s="37">
        <f t="shared" si="37"/>
        <v>149000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800000</v>
      </c>
    </row>
    <row r="99" spans="2:17" ht="32.4">
      <c r="B99" s="72" t="s">
        <v>235</v>
      </c>
      <c r="D99" s="30">
        <f>HLOOKUP(D1,縣庫撥款收入明細表!H:DD,5,FALSE)</f>
        <v>790000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1170000</v>
      </c>
    </row>
    <row r="102" spans="2:17" ht="32.4">
      <c r="B102" s="71" t="s">
        <v>238</v>
      </c>
      <c r="D102" s="30">
        <f>HLOOKUP(D1,縣庫撥款收入明細表!H:DD,16,FALSE)</f>
        <v>432000</v>
      </c>
    </row>
    <row r="103" spans="2:17" ht="32.4">
      <c r="B103" s="72" t="s">
        <v>239</v>
      </c>
      <c r="D103" s="30">
        <f>HLOOKUP(D1,縣庫撥款收入明細表!H:DD,17,FALSE)</f>
        <v>0</v>
      </c>
    </row>
    <row r="104" spans="2:17" ht="32.4">
      <c r="B104" s="76" t="s">
        <v>240</v>
      </c>
      <c r="D104" s="30">
        <f>HLOOKUP(D1,縣庫撥款收入明細表!H:DD,18,FALSE)</f>
        <v>840000</v>
      </c>
    </row>
    <row r="105" spans="2:17" ht="32.4">
      <c r="B105" s="72" t="s">
        <v>380</v>
      </c>
      <c r="D105" s="30">
        <f>HLOOKUP(D1,縣庫撥款收入明細表!H:DD,19,FALSE)</f>
        <v>0</v>
      </c>
    </row>
    <row r="106" spans="2:17" ht="32.4">
      <c r="B106" s="71" t="s">
        <v>241</v>
      </c>
      <c r="D106" s="30">
        <f>HLOOKUP(D1,縣庫撥款收入明細表!H:DD,20,FALSE)</f>
        <v>43000</v>
      </c>
    </row>
    <row r="107" spans="2:17" ht="32.4">
      <c r="B107" s="77" t="s">
        <v>242</v>
      </c>
      <c r="D107" s="30">
        <f>HLOOKUP(D1,縣庫撥款收入明細表!H:DD,21,FALSE)</f>
        <v>105518000</v>
      </c>
    </row>
    <row r="108" spans="2:17" ht="16.5" customHeight="1"/>
    <row r="109" spans="2:17" ht="16.5" customHeight="1">
      <c r="B109" s="4" t="s">
        <v>682</v>
      </c>
      <c r="D109" s="30">
        <f>D91-D76</f>
        <v>95485000</v>
      </c>
      <c r="F109" s="30">
        <f>F91-F76</f>
        <v>27944000</v>
      </c>
      <c r="G109" s="30">
        <f t="shared" ref="G109:Q109" si="38">G91-G76</f>
        <v>6452000</v>
      </c>
      <c r="H109" s="30">
        <f t="shared" si="38"/>
        <v>6915000</v>
      </c>
      <c r="I109" s="30">
        <f t="shared" si="38"/>
        <v>8098000</v>
      </c>
      <c r="J109" s="30">
        <f t="shared" si="38"/>
        <v>6452000</v>
      </c>
      <c r="K109" s="30">
        <f t="shared" si="38"/>
        <v>6460000</v>
      </c>
      <c r="L109" s="30">
        <f t="shared" si="38"/>
        <v>6519000</v>
      </c>
      <c r="M109" s="30">
        <f t="shared" si="38"/>
        <v>6452000</v>
      </c>
      <c r="N109" s="30">
        <f t="shared" si="38"/>
        <v>13388000</v>
      </c>
      <c r="O109" s="30">
        <f t="shared" si="38"/>
        <v>6445000</v>
      </c>
      <c r="P109" s="30">
        <f t="shared" si="38"/>
        <v>176000</v>
      </c>
      <c r="Q109" s="30">
        <f t="shared" si="38"/>
        <v>184000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66" priority="1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9"/>
  <sheetViews>
    <sheetView workbookViewId="0">
      <selection activeCell="A9" sqref="A9"/>
    </sheetView>
  </sheetViews>
  <sheetFormatPr defaultRowHeight="16.2"/>
  <cols>
    <col min="1" max="1" width="115.77734375" customWidth="1"/>
  </cols>
  <sheetData>
    <row r="1" spans="1:1" ht="40.5" customHeight="1">
      <c r="A1" s="117" t="s">
        <v>524</v>
      </c>
    </row>
    <row r="2" spans="1:1" ht="40.5" customHeight="1">
      <c r="A2" s="117" t="s">
        <v>523</v>
      </c>
    </row>
    <row r="3" spans="1:1" ht="40.5" customHeight="1">
      <c r="A3" s="119" t="s">
        <v>528</v>
      </c>
    </row>
    <row r="4" spans="1:1" ht="40.5" customHeight="1">
      <c r="A4" s="118" t="s">
        <v>529</v>
      </c>
    </row>
    <row r="5" spans="1:1" ht="33" customHeight="1">
      <c r="A5" s="117" t="s">
        <v>530</v>
      </c>
    </row>
    <row r="6" spans="1:1">
      <c r="A6" s="79"/>
    </row>
    <row r="7" spans="1:1">
      <c r="A7" s="79"/>
    </row>
    <row r="8" spans="1:1">
      <c r="A8" s="80"/>
    </row>
    <row r="9" spans="1:1">
      <c r="A9" s="79"/>
    </row>
  </sheetData>
  <phoneticPr fontId="3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topLeftCell="A64"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620</v>
      </c>
      <c r="D1" s="240" t="str">
        <f>VLOOKUP(C1,學校編號!A:B,2,FALSE)</f>
        <v>620光華國小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32044000</v>
      </c>
      <c r="E2" s="37"/>
      <c r="F2" s="37">
        <f>F48+F70+F76+F77+F83</f>
        <v>9052000</v>
      </c>
      <c r="G2" s="37">
        <f t="shared" ref="G2:Q2" si="0">G48+G70+G76+G77+G83</f>
        <v>2265000</v>
      </c>
      <c r="H2" s="37">
        <f t="shared" si="0"/>
        <v>2354000</v>
      </c>
      <c r="I2" s="37">
        <f t="shared" si="0"/>
        <v>2719000</v>
      </c>
      <c r="J2" s="37">
        <f t="shared" si="0"/>
        <v>2272000</v>
      </c>
      <c r="K2" s="37">
        <f t="shared" si="0"/>
        <v>2278000</v>
      </c>
      <c r="L2" s="37">
        <f t="shared" si="0"/>
        <v>2294000</v>
      </c>
      <c r="M2" s="37">
        <f t="shared" si="0"/>
        <v>2272000</v>
      </c>
      <c r="N2" s="37">
        <f t="shared" si="0"/>
        <v>4095000</v>
      </c>
      <c r="O2" s="37">
        <f t="shared" si="0"/>
        <v>2273000</v>
      </c>
      <c r="P2" s="37">
        <f t="shared" si="0"/>
        <v>88000</v>
      </c>
      <c r="Q2" s="37">
        <f t="shared" si="0"/>
        <v>82000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153000</v>
      </c>
      <c r="E3" s="37" t="s">
        <v>525</v>
      </c>
      <c r="F3" s="37">
        <f t="shared" ref="F3:P17" si="1">ROUND($D3/12,0)</f>
        <v>12750</v>
      </c>
      <c r="G3" s="37">
        <f t="shared" si="1"/>
        <v>12750</v>
      </c>
      <c r="H3" s="37">
        <f t="shared" si="1"/>
        <v>12750</v>
      </c>
      <c r="I3" s="37">
        <f t="shared" si="1"/>
        <v>12750</v>
      </c>
      <c r="J3" s="37">
        <f t="shared" si="1"/>
        <v>12750</v>
      </c>
      <c r="K3" s="37">
        <f t="shared" si="1"/>
        <v>12750</v>
      </c>
      <c r="L3" s="37">
        <f t="shared" si="1"/>
        <v>12750</v>
      </c>
      <c r="M3" s="37">
        <f t="shared" si="1"/>
        <v>12750</v>
      </c>
      <c r="N3" s="37">
        <f t="shared" si="1"/>
        <v>12750</v>
      </c>
      <c r="O3" s="37">
        <f t="shared" si="1"/>
        <v>12750</v>
      </c>
      <c r="P3" s="37">
        <f t="shared" si="1"/>
        <v>12750</v>
      </c>
      <c r="Q3" s="37">
        <f t="shared" ref="Q3:Q10" si="2">D3-SUM(F3:P3)</f>
        <v>12750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66000</v>
      </c>
      <c r="E4" s="37" t="s">
        <v>525</v>
      </c>
      <c r="F4" s="37">
        <f t="shared" si="1"/>
        <v>5500</v>
      </c>
      <c r="G4" s="37">
        <f t="shared" si="1"/>
        <v>5500</v>
      </c>
      <c r="H4" s="37">
        <f t="shared" si="1"/>
        <v>5500</v>
      </c>
      <c r="I4" s="37">
        <f t="shared" si="1"/>
        <v>5500</v>
      </c>
      <c r="J4" s="37">
        <f t="shared" si="1"/>
        <v>5500</v>
      </c>
      <c r="K4" s="37">
        <f t="shared" si="1"/>
        <v>5500</v>
      </c>
      <c r="L4" s="37">
        <f t="shared" si="1"/>
        <v>5500</v>
      </c>
      <c r="M4" s="37">
        <f t="shared" si="1"/>
        <v>5500</v>
      </c>
      <c r="N4" s="37">
        <f t="shared" si="1"/>
        <v>5500</v>
      </c>
      <c r="O4" s="37">
        <f t="shared" si="1"/>
        <v>5500</v>
      </c>
      <c r="P4" s="37">
        <f t="shared" si="1"/>
        <v>5500</v>
      </c>
      <c r="Q4" s="37">
        <f t="shared" si="2"/>
        <v>5500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30000</v>
      </c>
      <c r="E8" s="37" t="s">
        <v>525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6000</v>
      </c>
      <c r="E9" s="37" t="s">
        <v>525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8000</v>
      </c>
      <c r="E10" s="37" t="s">
        <v>525</v>
      </c>
      <c r="F10" s="37">
        <f t="shared" si="1"/>
        <v>667</v>
      </c>
      <c r="G10" s="37">
        <f t="shared" si="1"/>
        <v>667</v>
      </c>
      <c r="H10" s="37">
        <f t="shared" si="1"/>
        <v>667</v>
      </c>
      <c r="I10" s="37">
        <f t="shared" si="1"/>
        <v>667</v>
      </c>
      <c r="J10" s="37">
        <f t="shared" si="1"/>
        <v>667</v>
      </c>
      <c r="K10" s="37">
        <f t="shared" si="1"/>
        <v>667</v>
      </c>
      <c r="L10" s="37">
        <f t="shared" si="1"/>
        <v>667</v>
      </c>
      <c r="M10" s="37">
        <f t="shared" si="1"/>
        <v>667</v>
      </c>
      <c r="N10" s="37">
        <f t="shared" si="1"/>
        <v>667</v>
      </c>
      <c r="O10" s="37">
        <f t="shared" si="1"/>
        <v>667</v>
      </c>
      <c r="P10" s="37">
        <f t="shared" si="1"/>
        <v>667</v>
      </c>
      <c r="Q10" s="37">
        <f t="shared" si="2"/>
        <v>663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23000</v>
      </c>
      <c r="E11" s="37" t="s">
        <v>195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515000</v>
      </c>
      <c r="E12" s="113" t="s">
        <v>202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42000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80000</v>
      </c>
      <c r="E14" s="37" t="s">
        <v>525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28000</v>
      </c>
      <c r="E15" s="37" t="s">
        <v>193</v>
      </c>
      <c r="F15" s="37">
        <f>ROUND($D15/2,-3)</f>
        <v>14000</v>
      </c>
      <c r="G15" s="37"/>
      <c r="H15" s="37"/>
      <c r="I15" s="37"/>
      <c r="J15" s="37"/>
      <c r="K15" s="37"/>
      <c r="L15" s="37">
        <f>D15-F15</f>
        <v>14000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44000</v>
      </c>
      <c r="E17" s="37" t="s">
        <v>525</v>
      </c>
      <c r="F17" s="37">
        <f>ROUND($D17/12,0)</f>
        <v>3667</v>
      </c>
      <c r="G17" s="37">
        <f t="shared" si="1"/>
        <v>3667</v>
      </c>
      <c r="H17" s="37">
        <f t="shared" si="1"/>
        <v>3667</v>
      </c>
      <c r="I17" s="37">
        <f t="shared" si="1"/>
        <v>3667</v>
      </c>
      <c r="J17" s="37">
        <f t="shared" si="1"/>
        <v>3667</v>
      </c>
      <c r="K17" s="37">
        <f t="shared" si="1"/>
        <v>3667</v>
      </c>
      <c r="L17" s="37">
        <f t="shared" si="1"/>
        <v>3667</v>
      </c>
      <c r="M17" s="37">
        <f t="shared" si="1"/>
        <v>3667</v>
      </c>
      <c r="N17" s="37">
        <f t="shared" si="1"/>
        <v>3667</v>
      </c>
      <c r="O17" s="37">
        <f t="shared" si="1"/>
        <v>3667</v>
      </c>
      <c r="P17" s="37">
        <f t="shared" si="1"/>
        <v>3667</v>
      </c>
      <c r="Q17" s="37">
        <f>D17-SUM(F17:P17)</f>
        <v>3663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8000</v>
      </c>
      <c r="E24" s="37" t="s">
        <v>193</v>
      </c>
      <c r="F24" s="37">
        <f>ROUND($D24/2,-3)</f>
        <v>4000</v>
      </c>
      <c r="G24" s="37"/>
      <c r="H24" s="37"/>
      <c r="I24" s="37"/>
      <c r="J24" s="37"/>
      <c r="K24" s="37"/>
      <c r="L24" s="37">
        <f>D24-F24</f>
        <v>4000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1189000</v>
      </c>
      <c r="E25" s="108"/>
      <c r="F25" s="108">
        <f>ROUND(SUM(F3:F24),-3)</f>
        <v>221000</v>
      </c>
      <c r="G25" s="108">
        <f t="shared" ref="G25:P25" si="5">ROUND(SUM(G3:G24),-3)</f>
        <v>94000</v>
      </c>
      <c r="H25" s="108">
        <f t="shared" si="5"/>
        <v>94000</v>
      </c>
      <c r="I25" s="108">
        <f t="shared" si="5"/>
        <v>94000</v>
      </c>
      <c r="J25" s="108">
        <f t="shared" si="5"/>
        <v>94000</v>
      </c>
      <c r="K25" s="108">
        <f t="shared" si="5"/>
        <v>94000</v>
      </c>
      <c r="L25" s="108">
        <f t="shared" si="5"/>
        <v>112000</v>
      </c>
      <c r="M25" s="108">
        <f t="shared" si="5"/>
        <v>94000</v>
      </c>
      <c r="N25" s="108">
        <f t="shared" si="5"/>
        <v>94000</v>
      </c>
      <c r="O25" s="108">
        <f t="shared" si="5"/>
        <v>93000</v>
      </c>
      <c r="P25" s="108">
        <f t="shared" si="5"/>
        <v>51000</v>
      </c>
      <c r="Q25" s="108">
        <f t="shared" ref="Q25:Q33" si="6">D25-SUM(F25:P25)</f>
        <v>54000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66000</v>
      </c>
      <c r="E26" s="114" t="s">
        <v>204</v>
      </c>
      <c r="F26" s="37">
        <f>ROUND($D26/10,-3)</f>
        <v>7000</v>
      </c>
      <c r="G26" s="37"/>
      <c r="H26" s="37">
        <f>ROUND($D26/10,-3)</f>
        <v>7000</v>
      </c>
      <c r="I26" s="37">
        <f>ROUND($D26/10,-3)</f>
        <v>7000</v>
      </c>
      <c r="J26" s="37">
        <f>ROUND($D26/10,-3)</f>
        <v>7000</v>
      </c>
      <c r="K26" s="37">
        <f>ROUND($D26/10,-3)</f>
        <v>7000</v>
      </c>
      <c r="L26" s="37"/>
      <c r="M26" s="37">
        <f>ROUND($D26/10,-3)</f>
        <v>7000</v>
      </c>
      <c r="N26" s="37">
        <f>ROUND($D26/10,-3)</f>
        <v>7000</v>
      </c>
      <c r="O26" s="37">
        <f>ROUND($D26/10,-3)</f>
        <v>7000</v>
      </c>
      <c r="P26" s="37">
        <f>ROUND($D26/10,-3)</f>
        <v>7000</v>
      </c>
      <c r="Q26" s="37">
        <f t="shared" si="6"/>
        <v>3000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253000</v>
      </c>
      <c r="E27" s="37" t="s">
        <v>525</v>
      </c>
      <c r="F27" s="37">
        <f t="shared" ref="F27:P33" si="8">ROUND($D27/12,0)</f>
        <v>21083</v>
      </c>
      <c r="G27" s="37">
        <f t="shared" si="8"/>
        <v>21083</v>
      </c>
      <c r="H27" s="37">
        <f t="shared" si="8"/>
        <v>21083</v>
      </c>
      <c r="I27" s="37">
        <f t="shared" si="8"/>
        <v>21083</v>
      </c>
      <c r="J27" s="37">
        <f t="shared" si="8"/>
        <v>21083</v>
      </c>
      <c r="K27" s="37">
        <f t="shared" si="8"/>
        <v>21083</v>
      </c>
      <c r="L27" s="37">
        <f t="shared" si="8"/>
        <v>21083</v>
      </c>
      <c r="M27" s="37">
        <f t="shared" si="8"/>
        <v>21083</v>
      </c>
      <c r="N27" s="37">
        <f t="shared" si="8"/>
        <v>21083</v>
      </c>
      <c r="O27" s="37">
        <f t="shared" si="8"/>
        <v>21083</v>
      </c>
      <c r="P27" s="37">
        <f t="shared" si="8"/>
        <v>21083</v>
      </c>
      <c r="Q27" s="37">
        <f t="shared" si="6"/>
        <v>21087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20000</v>
      </c>
      <c r="E29" s="37" t="s">
        <v>525</v>
      </c>
      <c r="F29" s="37">
        <f t="shared" si="8"/>
        <v>1667</v>
      </c>
      <c r="G29" s="37">
        <f t="shared" si="8"/>
        <v>1667</v>
      </c>
      <c r="H29" s="37">
        <f t="shared" si="8"/>
        <v>1667</v>
      </c>
      <c r="I29" s="37">
        <f t="shared" si="8"/>
        <v>1667</v>
      </c>
      <c r="J29" s="37">
        <f t="shared" si="8"/>
        <v>1667</v>
      </c>
      <c r="K29" s="37">
        <f t="shared" si="8"/>
        <v>1667</v>
      </c>
      <c r="L29" s="37">
        <f t="shared" si="8"/>
        <v>1667</v>
      </c>
      <c r="M29" s="37">
        <f t="shared" si="8"/>
        <v>1667</v>
      </c>
      <c r="N29" s="37">
        <f t="shared" si="8"/>
        <v>1667</v>
      </c>
      <c r="O29" s="37">
        <f t="shared" si="8"/>
        <v>1667</v>
      </c>
      <c r="P29" s="37">
        <f t="shared" si="8"/>
        <v>1667</v>
      </c>
      <c r="Q29" s="37">
        <f t="shared" si="6"/>
        <v>1663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15000</v>
      </c>
      <c r="E30" s="37" t="s">
        <v>525</v>
      </c>
      <c r="F30" s="37">
        <f t="shared" si="8"/>
        <v>1250</v>
      </c>
      <c r="G30" s="37">
        <f t="shared" si="8"/>
        <v>1250</v>
      </c>
      <c r="H30" s="37">
        <f t="shared" si="8"/>
        <v>1250</v>
      </c>
      <c r="I30" s="37">
        <f t="shared" si="8"/>
        <v>1250</v>
      </c>
      <c r="J30" s="37">
        <f t="shared" si="8"/>
        <v>1250</v>
      </c>
      <c r="K30" s="37">
        <f t="shared" si="8"/>
        <v>1250</v>
      </c>
      <c r="L30" s="37">
        <f t="shared" si="8"/>
        <v>1250</v>
      </c>
      <c r="M30" s="37">
        <f t="shared" si="8"/>
        <v>1250</v>
      </c>
      <c r="N30" s="37">
        <f t="shared" si="8"/>
        <v>1250</v>
      </c>
      <c r="O30" s="37">
        <f t="shared" si="8"/>
        <v>1250</v>
      </c>
      <c r="P30" s="37">
        <f t="shared" si="8"/>
        <v>1250</v>
      </c>
      <c r="Q30" s="37">
        <f t="shared" si="6"/>
        <v>1250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8000</v>
      </c>
      <c r="E31" s="37" t="s">
        <v>525</v>
      </c>
      <c r="F31" s="37">
        <f t="shared" si="8"/>
        <v>667</v>
      </c>
      <c r="G31" s="37">
        <f t="shared" si="8"/>
        <v>667</v>
      </c>
      <c r="H31" s="37">
        <f t="shared" si="8"/>
        <v>667</v>
      </c>
      <c r="I31" s="37">
        <f t="shared" si="8"/>
        <v>667</v>
      </c>
      <c r="J31" s="37">
        <f t="shared" si="8"/>
        <v>667</v>
      </c>
      <c r="K31" s="37">
        <f t="shared" si="8"/>
        <v>667</v>
      </c>
      <c r="L31" s="37">
        <f t="shared" si="8"/>
        <v>667</v>
      </c>
      <c r="M31" s="37">
        <f t="shared" si="8"/>
        <v>667</v>
      </c>
      <c r="N31" s="37">
        <f t="shared" si="8"/>
        <v>667</v>
      </c>
      <c r="O31" s="37">
        <f t="shared" si="8"/>
        <v>667</v>
      </c>
      <c r="P31" s="37">
        <f t="shared" si="8"/>
        <v>667</v>
      </c>
      <c r="Q31" s="37">
        <f t="shared" si="6"/>
        <v>663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12000</v>
      </c>
      <c r="E36" s="37" t="s">
        <v>193</v>
      </c>
      <c r="F36" s="37">
        <f>ROUND($D36/2,-3)</f>
        <v>6000</v>
      </c>
      <c r="G36" s="37"/>
      <c r="H36" s="37"/>
      <c r="I36" s="37"/>
      <c r="J36" s="37"/>
      <c r="K36" s="37"/>
      <c r="L36" s="37">
        <f>D36-F36</f>
        <v>6000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374000</v>
      </c>
      <c r="E37" s="108"/>
      <c r="F37" s="108">
        <f t="shared" ref="F37:P37" si="9">ROUND(SUM(F26:F36),-3)</f>
        <v>38000</v>
      </c>
      <c r="G37" s="108">
        <f t="shared" si="9"/>
        <v>25000</v>
      </c>
      <c r="H37" s="108">
        <f t="shared" si="9"/>
        <v>32000</v>
      </c>
      <c r="I37" s="108">
        <f t="shared" si="9"/>
        <v>32000</v>
      </c>
      <c r="J37" s="108">
        <f t="shared" si="9"/>
        <v>32000</v>
      </c>
      <c r="K37" s="108">
        <f t="shared" si="9"/>
        <v>32000</v>
      </c>
      <c r="L37" s="108">
        <f t="shared" si="9"/>
        <v>31000</v>
      </c>
      <c r="M37" s="108">
        <f t="shared" si="9"/>
        <v>32000</v>
      </c>
      <c r="N37" s="108">
        <f t="shared" si="9"/>
        <v>32000</v>
      </c>
      <c r="O37" s="108">
        <f t="shared" si="9"/>
        <v>32000</v>
      </c>
      <c r="P37" s="108">
        <f t="shared" si="9"/>
        <v>32000</v>
      </c>
      <c r="Q37" s="108">
        <f>D37-SUM(F37:P37)</f>
        <v>24000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5000</v>
      </c>
      <c r="E42" s="37" t="s">
        <v>199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5000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11000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5000</v>
      </c>
      <c r="J45" s="108">
        <f t="shared" si="12"/>
        <v>0</v>
      </c>
      <c r="K45" s="108">
        <f t="shared" si="12"/>
        <v>0</v>
      </c>
      <c r="L45" s="108">
        <f t="shared" si="12"/>
        <v>5000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18000</v>
      </c>
      <c r="E46" s="37" t="s">
        <v>194</v>
      </c>
      <c r="F46" s="37">
        <f>ROUND($D46/3,0)</f>
        <v>6000</v>
      </c>
      <c r="G46" s="37"/>
      <c r="H46" s="37"/>
      <c r="I46" s="37"/>
      <c r="J46" s="37"/>
      <c r="K46" s="37">
        <f>ROUND($D46/3,0)</f>
        <v>6000</v>
      </c>
      <c r="L46" s="37"/>
      <c r="M46" s="37"/>
      <c r="N46" s="37">
        <f>ROUND($D46/3,0)</f>
        <v>6000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18000</v>
      </c>
      <c r="E47" s="108"/>
      <c r="F47" s="108">
        <f t="shared" ref="F47:P47" si="13">ROUND(SUM(F46),-3)</f>
        <v>6000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6000</v>
      </c>
      <c r="L47" s="108">
        <f t="shared" si="13"/>
        <v>0</v>
      </c>
      <c r="M47" s="108">
        <f t="shared" si="13"/>
        <v>0</v>
      </c>
      <c r="N47" s="108">
        <f t="shared" si="13"/>
        <v>6000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1592000</v>
      </c>
      <c r="E48" s="37"/>
      <c r="F48" s="115">
        <f>F25+F37+F45+F47</f>
        <v>266000</v>
      </c>
      <c r="G48" s="115">
        <f t="shared" ref="G48:R48" si="14">G25+G37+G45+G47</f>
        <v>119000</v>
      </c>
      <c r="H48" s="115">
        <f t="shared" si="14"/>
        <v>126000</v>
      </c>
      <c r="I48" s="115">
        <f t="shared" si="14"/>
        <v>131000</v>
      </c>
      <c r="J48" s="115">
        <f t="shared" si="14"/>
        <v>126000</v>
      </c>
      <c r="K48" s="115">
        <f t="shared" si="14"/>
        <v>132000</v>
      </c>
      <c r="L48" s="115">
        <f t="shared" si="14"/>
        <v>148000</v>
      </c>
      <c r="M48" s="115">
        <f t="shared" si="14"/>
        <v>126000</v>
      </c>
      <c r="N48" s="115">
        <f t="shared" si="14"/>
        <v>132000</v>
      </c>
      <c r="O48" s="115">
        <f t="shared" si="14"/>
        <v>125000</v>
      </c>
      <c r="P48" s="115">
        <f t="shared" si="14"/>
        <v>83000</v>
      </c>
      <c r="Q48" s="115">
        <f t="shared" si="14"/>
        <v>78000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14308000</v>
      </c>
      <c r="E49" s="114" t="s">
        <v>202</v>
      </c>
      <c r="F49" s="37">
        <f>ROUND($D49/12*3,-3)</f>
        <v>3577000</v>
      </c>
      <c r="G49" s="37">
        <f>ROUND($D49/12,-3)</f>
        <v>1192000</v>
      </c>
      <c r="H49" s="37">
        <f t="shared" ref="H49:N53" si="15">ROUND($D49/12,-3)</f>
        <v>1192000</v>
      </c>
      <c r="I49" s="37">
        <f t="shared" si="15"/>
        <v>1192000</v>
      </c>
      <c r="J49" s="37">
        <f t="shared" si="15"/>
        <v>1192000</v>
      </c>
      <c r="K49" s="37">
        <f t="shared" si="15"/>
        <v>1192000</v>
      </c>
      <c r="L49" s="37">
        <f t="shared" si="15"/>
        <v>1192000</v>
      </c>
      <c r="M49" s="37">
        <f t="shared" si="15"/>
        <v>1192000</v>
      </c>
      <c r="N49" s="37">
        <f t="shared" si="15"/>
        <v>1192000</v>
      </c>
      <c r="O49" s="37">
        <f>D49-SUM(F49:N49)</f>
        <v>1195000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2570000</v>
      </c>
      <c r="E51" s="114" t="s">
        <v>202</v>
      </c>
      <c r="F51" s="37">
        <f t="shared" si="16"/>
        <v>643000</v>
      </c>
      <c r="G51" s="37">
        <f t="shared" si="17"/>
        <v>214000</v>
      </c>
      <c r="H51" s="37">
        <f t="shared" si="15"/>
        <v>214000</v>
      </c>
      <c r="I51" s="37">
        <f t="shared" si="15"/>
        <v>214000</v>
      </c>
      <c r="J51" s="37">
        <f t="shared" si="15"/>
        <v>214000</v>
      </c>
      <c r="K51" s="37">
        <f t="shared" si="15"/>
        <v>214000</v>
      </c>
      <c r="L51" s="37">
        <f t="shared" si="15"/>
        <v>214000</v>
      </c>
      <c r="M51" s="37">
        <f t="shared" si="15"/>
        <v>214000</v>
      </c>
      <c r="N51" s="37">
        <f t="shared" si="15"/>
        <v>214000</v>
      </c>
      <c r="O51" s="37">
        <f t="shared" si="18"/>
        <v>215000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398000</v>
      </c>
      <c r="E52" s="114" t="s">
        <v>202</v>
      </c>
      <c r="F52" s="37">
        <f t="shared" si="16"/>
        <v>100000</v>
      </c>
      <c r="G52" s="37">
        <f t="shared" si="17"/>
        <v>33000</v>
      </c>
      <c r="H52" s="37">
        <f t="shared" si="15"/>
        <v>33000</v>
      </c>
      <c r="I52" s="37">
        <f t="shared" si="15"/>
        <v>33000</v>
      </c>
      <c r="J52" s="37">
        <f t="shared" si="15"/>
        <v>33000</v>
      </c>
      <c r="K52" s="37">
        <f t="shared" si="15"/>
        <v>33000</v>
      </c>
      <c r="L52" s="37">
        <f t="shared" si="15"/>
        <v>33000</v>
      </c>
      <c r="M52" s="37">
        <f t="shared" si="15"/>
        <v>33000</v>
      </c>
      <c r="N52" s="37">
        <f t="shared" si="15"/>
        <v>33000</v>
      </c>
      <c r="O52" s="37">
        <f t="shared" si="18"/>
        <v>34000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35000</v>
      </c>
      <c r="E54" s="37" t="s">
        <v>525</v>
      </c>
      <c r="F54" s="37">
        <f t="shared" ref="F54:P61" si="19">ROUND($D54/12,0)</f>
        <v>2917</v>
      </c>
      <c r="G54" s="37">
        <f t="shared" si="19"/>
        <v>2917</v>
      </c>
      <c r="H54" s="37">
        <f t="shared" si="19"/>
        <v>2917</v>
      </c>
      <c r="I54" s="37">
        <f t="shared" si="19"/>
        <v>2917</v>
      </c>
      <c r="J54" s="37">
        <f t="shared" si="19"/>
        <v>2917</v>
      </c>
      <c r="K54" s="37">
        <f t="shared" si="19"/>
        <v>2917</v>
      </c>
      <c r="L54" s="37">
        <f t="shared" si="19"/>
        <v>2917</v>
      </c>
      <c r="M54" s="37">
        <f t="shared" si="19"/>
        <v>2917</v>
      </c>
      <c r="N54" s="37">
        <f t="shared" si="19"/>
        <v>2917</v>
      </c>
      <c r="O54" s="37">
        <f t="shared" si="19"/>
        <v>2917</v>
      </c>
      <c r="P54" s="37">
        <f t="shared" si="19"/>
        <v>2917</v>
      </c>
      <c r="Q54" s="37">
        <f t="shared" ref="Q54:Q61" si="20">D54-SUM(F54:P54)</f>
        <v>2913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453000</v>
      </c>
      <c r="E60" s="37" t="s">
        <v>195</v>
      </c>
      <c r="F60" s="37">
        <f>D60</f>
        <v>453000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2208000</v>
      </c>
      <c r="E62" s="37" t="s">
        <v>197</v>
      </c>
      <c r="F62" s="37"/>
      <c r="G62" s="37"/>
      <c r="H62" s="37"/>
      <c r="I62" s="37">
        <f>ROUND($D62/5,-3)</f>
        <v>442000</v>
      </c>
      <c r="J62" s="37"/>
      <c r="K62" s="37"/>
      <c r="L62" s="37"/>
      <c r="M62" s="37"/>
      <c r="N62" s="37">
        <f>D62-I62</f>
        <v>1766000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1741000</v>
      </c>
      <c r="E63" s="37" t="s">
        <v>195</v>
      </c>
      <c r="F63" s="37">
        <f>D63</f>
        <v>1741000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1636000</v>
      </c>
      <c r="E64" s="114" t="s">
        <v>202</v>
      </c>
      <c r="F64" s="37">
        <f>ROUND($D64/12*3,-3)</f>
        <v>409000</v>
      </c>
      <c r="G64" s="37">
        <f>ROUND($D64/12,-3)</f>
        <v>136000</v>
      </c>
      <c r="H64" s="37">
        <f t="shared" ref="H64:N66" si="21">ROUND($D64/12,-3)</f>
        <v>136000</v>
      </c>
      <c r="I64" s="37">
        <f t="shared" si="21"/>
        <v>136000</v>
      </c>
      <c r="J64" s="37">
        <f t="shared" si="21"/>
        <v>136000</v>
      </c>
      <c r="K64" s="37">
        <f t="shared" si="21"/>
        <v>136000</v>
      </c>
      <c r="L64" s="37">
        <f t="shared" si="21"/>
        <v>136000</v>
      </c>
      <c r="M64" s="37">
        <f t="shared" si="21"/>
        <v>136000</v>
      </c>
      <c r="N64" s="37">
        <f t="shared" si="21"/>
        <v>136000</v>
      </c>
      <c r="O64" s="37">
        <f>D64-SUM(F64:N64)</f>
        <v>139000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427000</v>
      </c>
      <c r="E65" s="114" t="s">
        <v>202</v>
      </c>
      <c r="F65" s="37">
        <f t="shared" ref="F65:F66" si="22">ROUND($D65/12*3,-3)</f>
        <v>107000</v>
      </c>
      <c r="G65" s="37">
        <f t="shared" ref="G65:G66" si="23">ROUND($D65/12,-3)</f>
        <v>36000</v>
      </c>
      <c r="H65" s="37">
        <f t="shared" si="21"/>
        <v>36000</v>
      </c>
      <c r="I65" s="37">
        <f t="shared" si="21"/>
        <v>36000</v>
      </c>
      <c r="J65" s="37">
        <f t="shared" si="21"/>
        <v>36000</v>
      </c>
      <c r="K65" s="37">
        <f t="shared" si="21"/>
        <v>36000</v>
      </c>
      <c r="L65" s="37">
        <f t="shared" si="21"/>
        <v>36000</v>
      </c>
      <c r="M65" s="37">
        <f t="shared" si="21"/>
        <v>36000</v>
      </c>
      <c r="N65" s="37">
        <f t="shared" si="21"/>
        <v>36000</v>
      </c>
      <c r="O65" s="37">
        <f t="shared" ref="O65:O66" si="24">D65-SUM(F65:N65)</f>
        <v>32000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837000</v>
      </c>
      <c r="E66" s="114" t="s">
        <v>202</v>
      </c>
      <c r="F66" s="37">
        <f t="shared" si="22"/>
        <v>209000</v>
      </c>
      <c r="G66" s="37">
        <f t="shared" si="23"/>
        <v>70000</v>
      </c>
      <c r="H66" s="37">
        <f t="shared" si="21"/>
        <v>70000</v>
      </c>
      <c r="I66" s="37">
        <f t="shared" si="21"/>
        <v>70000</v>
      </c>
      <c r="J66" s="37">
        <f t="shared" si="21"/>
        <v>70000</v>
      </c>
      <c r="K66" s="37">
        <f t="shared" si="21"/>
        <v>70000</v>
      </c>
      <c r="L66" s="37">
        <f t="shared" si="21"/>
        <v>70000</v>
      </c>
      <c r="M66" s="37">
        <f t="shared" si="21"/>
        <v>70000</v>
      </c>
      <c r="N66" s="37">
        <f t="shared" si="21"/>
        <v>70000</v>
      </c>
      <c r="O66" s="37">
        <f t="shared" si="24"/>
        <v>68000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31000</v>
      </c>
      <c r="E67" s="37" t="s">
        <v>196</v>
      </c>
      <c r="F67" s="37"/>
      <c r="G67" s="37"/>
      <c r="H67" s="37">
        <f>D67</f>
        <v>31000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128000</v>
      </c>
      <c r="E68" s="37" t="s">
        <v>195</v>
      </c>
      <c r="F68" s="37">
        <f>D68</f>
        <v>128000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24796000</v>
      </c>
      <c r="E70" s="108"/>
      <c r="F70" s="108">
        <f t="shared" ref="F70:P70" si="25">ROUND(SUM(F49:F69),-3)</f>
        <v>7372000</v>
      </c>
      <c r="G70" s="108">
        <f t="shared" si="25"/>
        <v>1686000</v>
      </c>
      <c r="H70" s="108">
        <f t="shared" si="25"/>
        <v>1717000</v>
      </c>
      <c r="I70" s="108">
        <f t="shared" si="25"/>
        <v>2128000</v>
      </c>
      <c r="J70" s="108">
        <f t="shared" si="25"/>
        <v>1686000</v>
      </c>
      <c r="K70" s="108">
        <f t="shared" si="25"/>
        <v>1686000</v>
      </c>
      <c r="L70" s="108">
        <f t="shared" si="25"/>
        <v>1686000</v>
      </c>
      <c r="M70" s="108">
        <f t="shared" si="25"/>
        <v>1686000</v>
      </c>
      <c r="N70" s="108">
        <f t="shared" si="25"/>
        <v>3452000</v>
      </c>
      <c r="O70" s="108">
        <f t="shared" si="25"/>
        <v>1688000</v>
      </c>
      <c r="P70" s="108">
        <f t="shared" si="25"/>
        <v>5000</v>
      </c>
      <c r="Q70" s="108">
        <f>D70-SUM(F70:P70)</f>
        <v>4000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34000</v>
      </c>
      <c r="E71" s="37" t="s">
        <v>195</v>
      </c>
      <c r="F71" s="37">
        <f>D71</f>
        <v>34000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5520000</v>
      </c>
      <c r="E72" s="114" t="s">
        <v>202</v>
      </c>
      <c r="F72" s="37">
        <f>ROUND($D72/12*3,-3)</f>
        <v>1380000</v>
      </c>
      <c r="G72" s="37">
        <f>ROUND($D72/12,-3)</f>
        <v>460000</v>
      </c>
      <c r="H72" s="37">
        <f t="shared" ref="H72:N75" si="26">ROUND($D72/12,-3)</f>
        <v>460000</v>
      </c>
      <c r="I72" s="37">
        <f t="shared" si="26"/>
        <v>460000</v>
      </c>
      <c r="J72" s="37">
        <f t="shared" si="26"/>
        <v>460000</v>
      </c>
      <c r="K72" s="37">
        <f t="shared" si="26"/>
        <v>460000</v>
      </c>
      <c r="L72" s="37">
        <f t="shared" si="26"/>
        <v>460000</v>
      </c>
      <c r="M72" s="37">
        <f t="shared" si="26"/>
        <v>460000</v>
      </c>
      <c r="N72" s="37">
        <f t="shared" si="26"/>
        <v>460000</v>
      </c>
      <c r="O72" s="37">
        <f>D72-SUM(F72:N72)</f>
        <v>460000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5554000</v>
      </c>
      <c r="E76" s="108"/>
      <c r="F76" s="108">
        <f>ROUND(SUM(F71:F75),-3)</f>
        <v>1414000</v>
      </c>
      <c r="G76" s="108">
        <f t="shared" ref="G76:N76" si="27">ROUND(SUM(G71:G75),-3)</f>
        <v>460000</v>
      </c>
      <c r="H76" s="108">
        <f t="shared" si="27"/>
        <v>460000</v>
      </c>
      <c r="I76" s="108">
        <f t="shared" si="27"/>
        <v>460000</v>
      </c>
      <c r="J76" s="108">
        <f t="shared" si="27"/>
        <v>460000</v>
      </c>
      <c r="K76" s="108">
        <f t="shared" si="27"/>
        <v>460000</v>
      </c>
      <c r="L76" s="108">
        <f t="shared" si="27"/>
        <v>460000</v>
      </c>
      <c r="M76" s="108">
        <f t="shared" si="27"/>
        <v>460000</v>
      </c>
      <c r="N76" s="108">
        <f t="shared" si="27"/>
        <v>460000</v>
      </c>
      <c r="O76" s="108">
        <f>D76-SUM(F76:N76)</f>
        <v>460000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102000</v>
      </c>
      <c r="E77" s="37" t="s">
        <v>681</v>
      </c>
      <c r="F77" s="224"/>
      <c r="G77" s="224"/>
      <c r="H77" s="224">
        <f>ROUND($D77/2,-3)</f>
        <v>51000</v>
      </c>
      <c r="I77" s="224"/>
      <c r="J77" s="224"/>
      <c r="K77" s="224"/>
      <c r="L77" s="224"/>
      <c r="M77" s="224"/>
      <c r="N77" s="224">
        <f>D77-H77</f>
        <v>51000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30452000</v>
      </c>
      <c r="E78" s="227"/>
      <c r="F78" s="227">
        <f>F76+F70+F77</f>
        <v>8786000</v>
      </c>
      <c r="G78" s="227">
        <f t="shared" ref="G78:Q78" si="29">G76+G70+G77</f>
        <v>2146000</v>
      </c>
      <c r="H78" s="227">
        <f t="shared" si="29"/>
        <v>2228000</v>
      </c>
      <c r="I78" s="227">
        <f t="shared" si="29"/>
        <v>2588000</v>
      </c>
      <c r="J78" s="227">
        <f t="shared" si="29"/>
        <v>2146000</v>
      </c>
      <c r="K78" s="227">
        <f t="shared" si="29"/>
        <v>2146000</v>
      </c>
      <c r="L78" s="227">
        <f t="shared" si="29"/>
        <v>2146000</v>
      </c>
      <c r="M78" s="227">
        <f t="shared" si="29"/>
        <v>2146000</v>
      </c>
      <c r="N78" s="227">
        <f t="shared" si="29"/>
        <v>3963000</v>
      </c>
      <c r="O78" s="227">
        <f t="shared" si="29"/>
        <v>2148000</v>
      </c>
      <c r="P78" s="227">
        <f t="shared" si="29"/>
        <v>5000</v>
      </c>
      <c r="Q78" s="227">
        <f t="shared" si="29"/>
        <v>4000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32044000</v>
      </c>
      <c r="E87" s="37"/>
      <c r="F87" s="37">
        <f>F88+F89+F90+F91</f>
        <v>9052000</v>
      </c>
      <c r="G87" s="37">
        <f t="shared" ref="G87:Q87" si="32">G88+G89+G90+G91</f>
        <v>2265000</v>
      </c>
      <c r="H87" s="37">
        <f t="shared" si="32"/>
        <v>2354000</v>
      </c>
      <c r="I87" s="37">
        <f t="shared" si="32"/>
        <v>2719000</v>
      </c>
      <c r="J87" s="37">
        <f t="shared" si="32"/>
        <v>2272000</v>
      </c>
      <c r="K87" s="37">
        <f t="shared" si="32"/>
        <v>2278000</v>
      </c>
      <c r="L87" s="37">
        <f t="shared" si="32"/>
        <v>2294000</v>
      </c>
      <c r="M87" s="37">
        <f t="shared" si="32"/>
        <v>2272000</v>
      </c>
      <c r="N87" s="37">
        <f t="shared" si="32"/>
        <v>4095000</v>
      </c>
      <c r="O87" s="37">
        <f t="shared" si="32"/>
        <v>2273000</v>
      </c>
      <c r="P87" s="37">
        <f t="shared" si="32"/>
        <v>88000</v>
      </c>
      <c r="Q87" s="37">
        <f t="shared" si="32"/>
        <v>82000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20000</v>
      </c>
      <c r="E88" s="108" t="s">
        <v>193</v>
      </c>
      <c r="F88" s="108">
        <f>ROUND($D88/2,-3)</f>
        <v>10000</v>
      </c>
      <c r="G88" s="108"/>
      <c r="H88" s="108"/>
      <c r="I88" s="108"/>
      <c r="J88" s="108"/>
      <c r="K88" s="108"/>
      <c r="L88" s="108">
        <f>D88-F88</f>
        <v>10000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32023000</v>
      </c>
      <c r="E91" s="108"/>
      <c r="F91" s="108">
        <f>F92+F93+F94+F95</f>
        <v>9042000</v>
      </c>
      <c r="G91" s="108">
        <f t="shared" ref="G91:Q91" si="34">G92+G93+G94+G95</f>
        <v>2265000</v>
      </c>
      <c r="H91" s="108">
        <f t="shared" si="34"/>
        <v>2354000</v>
      </c>
      <c r="I91" s="108">
        <f t="shared" si="34"/>
        <v>2719000</v>
      </c>
      <c r="J91" s="108">
        <f t="shared" si="34"/>
        <v>2272000</v>
      </c>
      <c r="K91" s="108">
        <f t="shared" si="34"/>
        <v>2278000</v>
      </c>
      <c r="L91" s="108">
        <f t="shared" si="34"/>
        <v>2284000</v>
      </c>
      <c r="M91" s="108">
        <f t="shared" si="34"/>
        <v>2272000</v>
      </c>
      <c r="N91" s="108">
        <f t="shared" si="34"/>
        <v>4095000</v>
      </c>
      <c r="O91" s="108">
        <f t="shared" si="34"/>
        <v>2273000</v>
      </c>
      <c r="P91" s="108">
        <f t="shared" si="34"/>
        <v>88000</v>
      </c>
      <c r="Q91" s="108">
        <f t="shared" si="34"/>
        <v>81000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3670000</v>
      </c>
      <c r="E92" s="114" t="s">
        <v>537</v>
      </c>
      <c r="F92" s="37">
        <f>ROUND($D92/12*5,-3)</f>
        <v>1529000</v>
      </c>
      <c r="G92" s="37">
        <f>ROUND($D92/12,-3)</f>
        <v>306000</v>
      </c>
      <c r="H92" s="37">
        <f t="shared" ref="H92:L92" si="35">ROUND($D92/12,-3)</f>
        <v>306000</v>
      </c>
      <c r="I92" s="37">
        <f t="shared" si="35"/>
        <v>306000</v>
      </c>
      <c r="J92" s="37">
        <f t="shared" si="35"/>
        <v>306000</v>
      </c>
      <c r="K92" s="37">
        <f t="shared" si="35"/>
        <v>306000</v>
      </c>
      <c r="L92" s="37">
        <f t="shared" si="35"/>
        <v>306000</v>
      </c>
      <c r="M92" s="37">
        <f>D92-SUM(F92:L92)</f>
        <v>305000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91000</v>
      </c>
      <c r="E93" s="10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3000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42000</v>
      </c>
      <c r="E94" s="110" t="s">
        <v>229</v>
      </c>
      <c r="F94" s="37"/>
      <c r="G94" s="37"/>
      <c r="H94" s="37">
        <f>ROUND($D94/2,-3)</f>
        <v>21000</v>
      </c>
      <c r="I94" s="37"/>
      <c r="J94" s="37"/>
      <c r="K94" s="37"/>
      <c r="L94" s="37"/>
      <c r="M94" s="37"/>
      <c r="N94" s="37"/>
      <c r="O94" s="37">
        <f>D94-H94</f>
        <v>21000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28220000</v>
      </c>
      <c r="E95" s="37"/>
      <c r="F95" s="37">
        <f>F2+F86-F88-F89-F90-F92-F93-F94</f>
        <v>7505000</v>
      </c>
      <c r="G95" s="37">
        <f t="shared" ref="G95:Q95" si="37">G2-G88-G89-G90-G92-G93-G94</f>
        <v>1951000</v>
      </c>
      <c r="H95" s="37">
        <f t="shared" si="37"/>
        <v>2019000</v>
      </c>
      <c r="I95" s="37">
        <f t="shared" si="37"/>
        <v>2405000</v>
      </c>
      <c r="J95" s="37">
        <f t="shared" si="37"/>
        <v>1958000</v>
      </c>
      <c r="K95" s="37">
        <f t="shared" si="37"/>
        <v>1964000</v>
      </c>
      <c r="L95" s="37">
        <f t="shared" si="37"/>
        <v>1970000</v>
      </c>
      <c r="M95" s="37">
        <f t="shared" si="37"/>
        <v>1959000</v>
      </c>
      <c r="N95" s="37">
        <f t="shared" si="37"/>
        <v>4087000</v>
      </c>
      <c r="O95" s="37">
        <f t="shared" si="37"/>
        <v>2244000</v>
      </c>
      <c r="P95" s="37">
        <f t="shared" si="37"/>
        <v>80000</v>
      </c>
      <c r="Q95" s="37">
        <f t="shared" si="37"/>
        <v>78000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0</v>
      </c>
    </row>
    <row r="99" spans="2:17" ht="32.4">
      <c r="B99" s="72" t="s">
        <v>235</v>
      </c>
      <c r="D99" s="30">
        <f>HLOOKUP(D1,縣庫撥款收入明細表!H:DD,5,FALSE)</f>
        <v>2500000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1170000</v>
      </c>
    </row>
    <row r="102" spans="2:17" ht="32.4">
      <c r="B102" s="71" t="s">
        <v>238</v>
      </c>
      <c r="D102" s="30">
        <f>HLOOKUP(D1,縣庫撥款收入明細表!H:DD,16,FALSE)</f>
        <v>84000</v>
      </c>
    </row>
    <row r="103" spans="2:17" ht="32.4">
      <c r="B103" s="72" t="s">
        <v>239</v>
      </c>
      <c r="D103" s="30">
        <f>HLOOKUP(D1,縣庫撥款收入明細表!H:DD,17,FALSE)</f>
        <v>0</v>
      </c>
    </row>
    <row r="104" spans="2:17" ht="32.4">
      <c r="B104" s="76" t="s">
        <v>240</v>
      </c>
      <c r="D104" s="30">
        <f>HLOOKUP(D1,縣庫撥款收入明細表!H:DD,18,FALSE)</f>
        <v>42000</v>
      </c>
    </row>
    <row r="105" spans="2:17" ht="32.4">
      <c r="B105" s="72" t="s">
        <v>380</v>
      </c>
      <c r="D105" s="30">
        <f>HLOOKUP(D1,縣庫撥款收入明細表!H:DD,19,FALSE)</f>
        <v>0</v>
      </c>
    </row>
    <row r="106" spans="2:17" ht="32.4">
      <c r="B106" s="71" t="s">
        <v>241</v>
      </c>
      <c r="D106" s="30">
        <f>HLOOKUP(D1,縣庫撥款收入明細表!H:DD,20,FALSE)</f>
        <v>7000</v>
      </c>
    </row>
    <row r="107" spans="2:17" ht="32.4">
      <c r="B107" s="77" t="s">
        <v>242</v>
      </c>
      <c r="D107" s="30">
        <f>HLOOKUP(D1,縣庫撥款收入明細表!H:DD,21,FALSE)</f>
        <v>28220000</v>
      </c>
    </row>
    <row r="108" spans="2:17" ht="16.5" customHeight="1"/>
    <row r="109" spans="2:17" ht="16.5" customHeight="1">
      <c r="B109" s="4" t="s">
        <v>682</v>
      </c>
      <c r="D109" s="30">
        <f>D91-D76</f>
        <v>26469000</v>
      </c>
      <c r="F109" s="30">
        <f>F91-F76</f>
        <v>7628000</v>
      </c>
      <c r="G109" s="30">
        <f t="shared" ref="G109:Q109" si="38">G91-G76</f>
        <v>1805000</v>
      </c>
      <c r="H109" s="30">
        <f t="shared" si="38"/>
        <v>1894000</v>
      </c>
      <c r="I109" s="30">
        <f t="shared" si="38"/>
        <v>2259000</v>
      </c>
      <c r="J109" s="30">
        <f t="shared" si="38"/>
        <v>1812000</v>
      </c>
      <c r="K109" s="30">
        <f t="shared" si="38"/>
        <v>1818000</v>
      </c>
      <c r="L109" s="30">
        <f t="shared" si="38"/>
        <v>1824000</v>
      </c>
      <c r="M109" s="30">
        <f t="shared" si="38"/>
        <v>1812000</v>
      </c>
      <c r="N109" s="30">
        <f t="shared" si="38"/>
        <v>3635000</v>
      </c>
      <c r="O109" s="30">
        <f t="shared" si="38"/>
        <v>1813000</v>
      </c>
      <c r="P109" s="30">
        <f t="shared" si="38"/>
        <v>88000</v>
      </c>
      <c r="Q109" s="30">
        <f t="shared" si="38"/>
        <v>81000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64" priority="1" operator="less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topLeftCell="A70"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621</v>
      </c>
      <c r="D1" s="240" t="str">
        <f>VLOOKUP(C1,學校編號!A:B,2,FALSE)</f>
        <v>621稻香國小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56807000</v>
      </c>
      <c r="E2" s="37"/>
      <c r="F2" s="37">
        <f>F48+F70+F76+F77+F83</f>
        <v>16333000</v>
      </c>
      <c r="G2" s="37">
        <f t="shared" ref="G2:Q2" si="0">G48+G70+G76+G77+G83</f>
        <v>3990000</v>
      </c>
      <c r="H2" s="37">
        <f t="shared" si="0"/>
        <v>4180000</v>
      </c>
      <c r="I2" s="37">
        <f t="shared" si="0"/>
        <v>4782000</v>
      </c>
      <c r="J2" s="37">
        <f t="shared" si="0"/>
        <v>3990000</v>
      </c>
      <c r="K2" s="37">
        <f t="shared" si="0"/>
        <v>3998000</v>
      </c>
      <c r="L2" s="37">
        <f t="shared" si="0"/>
        <v>4038000</v>
      </c>
      <c r="M2" s="37">
        <f t="shared" si="0"/>
        <v>3990000</v>
      </c>
      <c r="N2" s="37">
        <f t="shared" si="0"/>
        <v>7296000</v>
      </c>
      <c r="O2" s="37">
        <f t="shared" si="0"/>
        <v>3994000</v>
      </c>
      <c r="P2" s="37">
        <f t="shared" si="0"/>
        <v>109000</v>
      </c>
      <c r="Q2" s="37">
        <f t="shared" si="0"/>
        <v>107000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271000</v>
      </c>
      <c r="E3" s="37" t="s">
        <v>525</v>
      </c>
      <c r="F3" s="37">
        <f t="shared" ref="F3:P17" si="1">ROUND($D3/12,0)</f>
        <v>22583</v>
      </c>
      <c r="G3" s="37">
        <f t="shared" si="1"/>
        <v>22583</v>
      </c>
      <c r="H3" s="37">
        <f t="shared" si="1"/>
        <v>22583</v>
      </c>
      <c r="I3" s="37">
        <f t="shared" si="1"/>
        <v>22583</v>
      </c>
      <c r="J3" s="37">
        <f t="shared" si="1"/>
        <v>22583</v>
      </c>
      <c r="K3" s="37">
        <f t="shared" si="1"/>
        <v>22583</v>
      </c>
      <c r="L3" s="37">
        <f t="shared" si="1"/>
        <v>22583</v>
      </c>
      <c r="M3" s="37">
        <f t="shared" si="1"/>
        <v>22583</v>
      </c>
      <c r="N3" s="37">
        <f t="shared" si="1"/>
        <v>22583</v>
      </c>
      <c r="O3" s="37">
        <f t="shared" si="1"/>
        <v>22583</v>
      </c>
      <c r="P3" s="37">
        <f t="shared" si="1"/>
        <v>22583</v>
      </c>
      <c r="Q3" s="37">
        <f t="shared" ref="Q3:Q10" si="2">D3-SUM(F3:P3)</f>
        <v>22587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116000</v>
      </c>
      <c r="E4" s="37" t="s">
        <v>525</v>
      </c>
      <c r="F4" s="37">
        <f t="shared" si="1"/>
        <v>9667</v>
      </c>
      <c r="G4" s="37">
        <f t="shared" si="1"/>
        <v>9667</v>
      </c>
      <c r="H4" s="37">
        <f t="shared" si="1"/>
        <v>9667</v>
      </c>
      <c r="I4" s="37">
        <f t="shared" si="1"/>
        <v>9667</v>
      </c>
      <c r="J4" s="37">
        <f t="shared" si="1"/>
        <v>9667</v>
      </c>
      <c r="K4" s="37">
        <f t="shared" si="1"/>
        <v>9667</v>
      </c>
      <c r="L4" s="37">
        <f t="shared" si="1"/>
        <v>9667</v>
      </c>
      <c r="M4" s="37">
        <f t="shared" si="1"/>
        <v>9667</v>
      </c>
      <c r="N4" s="37">
        <f t="shared" si="1"/>
        <v>9667</v>
      </c>
      <c r="O4" s="37">
        <f t="shared" si="1"/>
        <v>9667</v>
      </c>
      <c r="P4" s="37">
        <f t="shared" si="1"/>
        <v>9667</v>
      </c>
      <c r="Q4" s="37">
        <f t="shared" si="2"/>
        <v>9663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69000</v>
      </c>
      <c r="E7" s="37" t="s">
        <v>525</v>
      </c>
      <c r="F7" s="37">
        <f t="shared" si="1"/>
        <v>5750</v>
      </c>
      <c r="G7" s="37">
        <f t="shared" si="1"/>
        <v>5750</v>
      </c>
      <c r="H7" s="37">
        <f t="shared" si="1"/>
        <v>5750</v>
      </c>
      <c r="I7" s="37">
        <f t="shared" si="1"/>
        <v>5750</v>
      </c>
      <c r="J7" s="37">
        <f t="shared" si="1"/>
        <v>5750</v>
      </c>
      <c r="K7" s="37">
        <f t="shared" si="1"/>
        <v>5750</v>
      </c>
      <c r="L7" s="37">
        <f t="shared" si="1"/>
        <v>5750</v>
      </c>
      <c r="M7" s="37">
        <f t="shared" si="1"/>
        <v>5750</v>
      </c>
      <c r="N7" s="37">
        <f t="shared" si="1"/>
        <v>5750</v>
      </c>
      <c r="O7" s="37">
        <f t="shared" si="1"/>
        <v>5750</v>
      </c>
      <c r="P7" s="37">
        <f t="shared" si="1"/>
        <v>5750</v>
      </c>
      <c r="Q7" s="37">
        <f t="shared" si="2"/>
        <v>5750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60000</v>
      </c>
      <c r="E8" s="37" t="s">
        <v>525</v>
      </c>
      <c r="F8" s="37">
        <f t="shared" si="1"/>
        <v>5000</v>
      </c>
      <c r="G8" s="37">
        <f t="shared" si="1"/>
        <v>5000</v>
      </c>
      <c r="H8" s="37">
        <f t="shared" si="1"/>
        <v>5000</v>
      </c>
      <c r="I8" s="37">
        <f t="shared" si="1"/>
        <v>5000</v>
      </c>
      <c r="J8" s="37">
        <f t="shared" si="1"/>
        <v>5000</v>
      </c>
      <c r="K8" s="37">
        <f t="shared" si="1"/>
        <v>5000</v>
      </c>
      <c r="L8" s="37">
        <f t="shared" si="1"/>
        <v>5000</v>
      </c>
      <c r="M8" s="37">
        <f t="shared" si="1"/>
        <v>5000</v>
      </c>
      <c r="N8" s="37">
        <f t="shared" si="1"/>
        <v>5000</v>
      </c>
      <c r="O8" s="37">
        <f t="shared" si="1"/>
        <v>5000</v>
      </c>
      <c r="P8" s="37">
        <f t="shared" si="1"/>
        <v>5000</v>
      </c>
      <c r="Q8" s="37">
        <f t="shared" si="2"/>
        <v>5000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6000</v>
      </c>
      <c r="E9" s="37" t="s">
        <v>525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164000</v>
      </c>
      <c r="E13" s="37" t="s">
        <v>525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66000</v>
      </c>
      <c r="E15" s="37" t="s">
        <v>193</v>
      </c>
      <c r="F15" s="37">
        <f>ROUND($D15/2,-3)</f>
        <v>33000</v>
      </c>
      <c r="G15" s="37"/>
      <c r="H15" s="37"/>
      <c r="I15" s="37"/>
      <c r="J15" s="37"/>
      <c r="K15" s="37"/>
      <c r="L15" s="37">
        <f>D15-F15</f>
        <v>33000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0</v>
      </c>
      <c r="E16" s="37" t="s">
        <v>525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53000</v>
      </c>
      <c r="E17" s="37" t="s">
        <v>525</v>
      </c>
      <c r="F17" s="37">
        <f>ROUND($D17/12,0)</f>
        <v>4417</v>
      </c>
      <c r="G17" s="37">
        <f t="shared" si="1"/>
        <v>4417</v>
      </c>
      <c r="H17" s="37">
        <f t="shared" si="1"/>
        <v>4417</v>
      </c>
      <c r="I17" s="37">
        <f t="shared" si="1"/>
        <v>4417</v>
      </c>
      <c r="J17" s="37">
        <f t="shared" si="1"/>
        <v>4417</v>
      </c>
      <c r="K17" s="37">
        <f t="shared" si="1"/>
        <v>4417</v>
      </c>
      <c r="L17" s="37">
        <f t="shared" si="1"/>
        <v>4417</v>
      </c>
      <c r="M17" s="37">
        <f t="shared" si="1"/>
        <v>4417</v>
      </c>
      <c r="N17" s="37">
        <f t="shared" si="1"/>
        <v>4417</v>
      </c>
      <c r="O17" s="37">
        <f t="shared" si="1"/>
        <v>4417</v>
      </c>
      <c r="P17" s="37">
        <f t="shared" si="1"/>
        <v>4417</v>
      </c>
      <c r="Q17" s="37">
        <f>D17-SUM(F17:P17)</f>
        <v>4413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30000</v>
      </c>
      <c r="E24" s="37" t="s">
        <v>193</v>
      </c>
      <c r="F24" s="37">
        <f>ROUND($D24/2,-3)</f>
        <v>15000</v>
      </c>
      <c r="G24" s="37"/>
      <c r="H24" s="37"/>
      <c r="I24" s="37"/>
      <c r="J24" s="37"/>
      <c r="K24" s="37"/>
      <c r="L24" s="37">
        <f>D24-F24</f>
        <v>15000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895000</v>
      </c>
      <c r="E25" s="108"/>
      <c r="F25" s="108">
        <f>ROUND(SUM(F3:F24),-3)</f>
        <v>115000</v>
      </c>
      <c r="G25" s="108">
        <f t="shared" ref="G25:P25" si="5">ROUND(SUM(G3:G24),-3)</f>
        <v>67000</v>
      </c>
      <c r="H25" s="108">
        <f t="shared" si="5"/>
        <v>67000</v>
      </c>
      <c r="I25" s="108">
        <f t="shared" si="5"/>
        <v>67000</v>
      </c>
      <c r="J25" s="108">
        <f t="shared" si="5"/>
        <v>67000</v>
      </c>
      <c r="K25" s="108">
        <f t="shared" si="5"/>
        <v>67000</v>
      </c>
      <c r="L25" s="108">
        <f t="shared" si="5"/>
        <v>115000</v>
      </c>
      <c r="M25" s="108">
        <f t="shared" si="5"/>
        <v>67000</v>
      </c>
      <c r="N25" s="108">
        <f t="shared" si="5"/>
        <v>67000</v>
      </c>
      <c r="O25" s="108">
        <f t="shared" si="5"/>
        <v>67000</v>
      </c>
      <c r="P25" s="108">
        <f t="shared" si="5"/>
        <v>67000</v>
      </c>
      <c r="Q25" s="108">
        <f t="shared" ref="Q25:Q33" si="6">D25-SUM(F25:P25)</f>
        <v>62000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302000</v>
      </c>
      <c r="E27" s="37" t="s">
        <v>525</v>
      </c>
      <c r="F27" s="37">
        <f t="shared" ref="F27:P33" si="8">ROUND($D27/12,0)</f>
        <v>25167</v>
      </c>
      <c r="G27" s="37">
        <f t="shared" si="8"/>
        <v>25167</v>
      </c>
      <c r="H27" s="37">
        <f t="shared" si="8"/>
        <v>25167</v>
      </c>
      <c r="I27" s="37">
        <f t="shared" si="8"/>
        <v>25167</v>
      </c>
      <c r="J27" s="37">
        <f t="shared" si="8"/>
        <v>25167</v>
      </c>
      <c r="K27" s="37">
        <f t="shared" si="8"/>
        <v>25167</v>
      </c>
      <c r="L27" s="37">
        <f t="shared" si="8"/>
        <v>25167</v>
      </c>
      <c r="M27" s="37">
        <f t="shared" si="8"/>
        <v>25167</v>
      </c>
      <c r="N27" s="37">
        <f t="shared" si="8"/>
        <v>25167</v>
      </c>
      <c r="O27" s="37">
        <f t="shared" si="8"/>
        <v>25167</v>
      </c>
      <c r="P27" s="37">
        <f t="shared" si="8"/>
        <v>25167</v>
      </c>
      <c r="Q27" s="37">
        <f t="shared" si="6"/>
        <v>25163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29000</v>
      </c>
      <c r="E29" s="37" t="s">
        <v>525</v>
      </c>
      <c r="F29" s="37">
        <f t="shared" si="8"/>
        <v>2417</v>
      </c>
      <c r="G29" s="37">
        <f t="shared" si="8"/>
        <v>2417</v>
      </c>
      <c r="H29" s="37">
        <f t="shared" si="8"/>
        <v>2417</v>
      </c>
      <c r="I29" s="37">
        <f t="shared" si="8"/>
        <v>2417</v>
      </c>
      <c r="J29" s="37">
        <f t="shared" si="8"/>
        <v>2417</v>
      </c>
      <c r="K29" s="37">
        <f t="shared" si="8"/>
        <v>2417</v>
      </c>
      <c r="L29" s="37">
        <f t="shared" si="8"/>
        <v>2417</v>
      </c>
      <c r="M29" s="37">
        <f t="shared" si="8"/>
        <v>2417</v>
      </c>
      <c r="N29" s="37">
        <f t="shared" si="8"/>
        <v>2417</v>
      </c>
      <c r="O29" s="37">
        <f t="shared" si="8"/>
        <v>2417</v>
      </c>
      <c r="P29" s="37">
        <f t="shared" si="8"/>
        <v>2417</v>
      </c>
      <c r="Q29" s="37">
        <f t="shared" si="6"/>
        <v>2413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56000</v>
      </c>
      <c r="E30" s="37" t="s">
        <v>525</v>
      </c>
      <c r="F30" s="37">
        <f t="shared" si="8"/>
        <v>4667</v>
      </c>
      <c r="G30" s="37">
        <f t="shared" si="8"/>
        <v>4667</v>
      </c>
      <c r="H30" s="37">
        <f t="shared" si="8"/>
        <v>4667</v>
      </c>
      <c r="I30" s="37">
        <f t="shared" si="8"/>
        <v>4667</v>
      </c>
      <c r="J30" s="37">
        <f t="shared" si="8"/>
        <v>4667</v>
      </c>
      <c r="K30" s="37">
        <f t="shared" si="8"/>
        <v>4667</v>
      </c>
      <c r="L30" s="37">
        <f t="shared" si="8"/>
        <v>4667</v>
      </c>
      <c r="M30" s="37">
        <f t="shared" si="8"/>
        <v>4667</v>
      </c>
      <c r="N30" s="37">
        <f t="shared" si="8"/>
        <v>4667</v>
      </c>
      <c r="O30" s="37">
        <f t="shared" si="8"/>
        <v>4667</v>
      </c>
      <c r="P30" s="37">
        <f t="shared" si="8"/>
        <v>4667</v>
      </c>
      <c r="Q30" s="37">
        <f t="shared" si="6"/>
        <v>4663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28000</v>
      </c>
      <c r="E31" s="37" t="s">
        <v>525</v>
      </c>
      <c r="F31" s="37">
        <f t="shared" si="8"/>
        <v>2333</v>
      </c>
      <c r="G31" s="37">
        <f t="shared" si="8"/>
        <v>2333</v>
      </c>
      <c r="H31" s="37">
        <f t="shared" si="8"/>
        <v>2333</v>
      </c>
      <c r="I31" s="37">
        <f t="shared" si="8"/>
        <v>2333</v>
      </c>
      <c r="J31" s="37">
        <f t="shared" si="8"/>
        <v>2333</v>
      </c>
      <c r="K31" s="37">
        <f t="shared" si="8"/>
        <v>2333</v>
      </c>
      <c r="L31" s="37">
        <f t="shared" si="8"/>
        <v>2333</v>
      </c>
      <c r="M31" s="37">
        <f t="shared" si="8"/>
        <v>2333</v>
      </c>
      <c r="N31" s="37">
        <f t="shared" si="8"/>
        <v>2333</v>
      </c>
      <c r="O31" s="37">
        <f t="shared" si="8"/>
        <v>2333</v>
      </c>
      <c r="P31" s="37">
        <f t="shared" si="8"/>
        <v>2333</v>
      </c>
      <c r="Q31" s="37">
        <f t="shared" si="6"/>
        <v>2337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12000</v>
      </c>
      <c r="E32" s="37" t="s">
        <v>525</v>
      </c>
      <c r="F32" s="37">
        <f t="shared" si="8"/>
        <v>1000</v>
      </c>
      <c r="G32" s="37">
        <f t="shared" si="8"/>
        <v>1000</v>
      </c>
      <c r="H32" s="37">
        <f t="shared" si="8"/>
        <v>1000</v>
      </c>
      <c r="I32" s="37">
        <f t="shared" si="8"/>
        <v>1000</v>
      </c>
      <c r="J32" s="37">
        <f t="shared" si="8"/>
        <v>1000</v>
      </c>
      <c r="K32" s="37">
        <f t="shared" si="8"/>
        <v>1000</v>
      </c>
      <c r="L32" s="37">
        <f t="shared" si="8"/>
        <v>1000</v>
      </c>
      <c r="M32" s="37">
        <f t="shared" si="8"/>
        <v>1000</v>
      </c>
      <c r="N32" s="37">
        <f t="shared" si="8"/>
        <v>1000</v>
      </c>
      <c r="O32" s="37">
        <f t="shared" si="8"/>
        <v>1000</v>
      </c>
      <c r="P32" s="37">
        <f t="shared" si="8"/>
        <v>1000</v>
      </c>
      <c r="Q32" s="37">
        <f t="shared" si="6"/>
        <v>1000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8000</v>
      </c>
      <c r="E33" s="37" t="s">
        <v>525</v>
      </c>
      <c r="F33" s="37">
        <f t="shared" si="8"/>
        <v>667</v>
      </c>
      <c r="G33" s="37">
        <f t="shared" si="8"/>
        <v>667</v>
      </c>
      <c r="H33" s="37">
        <f t="shared" si="8"/>
        <v>667</v>
      </c>
      <c r="I33" s="37">
        <f t="shared" si="8"/>
        <v>667</v>
      </c>
      <c r="J33" s="37">
        <f t="shared" si="8"/>
        <v>667</v>
      </c>
      <c r="K33" s="37">
        <f t="shared" si="8"/>
        <v>667</v>
      </c>
      <c r="L33" s="37">
        <f t="shared" si="8"/>
        <v>667</v>
      </c>
      <c r="M33" s="37">
        <f t="shared" si="8"/>
        <v>667</v>
      </c>
      <c r="N33" s="37">
        <f t="shared" si="8"/>
        <v>667</v>
      </c>
      <c r="O33" s="37">
        <f t="shared" si="8"/>
        <v>667</v>
      </c>
      <c r="P33" s="37">
        <f t="shared" si="8"/>
        <v>667</v>
      </c>
      <c r="Q33" s="37">
        <f t="shared" si="6"/>
        <v>663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435000</v>
      </c>
      <c r="E37" s="108"/>
      <c r="F37" s="108">
        <f t="shared" ref="F37:P37" si="9">ROUND(SUM(F26:F36),-3)</f>
        <v>36000</v>
      </c>
      <c r="G37" s="108">
        <f t="shared" si="9"/>
        <v>36000</v>
      </c>
      <c r="H37" s="108">
        <f t="shared" si="9"/>
        <v>36000</v>
      </c>
      <c r="I37" s="108">
        <f t="shared" si="9"/>
        <v>36000</v>
      </c>
      <c r="J37" s="108">
        <f t="shared" si="9"/>
        <v>36000</v>
      </c>
      <c r="K37" s="108">
        <f t="shared" si="9"/>
        <v>36000</v>
      </c>
      <c r="L37" s="108">
        <f t="shared" si="9"/>
        <v>36000</v>
      </c>
      <c r="M37" s="108">
        <f t="shared" si="9"/>
        <v>36000</v>
      </c>
      <c r="N37" s="108">
        <f t="shared" si="9"/>
        <v>36000</v>
      </c>
      <c r="O37" s="108">
        <f t="shared" si="9"/>
        <v>36000</v>
      </c>
      <c r="P37" s="108">
        <f t="shared" si="9"/>
        <v>36000</v>
      </c>
      <c r="Q37" s="108">
        <f>D37-SUM(F37:P37)</f>
        <v>39000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24000</v>
      </c>
      <c r="E46" s="37" t="s">
        <v>194</v>
      </c>
      <c r="F46" s="37">
        <f>ROUND($D46/3,0)</f>
        <v>8000</v>
      </c>
      <c r="G46" s="37"/>
      <c r="H46" s="37"/>
      <c r="I46" s="37"/>
      <c r="J46" s="37"/>
      <c r="K46" s="37">
        <f>ROUND($D46/3,0)</f>
        <v>8000</v>
      </c>
      <c r="L46" s="37"/>
      <c r="M46" s="37"/>
      <c r="N46" s="37">
        <f>ROUND($D46/3,0)</f>
        <v>8000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24000</v>
      </c>
      <c r="E47" s="108"/>
      <c r="F47" s="108">
        <f t="shared" ref="F47:P47" si="13">ROUND(SUM(F46),-3)</f>
        <v>8000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8000</v>
      </c>
      <c r="L47" s="108">
        <f t="shared" si="13"/>
        <v>0</v>
      </c>
      <c r="M47" s="108">
        <f t="shared" si="13"/>
        <v>0</v>
      </c>
      <c r="N47" s="108">
        <f t="shared" si="13"/>
        <v>8000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1354000</v>
      </c>
      <c r="E48" s="37"/>
      <c r="F48" s="115">
        <f>F25+F37+F45+F47</f>
        <v>159000</v>
      </c>
      <c r="G48" s="115">
        <f t="shared" ref="G48:R48" si="14">G25+G37+G45+G47</f>
        <v>103000</v>
      </c>
      <c r="H48" s="115">
        <f t="shared" si="14"/>
        <v>103000</v>
      </c>
      <c r="I48" s="115">
        <f t="shared" si="14"/>
        <v>103000</v>
      </c>
      <c r="J48" s="115">
        <f t="shared" si="14"/>
        <v>103000</v>
      </c>
      <c r="K48" s="115">
        <f t="shared" si="14"/>
        <v>111000</v>
      </c>
      <c r="L48" s="115">
        <f t="shared" si="14"/>
        <v>151000</v>
      </c>
      <c r="M48" s="115">
        <f t="shared" si="14"/>
        <v>103000</v>
      </c>
      <c r="N48" s="115">
        <f t="shared" si="14"/>
        <v>111000</v>
      </c>
      <c r="O48" s="115">
        <f t="shared" si="14"/>
        <v>103000</v>
      </c>
      <c r="P48" s="115">
        <f t="shared" si="14"/>
        <v>103000</v>
      </c>
      <c r="Q48" s="115">
        <f t="shared" si="14"/>
        <v>101000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28488000</v>
      </c>
      <c r="E49" s="114" t="s">
        <v>202</v>
      </c>
      <c r="F49" s="37">
        <f>ROUND($D49/12*3,-3)</f>
        <v>7122000</v>
      </c>
      <c r="G49" s="37">
        <f>ROUND($D49/12,-3)</f>
        <v>2374000</v>
      </c>
      <c r="H49" s="37">
        <f t="shared" ref="H49:N53" si="15">ROUND($D49/12,-3)</f>
        <v>2374000</v>
      </c>
      <c r="I49" s="37">
        <f t="shared" si="15"/>
        <v>2374000</v>
      </c>
      <c r="J49" s="37">
        <f t="shared" si="15"/>
        <v>2374000</v>
      </c>
      <c r="K49" s="37">
        <f t="shared" si="15"/>
        <v>2374000</v>
      </c>
      <c r="L49" s="37">
        <f t="shared" si="15"/>
        <v>2374000</v>
      </c>
      <c r="M49" s="37">
        <f t="shared" si="15"/>
        <v>2374000</v>
      </c>
      <c r="N49" s="37">
        <f t="shared" si="15"/>
        <v>2374000</v>
      </c>
      <c r="O49" s="37">
        <f>D49-SUM(F49:N49)</f>
        <v>2374000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1960000</v>
      </c>
      <c r="E51" s="114" t="s">
        <v>202</v>
      </c>
      <c r="F51" s="37">
        <f t="shared" si="16"/>
        <v>490000</v>
      </c>
      <c r="G51" s="37">
        <f t="shared" si="17"/>
        <v>163000</v>
      </c>
      <c r="H51" s="37">
        <f t="shared" si="15"/>
        <v>163000</v>
      </c>
      <c r="I51" s="37">
        <f t="shared" si="15"/>
        <v>163000</v>
      </c>
      <c r="J51" s="37">
        <f t="shared" si="15"/>
        <v>163000</v>
      </c>
      <c r="K51" s="37">
        <f t="shared" si="15"/>
        <v>163000</v>
      </c>
      <c r="L51" s="37">
        <f t="shared" si="15"/>
        <v>163000</v>
      </c>
      <c r="M51" s="37">
        <f t="shared" si="15"/>
        <v>163000</v>
      </c>
      <c r="N51" s="37">
        <f t="shared" si="15"/>
        <v>163000</v>
      </c>
      <c r="O51" s="37">
        <f t="shared" si="18"/>
        <v>166000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398000</v>
      </c>
      <c r="E52" s="114" t="s">
        <v>202</v>
      </c>
      <c r="F52" s="37">
        <f t="shared" si="16"/>
        <v>100000</v>
      </c>
      <c r="G52" s="37">
        <f t="shared" si="17"/>
        <v>33000</v>
      </c>
      <c r="H52" s="37">
        <f t="shared" si="15"/>
        <v>33000</v>
      </c>
      <c r="I52" s="37">
        <f t="shared" si="15"/>
        <v>33000</v>
      </c>
      <c r="J52" s="37">
        <f t="shared" si="15"/>
        <v>33000</v>
      </c>
      <c r="K52" s="37">
        <f t="shared" si="15"/>
        <v>33000</v>
      </c>
      <c r="L52" s="37">
        <f t="shared" si="15"/>
        <v>33000</v>
      </c>
      <c r="M52" s="37">
        <f t="shared" si="15"/>
        <v>33000</v>
      </c>
      <c r="N52" s="37">
        <f t="shared" si="15"/>
        <v>33000</v>
      </c>
      <c r="O52" s="37">
        <f t="shared" si="18"/>
        <v>34000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72000</v>
      </c>
      <c r="E54" s="37" t="s">
        <v>525</v>
      </c>
      <c r="F54" s="37">
        <f t="shared" ref="F54:P61" si="19">ROUND($D54/12,0)</f>
        <v>6000</v>
      </c>
      <c r="G54" s="37">
        <f t="shared" si="19"/>
        <v>6000</v>
      </c>
      <c r="H54" s="37">
        <f t="shared" si="19"/>
        <v>6000</v>
      </c>
      <c r="I54" s="37">
        <f t="shared" si="19"/>
        <v>6000</v>
      </c>
      <c r="J54" s="37">
        <f t="shared" si="19"/>
        <v>6000</v>
      </c>
      <c r="K54" s="37">
        <f t="shared" si="19"/>
        <v>6000</v>
      </c>
      <c r="L54" s="37">
        <f t="shared" si="19"/>
        <v>6000</v>
      </c>
      <c r="M54" s="37">
        <f t="shared" si="19"/>
        <v>6000</v>
      </c>
      <c r="N54" s="37">
        <f t="shared" si="19"/>
        <v>6000</v>
      </c>
      <c r="O54" s="37">
        <f t="shared" si="19"/>
        <v>6000</v>
      </c>
      <c r="P54" s="37">
        <f t="shared" si="19"/>
        <v>6000</v>
      </c>
      <c r="Q54" s="37">
        <f t="shared" ref="Q54:Q61" si="20">D54-SUM(F54:P54)</f>
        <v>6000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0</v>
      </c>
      <c r="E59" s="37" t="s">
        <v>525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761000</v>
      </c>
      <c r="E60" s="37" t="s">
        <v>195</v>
      </c>
      <c r="F60" s="37">
        <f>D60</f>
        <v>761000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3958000</v>
      </c>
      <c r="E62" s="37" t="s">
        <v>197</v>
      </c>
      <c r="F62" s="37"/>
      <c r="G62" s="37"/>
      <c r="H62" s="37"/>
      <c r="I62" s="37">
        <f>ROUND($D62/5,-3)</f>
        <v>792000</v>
      </c>
      <c r="J62" s="37"/>
      <c r="K62" s="37"/>
      <c r="L62" s="37"/>
      <c r="M62" s="37"/>
      <c r="N62" s="37">
        <f>D62-I62</f>
        <v>3166000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3464000</v>
      </c>
      <c r="E63" s="37" t="s">
        <v>195</v>
      </c>
      <c r="F63" s="37">
        <f>D63</f>
        <v>3464000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3090000</v>
      </c>
      <c r="E64" s="114" t="s">
        <v>202</v>
      </c>
      <c r="F64" s="37">
        <f>ROUND($D64/12*3,-3)</f>
        <v>773000</v>
      </c>
      <c r="G64" s="37">
        <f>ROUND($D64/12,-3)</f>
        <v>258000</v>
      </c>
      <c r="H64" s="37">
        <f t="shared" ref="H64:N66" si="21">ROUND($D64/12,-3)</f>
        <v>258000</v>
      </c>
      <c r="I64" s="37">
        <f t="shared" si="21"/>
        <v>258000</v>
      </c>
      <c r="J64" s="37">
        <f t="shared" si="21"/>
        <v>258000</v>
      </c>
      <c r="K64" s="37">
        <f t="shared" si="21"/>
        <v>258000</v>
      </c>
      <c r="L64" s="37">
        <f t="shared" si="21"/>
        <v>258000</v>
      </c>
      <c r="M64" s="37">
        <f t="shared" si="21"/>
        <v>258000</v>
      </c>
      <c r="N64" s="37">
        <f t="shared" si="21"/>
        <v>258000</v>
      </c>
      <c r="O64" s="37">
        <f>D64-SUM(F64:N64)</f>
        <v>253000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760000</v>
      </c>
      <c r="E65" s="114" t="s">
        <v>202</v>
      </c>
      <c r="F65" s="37">
        <f t="shared" ref="F65:F66" si="22">ROUND($D65/12*3,-3)</f>
        <v>190000</v>
      </c>
      <c r="G65" s="37">
        <f t="shared" ref="G65:G66" si="23">ROUND($D65/12,-3)</f>
        <v>63000</v>
      </c>
      <c r="H65" s="37">
        <f t="shared" si="21"/>
        <v>63000</v>
      </c>
      <c r="I65" s="37">
        <f t="shared" si="21"/>
        <v>63000</v>
      </c>
      <c r="J65" s="37">
        <f t="shared" si="21"/>
        <v>63000</v>
      </c>
      <c r="K65" s="37">
        <f t="shared" si="21"/>
        <v>63000</v>
      </c>
      <c r="L65" s="37">
        <f t="shared" si="21"/>
        <v>63000</v>
      </c>
      <c r="M65" s="37">
        <f t="shared" si="21"/>
        <v>63000</v>
      </c>
      <c r="N65" s="37">
        <f t="shared" si="21"/>
        <v>63000</v>
      </c>
      <c r="O65" s="37">
        <f t="shared" ref="O65:O66" si="24">D65-SUM(F65:N65)</f>
        <v>66000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1874000</v>
      </c>
      <c r="E66" s="114" t="s">
        <v>202</v>
      </c>
      <c r="F66" s="37">
        <f t="shared" si="22"/>
        <v>469000</v>
      </c>
      <c r="G66" s="37">
        <f t="shared" si="23"/>
        <v>156000</v>
      </c>
      <c r="H66" s="37">
        <f t="shared" si="21"/>
        <v>156000</v>
      </c>
      <c r="I66" s="37">
        <f t="shared" si="21"/>
        <v>156000</v>
      </c>
      <c r="J66" s="37">
        <f t="shared" si="21"/>
        <v>156000</v>
      </c>
      <c r="K66" s="37">
        <f t="shared" si="21"/>
        <v>156000</v>
      </c>
      <c r="L66" s="37">
        <f t="shared" si="21"/>
        <v>156000</v>
      </c>
      <c r="M66" s="37">
        <f t="shared" si="21"/>
        <v>156000</v>
      </c>
      <c r="N66" s="37">
        <f t="shared" si="21"/>
        <v>156000</v>
      </c>
      <c r="O66" s="37">
        <f t="shared" si="24"/>
        <v>157000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58000</v>
      </c>
      <c r="E67" s="37" t="s">
        <v>196</v>
      </c>
      <c r="F67" s="37"/>
      <c r="G67" s="37"/>
      <c r="H67" s="37">
        <f>D67</f>
        <v>58000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234000</v>
      </c>
      <c r="E68" s="37" t="s">
        <v>195</v>
      </c>
      <c r="F68" s="37">
        <f>D68</f>
        <v>234000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45117000</v>
      </c>
      <c r="E70" s="108"/>
      <c r="F70" s="108">
        <f t="shared" ref="F70:P70" si="25">ROUND(SUM(F49:F69),-3)</f>
        <v>13609000</v>
      </c>
      <c r="G70" s="108">
        <f t="shared" si="25"/>
        <v>3053000</v>
      </c>
      <c r="H70" s="108">
        <f t="shared" si="25"/>
        <v>3111000</v>
      </c>
      <c r="I70" s="108">
        <f t="shared" si="25"/>
        <v>3845000</v>
      </c>
      <c r="J70" s="108">
        <f t="shared" si="25"/>
        <v>3053000</v>
      </c>
      <c r="K70" s="108">
        <f t="shared" si="25"/>
        <v>3053000</v>
      </c>
      <c r="L70" s="108">
        <f t="shared" si="25"/>
        <v>3053000</v>
      </c>
      <c r="M70" s="108">
        <f t="shared" si="25"/>
        <v>3053000</v>
      </c>
      <c r="N70" s="108">
        <f t="shared" si="25"/>
        <v>6219000</v>
      </c>
      <c r="O70" s="108">
        <f t="shared" si="25"/>
        <v>3056000</v>
      </c>
      <c r="P70" s="108">
        <f t="shared" si="25"/>
        <v>6000</v>
      </c>
      <c r="Q70" s="108">
        <f>D70-SUM(F70:P70)</f>
        <v>6000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63000</v>
      </c>
      <c r="E71" s="37" t="s">
        <v>195</v>
      </c>
      <c r="F71" s="37">
        <f>D71</f>
        <v>63000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9364000</v>
      </c>
      <c r="E72" s="114" t="s">
        <v>202</v>
      </c>
      <c r="F72" s="37">
        <f>ROUND($D72/12*3,-3)</f>
        <v>2341000</v>
      </c>
      <c r="G72" s="37">
        <f>ROUND($D72/12,-3)</f>
        <v>780000</v>
      </c>
      <c r="H72" s="37">
        <f t="shared" ref="H72:N75" si="26">ROUND($D72/12,-3)</f>
        <v>780000</v>
      </c>
      <c r="I72" s="37">
        <f t="shared" si="26"/>
        <v>780000</v>
      </c>
      <c r="J72" s="37">
        <f t="shared" si="26"/>
        <v>780000</v>
      </c>
      <c r="K72" s="37">
        <f t="shared" si="26"/>
        <v>780000</v>
      </c>
      <c r="L72" s="37">
        <f t="shared" si="26"/>
        <v>780000</v>
      </c>
      <c r="M72" s="37">
        <f t="shared" si="26"/>
        <v>780000</v>
      </c>
      <c r="N72" s="37">
        <f t="shared" si="26"/>
        <v>780000</v>
      </c>
      <c r="O72" s="37">
        <f>D72-SUM(F72:N72)</f>
        <v>783000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645000</v>
      </c>
      <c r="E75" s="114" t="s">
        <v>202</v>
      </c>
      <c r="F75" s="37">
        <f>ROUND($D75/12*3,-3)</f>
        <v>161000</v>
      </c>
      <c r="G75" s="37">
        <f>ROUND($D75/12,-3)</f>
        <v>54000</v>
      </c>
      <c r="H75" s="37">
        <f t="shared" si="26"/>
        <v>54000</v>
      </c>
      <c r="I75" s="37">
        <f t="shared" si="26"/>
        <v>54000</v>
      </c>
      <c r="J75" s="37">
        <f t="shared" si="26"/>
        <v>54000</v>
      </c>
      <c r="K75" s="37">
        <f t="shared" si="26"/>
        <v>54000</v>
      </c>
      <c r="L75" s="37">
        <f t="shared" si="26"/>
        <v>54000</v>
      </c>
      <c r="M75" s="37">
        <f t="shared" si="26"/>
        <v>54000</v>
      </c>
      <c r="N75" s="37">
        <f t="shared" si="26"/>
        <v>54000</v>
      </c>
      <c r="O75" s="37">
        <f>D75-SUM(F75:N75)</f>
        <v>52000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10072000</v>
      </c>
      <c r="E76" s="108"/>
      <c r="F76" s="108">
        <f>ROUND(SUM(F71:F75),-3)</f>
        <v>2565000</v>
      </c>
      <c r="G76" s="108">
        <f t="shared" ref="G76:N76" si="27">ROUND(SUM(G71:G75),-3)</f>
        <v>834000</v>
      </c>
      <c r="H76" s="108">
        <f t="shared" si="27"/>
        <v>834000</v>
      </c>
      <c r="I76" s="108">
        <f t="shared" si="27"/>
        <v>834000</v>
      </c>
      <c r="J76" s="108">
        <f t="shared" si="27"/>
        <v>834000</v>
      </c>
      <c r="K76" s="108">
        <f t="shared" si="27"/>
        <v>834000</v>
      </c>
      <c r="L76" s="108">
        <f t="shared" si="27"/>
        <v>834000</v>
      </c>
      <c r="M76" s="108">
        <f t="shared" si="27"/>
        <v>834000</v>
      </c>
      <c r="N76" s="108">
        <f t="shared" si="27"/>
        <v>834000</v>
      </c>
      <c r="O76" s="108">
        <f>D76-SUM(F76:N76)</f>
        <v>835000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264000</v>
      </c>
      <c r="E77" s="37" t="s">
        <v>681</v>
      </c>
      <c r="F77" s="224"/>
      <c r="G77" s="224"/>
      <c r="H77" s="224">
        <f>ROUND($D77/2,-3)</f>
        <v>132000</v>
      </c>
      <c r="I77" s="224"/>
      <c r="J77" s="224"/>
      <c r="K77" s="224"/>
      <c r="L77" s="224"/>
      <c r="M77" s="224"/>
      <c r="N77" s="224">
        <f>D77-H77</f>
        <v>132000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55453000</v>
      </c>
      <c r="E78" s="227"/>
      <c r="F78" s="227">
        <f>F76+F70+F77</f>
        <v>16174000</v>
      </c>
      <c r="G78" s="227">
        <f t="shared" ref="G78:Q78" si="29">G76+G70+G77</f>
        <v>3887000</v>
      </c>
      <c r="H78" s="227">
        <f t="shared" si="29"/>
        <v>4077000</v>
      </c>
      <c r="I78" s="227">
        <f t="shared" si="29"/>
        <v>4679000</v>
      </c>
      <c r="J78" s="227">
        <f t="shared" si="29"/>
        <v>3887000</v>
      </c>
      <c r="K78" s="227">
        <f t="shared" si="29"/>
        <v>3887000</v>
      </c>
      <c r="L78" s="227">
        <f t="shared" si="29"/>
        <v>3887000</v>
      </c>
      <c r="M78" s="227">
        <f t="shared" si="29"/>
        <v>3887000</v>
      </c>
      <c r="N78" s="227">
        <f t="shared" si="29"/>
        <v>7185000</v>
      </c>
      <c r="O78" s="227">
        <f t="shared" si="29"/>
        <v>3891000</v>
      </c>
      <c r="P78" s="227">
        <f t="shared" si="29"/>
        <v>6000</v>
      </c>
      <c r="Q78" s="227">
        <f t="shared" si="29"/>
        <v>6000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56807000</v>
      </c>
      <c r="E87" s="37"/>
      <c r="F87" s="37">
        <f>F88+F89+F90+F91</f>
        <v>16333000</v>
      </c>
      <c r="G87" s="37">
        <f t="shared" ref="G87:Q87" si="32">G88+G89+G90+G91</f>
        <v>3990000</v>
      </c>
      <c r="H87" s="37">
        <f t="shared" si="32"/>
        <v>4180000</v>
      </c>
      <c r="I87" s="37">
        <f t="shared" si="32"/>
        <v>4782000</v>
      </c>
      <c r="J87" s="37">
        <f t="shared" si="32"/>
        <v>3990000</v>
      </c>
      <c r="K87" s="37">
        <f t="shared" si="32"/>
        <v>3998000</v>
      </c>
      <c r="L87" s="37">
        <f t="shared" si="32"/>
        <v>4038000</v>
      </c>
      <c r="M87" s="37">
        <f t="shared" si="32"/>
        <v>3990000</v>
      </c>
      <c r="N87" s="37">
        <f t="shared" si="32"/>
        <v>7296000</v>
      </c>
      <c r="O87" s="37">
        <f t="shared" si="32"/>
        <v>3994000</v>
      </c>
      <c r="P87" s="37">
        <f t="shared" si="32"/>
        <v>109000</v>
      </c>
      <c r="Q87" s="37">
        <f t="shared" si="32"/>
        <v>107000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30000</v>
      </c>
      <c r="E88" s="108" t="s">
        <v>193</v>
      </c>
      <c r="F88" s="108">
        <f>ROUND($D88/2,-3)</f>
        <v>15000</v>
      </c>
      <c r="G88" s="108"/>
      <c r="H88" s="108"/>
      <c r="I88" s="108"/>
      <c r="J88" s="108"/>
      <c r="K88" s="108"/>
      <c r="L88" s="108">
        <f>D88-F88</f>
        <v>15000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2000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1000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56775000</v>
      </c>
      <c r="E91" s="108"/>
      <c r="F91" s="108">
        <f>F92+F93+F94+F95</f>
        <v>16318000</v>
      </c>
      <c r="G91" s="108">
        <f t="shared" ref="G91:Q91" si="34">G92+G93+G94+G95</f>
        <v>3990000</v>
      </c>
      <c r="H91" s="108">
        <f t="shared" si="34"/>
        <v>4180000</v>
      </c>
      <c r="I91" s="108">
        <f t="shared" si="34"/>
        <v>4782000</v>
      </c>
      <c r="J91" s="108">
        <f t="shared" si="34"/>
        <v>3990000</v>
      </c>
      <c r="K91" s="108">
        <f t="shared" si="34"/>
        <v>3998000</v>
      </c>
      <c r="L91" s="108">
        <f t="shared" si="34"/>
        <v>4022000</v>
      </c>
      <c r="M91" s="108">
        <f t="shared" si="34"/>
        <v>3990000</v>
      </c>
      <c r="N91" s="108">
        <f t="shared" si="34"/>
        <v>7296000</v>
      </c>
      <c r="O91" s="108">
        <f t="shared" si="34"/>
        <v>3994000</v>
      </c>
      <c r="P91" s="108">
        <f t="shared" si="34"/>
        <v>109000</v>
      </c>
      <c r="Q91" s="108">
        <f t="shared" si="34"/>
        <v>106000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4209000</v>
      </c>
      <c r="E92" s="114" t="s">
        <v>537</v>
      </c>
      <c r="F92" s="37">
        <f>ROUND($D92/12*5,-3)</f>
        <v>1754000</v>
      </c>
      <c r="G92" s="37">
        <f>ROUND($D92/12,-3)</f>
        <v>351000</v>
      </c>
      <c r="H92" s="37">
        <f t="shared" ref="H92:L92" si="35">ROUND($D92/12,-3)</f>
        <v>351000</v>
      </c>
      <c r="I92" s="37">
        <f t="shared" si="35"/>
        <v>351000</v>
      </c>
      <c r="J92" s="37">
        <f t="shared" si="35"/>
        <v>351000</v>
      </c>
      <c r="K92" s="37">
        <f t="shared" si="35"/>
        <v>351000</v>
      </c>
      <c r="L92" s="37">
        <f t="shared" si="35"/>
        <v>351000</v>
      </c>
      <c r="M92" s="37">
        <f>D92-SUM(F92:L92)</f>
        <v>349000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241000</v>
      </c>
      <c r="E93" s="109" t="s">
        <v>227</v>
      </c>
      <c r="F93" s="37">
        <f>ROUND($D93/12,-3)</f>
        <v>20000</v>
      </c>
      <c r="G93" s="37">
        <f t="shared" ref="G93:P93" si="36">ROUND($D93/12,-3)</f>
        <v>20000</v>
      </c>
      <c r="H93" s="37">
        <f t="shared" si="36"/>
        <v>20000</v>
      </c>
      <c r="I93" s="37">
        <f t="shared" si="36"/>
        <v>20000</v>
      </c>
      <c r="J93" s="37">
        <f t="shared" si="36"/>
        <v>20000</v>
      </c>
      <c r="K93" s="37">
        <f t="shared" si="36"/>
        <v>20000</v>
      </c>
      <c r="L93" s="37">
        <f t="shared" si="36"/>
        <v>20000</v>
      </c>
      <c r="M93" s="37">
        <f t="shared" si="36"/>
        <v>20000</v>
      </c>
      <c r="N93" s="37">
        <f t="shared" si="36"/>
        <v>20000</v>
      </c>
      <c r="O93" s="37">
        <f t="shared" si="36"/>
        <v>20000</v>
      </c>
      <c r="P93" s="37">
        <f t="shared" si="36"/>
        <v>20000</v>
      </c>
      <c r="Q93" s="37">
        <f>D93-SUM(F93:P93)</f>
        <v>21000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532000</v>
      </c>
      <c r="E94" s="110" t="s">
        <v>229</v>
      </c>
      <c r="F94" s="37"/>
      <c r="G94" s="37"/>
      <c r="H94" s="37">
        <f>ROUND($D94/2,-3)</f>
        <v>266000</v>
      </c>
      <c r="I94" s="37"/>
      <c r="J94" s="37"/>
      <c r="K94" s="37"/>
      <c r="L94" s="37"/>
      <c r="M94" s="37"/>
      <c r="N94" s="37"/>
      <c r="O94" s="37">
        <f>D94-H94</f>
        <v>266000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51793000</v>
      </c>
      <c r="E95" s="37"/>
      <c r="F95" s="37">
        <f>F2+F86-F88-F89-F90-F92-F93-F94</f>
        <v>14544000</v>
      </c>
      <c r="G95" s="37">
        <f t="shared" ref="G95:Q95" si="37">G2-G88-G89-G90-G92-G93-G94</f>
        <v>3619000</v>
      </c>
      <c r="H95" s="37">
        <f t="shared" si="37"/>
        <v>3543000</v>
      </c>
      <c r="I95" s="37">
        <f t="shared" si="37"/>
        <v>4411000</v>
      </c>
      <c r="J95" s="37">
        <f t="shared" si="37"/>
        <v>3619000</v>
      </c>
      <c r="K95" s="37">
        <f t="shared" si="37"/>
        <v>3627000</v>
      </c>
      <c r="L95" s="37">
        <f t="shared" si="37"/>
        <v>3651000</v>
      </c>
      <c r="M95" s="37">
        <f t="shared" si="37"/>
        <v>3621000</v>
      </c>
      <c r="N95" s="37">
        <f t="shared" si="37"/>
        <v>7276000</v>
      </c>
      <c r="O95" s="37">
        <f t="shared" si="37"/>
        <v>3708000</v>
      </c>
      <c r="P95" s="37">
        <f t="shared" si="37"/>
        <v>89000</v>
      </c>
      <c r="Q95" s="37">
        <f t="shared" si="37"/>
        <v>85000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800000</v>
      </c>
    </row>
    <row r="99" spans="2:17" ht="32.4">
      <c r="B99" s="72" t="s">
        <v>235</v>
      </c>
      <c r="D99" s="30">
        <f>HLOOKUP(D1,縣庫撥款收入明細表!H:DD,5,FALSE)</f>
        <v>2250000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1159000</v>
      </c>
    </row>
    <row r="102" spans="2:17" ht="32.4">
      <c r="B102" s="71" t="s">
        <v>238</v>
      </c>
      <c r="D102" s="30">
        <f>HLOOKUP(D1,縣庫撥款收入明細表!H:DD,16,FALSE)</f>
        <v>228000</v>
      </c>
    </row>
    <row r="103" spans="2:17" ht="32.4">
      <c r="B103" s="72" t="s">
        <v>239</v>
      </c>
      <c r="D103" s="30">
        <f>HLOOKUP(D1,縣庫撥款收入明細表!H:DD,17,FALSE)</f>
        <v>0</v>
      </c>
    </row>
    <row r="104" spans="2:17" ht="32.4">
      <c r="B104" s="76" t="s">
        <v>240</v>
      </c>
      <c r="D104" s="30">
        <f>HLOOKUP(D1,縣庫撥款收入明細表!H:DD,18,FALSE)</f>
        <v>532000</v>
      </c>
    </row>
    <row r="105" spans="2:17" ht="32.4">
      <c r="B105" s="72" t="s">
        <v>380</v>
      </c>
      <c r="D105" s="30">
        <f>HLOOKUP(D1,縣庫撥款收入明細表!H:DD,19,FALSE)</f>
        <v>0</v>
      </c>
    </row>
    <row r="106" spans="2:17" ht="32.4">
      <c r="B106" s="71" t="s">
        <v>241</v>
      </c>
      <c r="D106" s="30">
        <f>HLOOKUP(D1,縣庫撥款收入明細表!H:DD,20,FALSE)</f>
        <v>13000</v>
      </c>
    </row>
    <row r="107" spans="2:17" ht="32.4">
      <c r="B107" s="77" t="s">
        <v>242</v>
      </c>
      <c r="D107" s="30">
        <f>HLOOKUP(D1,縣庫撥款收入明細表!H:DD,21,FALSE)</f>
        <v>51793000</v>
      </c>
    </row>
    <row r="108" spans="2:17" ht="16.5" customHeight="1"/>
    <row r="109" spans="2:17" ht="16.5" customHeight="1">
      <c r="B109" s="4" t="s">
        <v>682</v>
      </c>
      <c r="D109" s="30">
        <f>D91-D76</f>
        <v>46703000</v>
      </c>
      <c r="F109" s="30">
        <f>F91-F76</f>
        <v>13753000</v>
      </c>
      <c r="G109" s="30">
        <f t="shared" ref="G109:Q109" si="38">G91-G76</f>
        <v>3156000</v>
      </c>
      <c r="H109" s="30">
        <f t="shared" si="38"/>
        <v>3346000</v>
      </c>
      <c r="I109" s="30">
        <f t="shared" si="38"/>
        <v>3948000</v>
      </c>
      <c r="J109" s="30">
        <f t="shared" si="38"/>
        <v>3156000</v>
      </c>
      <c r="K109" s="30">
        <f t="shared" si="38"/>
        <v>3164000</v>
      </c>
      <c r="L109" s="30">
        <f t="shared" si="38"/>
        <v>3188000</v>
      </c>
      <c r="M109" s="30">
        <f t="shared" si="38"/>
        <v>3156000</v>
      </c>
      <c r="N109" s="30">
        <f t="shared" si="38"/>
        <v>6462000</v>
      </c>
      <c r="O109" s="30">
        <f t="shared" si="38"/>
        <v>3159000</v>
      </c>
      <c r="P109" s="30">
        <f t="shared" si="38"/>
        <v>109000</v>
      </c>
      <c r="Q109" s="30">
        <f t="shared" si="38"/>
        <v>106000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62" priority="1" operator="less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topLeftCell="A64"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622</v>
      </c>
      <c r="D1" s="240" t="str">
        <f>VLOOKUP(C1,學校編號!A:B,2,FALSE)</f>
        <v>622南華國小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30704000</v>
      </c>
      <c r="E2" s="37"/>
      <c r="F2" s="37">
        <f>F48+F70+F76+F77+F83</f>
        <v>8853000</v>
      </c>
      <c r="G2" s="37">
        <f t="shared" ref="G2:Q2" si="0">G48+G70+G76+G77+G83</f>
        <v>2169000</v>
      </c>
      <c r="H2" s="37">
        <f t="shared" si="0"/>
        <v>2281000</v>
      </c>
      <c r="I2" s="37">
        <f t="shared" si="0"/>
        <v>2564000</v>
      </c>
      <c r="J2" s="37">
        <f t="shared" si="0"/>
        <v>2169000</v>
      </c>
      <c r="K2" s="37">
        <f t="shared" si="0"/>
        <v>2174000</v>
      </c>
      <c r="L2" s="37">
        <f t="shared" si="0"/>
        <v>2193000</v>
      </c>
      <c r="M2" s="37">
        <f t="shared" si="0"/>
        <v>2169000</v>
      </c>
      <c r="N2" s="37">
        <f t="shared" si="0"/>
        <v>3834000</v>
      </c>
      <c r="O2" s="37">
        <f t="shared" si="0"/>
        <v>2170000</v>
      </c>
      <c r="P2" s="37">
        <f t="shared" si="0"/>
        <v>69000</v>
      </c>
      <c r="Q2" s="37">
        <f t="shared" si="0"/>
        <v>59000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30000</v>
      </c>
      <c r="E8" s="37" t="s">
        <v>525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6000</v>
      </c>
      <c r="E9" s="37" t="s">
        <v>525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0</v>
      </c>
      <c r="E13" s="37" t="s">
        <v>525</v>
      </c>
      <c r="F13" s="37">
        <f>ROUND($D13/12,0)</f>
        <v>0</v>
      </c>
      <c r="G13" s="37">
        <f t="shared" si="1"/>
        <v>0</v>
      </c>
      <c r="H13" s="37">
        <f t="shared" si="1"/>
        <v>0</v>
      </c>
      <c r="I13" s="37">
        <f t="shared" si="1"/>
        <v>0</v>
      </c>
      <c r="J13" s="37">
        <f t="shared" si="1"/>
        <v>0</v>
      </c>
      <c r="K13" s="37">
        <f t="shared" si="1"/>
        <v>0</v>
      </c>
      <c r="L13" s="37">
        <f t="shared" si="1"/>
        <v>0</v>
      </c>
      <c r="M13" s="37">
        <f t="shared" si="1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>D13-SUM(F13:P13)</f>
        <v>0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34000</v>
      </c>
      <c r="E15" s="37" t="s">
        <v>193</v>
      </c>
      <c r="F15" s="37">
        <f>ROUND($D15/2,-3)</f>
        <v>17000</v>
      </c>
      <c r="G15" s="37"/>
      <c r="H15" s="37"/>
      <c r="I15" s="37"/>
      <c r="J15" s="37"/>
      <c r="K15" s="37"/>
      <c r="L15" s="37">
        <f>D15-F15</f>
        <v>17000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90000</v>
      </c>
      <c r="E16" s="37" t="s">
        <v>525</v>
      </c>
      <c r="F16" s="37">
        <f>ROUND($D16/12,0)</f>
        <v>7500</v>
      </c>
      <c r="G16" s="37">
        <f t="shared" si="1"/>
        <v>7500</v>
      </c>
      <c r="H16" s="37">
        <f t="shared" si="1"/>
        <v>7500</v>
      </c>
      <c r="I16" s="37">
        <f t="shared" si="1"/>
        <v>7500</v>
      </c>
      <c r="J16" s="37">
        <f t="shared" si="1"/>
        <v>7500</v>
      </c>
      <c r="K16" s="37">
        <f t="shared" si="1"/>
        <v>7500</v>
      </c>
      <c r="L16" s="37">
        <f t="shared" si="1"/>
        <v>7500</v>
      </c>
      <c r="M16" s="37">
        <f t="shared" si="1"/>
        <v>7500</v>
      </c>
      <c r="N16" s="37">
        <f t="shared" si="1"/>
        <v>7500</v>
      </c>
      <c r="O16" s="37">
        <f t="shared" si="1"/>
        <v>7500</v>
      </c>
      <c r="P16" s="37">
        <f t="shared" si="1"/>
        <v>7500</v>
      </c>
      <c r="Q16" s="37">
        <f>D16-SUM(F16:P16)</f>
        <v>7500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15000</v>
      </c>
      <c r="E24" s="37" t="s">
        <v>193</v>
      </c>
      <c r="F24" s="37">
        <f>ROUND($D24/2,-3)</f>
        <v>8000</v>
      </c>
      <c r="G24" s="37"/>
      <c r="H24" s="37"/>
      <c r="I24" s="37"/>
      <c r="J24" s="37"/>
      <c r="K24" s="37"/>
      <c r="L24" s="37">
        <f>D24-F24</f>
        <v>7000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477000</v>
      </c>
      <c r="E25" s="108"/>
      <c r="F25" s="108">
        <f>ROUND(SUM(F3:F24),-3)</f>
        <v>61000</v>
      </c>
      <c r="G25" s="108">
        <f t="shared" ref="G25:P25" si="5">ROUND(SUM(G3:G24),-3)</f>
        <v>36000</v>
      </c>
      <c r="H25" s="108">
        <f t="shared" si="5"/>
        <v>36000</v>
      </c>
      <c r="I25" s="108">
        <f t="shared" si="5"/>
        <v>36000</v>
      </c>
      <c r="J25" s="108">
        <f t="shared" si="5"/>
        <v>36000</v>
      </c>
      <c r="K25" s="108">
        <f t="shared" si="5"/>
        <v>36000</v>
      </c>
      <c r="L25" s="108">
        <f t="shared" si="5"/>
        <v>60000</v>
      </c>
      <c r="M25" s="108">
        <f t="shared" si="5"/>
        <v>36000</v>
      </c>
      <c r="N25" s="108">
        <f t="shared" si="5"/>
        <v>36000</v>
      </c>
      <c r="O25" s="108">
        <f t="shared" si="5"/>
        <v>36000</v>
      </c>
      <c r="P25" s="108">
        <f t="shared" si="5"/>
        <v>36000</v>
      </c>
      <c r="Q25" s="108">
        <f t="shared" ref="Q25:Q33" si="6">D25-SUM(F25:P25)</f>
        <v>32000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20000</v>
      </c>
      <c r="E29" s="37" t="s">
        <v>525</v>
      </c>
      <c r="F29" s="37">
        <f t="shared" si="8"/>
        <v>1667</v>
      </c>
      <c r="G29" s="37">
        <f t="shared" si="8"/>
        <v>1667</v>
      </c>
      <c r="H29" s="37">
        <f t="shared" si="8"/>
        <v>1667</v>
      </c>
      <c r="I29" s="37">
        <f t="shared" si="8"/>
        <v>1667</v>
      </c>
      <c r="J29" s="37">
        <f t="shared" si="8"/>
        <v>1667</v>
      </c>
      <c r="K29" s="37">
        <f t="shared" si="8"/>
        <v>1667</v>
      </c>
      <c r="L29" s="37">
        <f t="shared" si="8"/>
        <v>1667</v>
      </c>
      <c r="M29" s="37">
        <f t="shared" si="8"/>
        <v>1667</v>
      </c>
      <c r="N29" s="37">
        <f t="shared" si="8"/>
        <v>1667</v>
      </c>
      <c r="O29" s="37">
        <f t="shared" si="8"/>
        <v>1667</v>
      </c>
      <c r="P29" s="37">
        <f t="shared" si="8"/>
        <v>1667</v>
      </c>
      <c r="Q29" s="37">
        <f t="shared" si="6"/>
        <v>1663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13000</v>
      </c>
      <c r="E30" s="37" t="s">
        <v>525</v>
      </c>
      <c r="F30" s="37">
        <f t="shared" si="8"/>
        <v>1083</v>
      </c>
      <c r="G30" s="37">
        <f t="shared" si="8"/>
        <v>1083</v>
      </c>
      <c r="H30" s="37">
        <f t="shared" si="8"/>
        <v>1083</v>
      </c>
      <c r="I30" s="37">
        <f t="shared" si="8"/>
        <v>1083</v>
      </c>
      <c r="J30" s="37">
        <f t="shared" si="8"/>
        <v>1083</v>
      </c>
      <c r="K30" s="37">
        <f t="shared" si="8"/>
        <v>1083</v>
      </c>
      <c r="L30" s="37">
        <f t="shared" si="8"/>
        <v>1083</v>
      </c>
      <c r="M30" s="37">
        <f t="shared" si="8"/>
        <v>1083</v>
      </c>
      <c r="N30" s="37">
        <f t="shared" si="8"/>
        <v>1083</v>
      </c>
      <c r="O30" s="37">
        <f t="shared" si="8"/>
        <v>1083</v>
      </c>
      <c r="P30" s="37">
        <f t="shared" si="8"/>
        <v>1083</v>
      </c>
      <c r="Q30" s="37">
        <f t="shared" si="6"/>
        <v>1087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6000</v>
      </c>
      <c r="E31" s="37" t="s">
        <v>525</v>
      </c>
      <c r="F31" s="37">
        <f t="shared" si="8"/>
        <v>500</v>
      </c>
      <c r="G31" s="37">
        <f t="shared" si="8"/>
        <v>500</v>
      </c>
      <c r="H31" s="37">
        <f t="shared" si="8"/>
        <v>500</v>
      </c>
      <c r="I31" s="37">
        <f t="shared" si="8"/>
        <v>500</v>
      </c>
      <c r="J31" s="37">
        <f t="shared" si="8"/>
        <v>500</v>
      </c>
      <c r="K31" s="37">
        <f t="shared" si="8"/>
        <v>500</v>
      </c>
      <c r="L31" s="37">
        <f t="shared" si="8"/>
        <v>500</v>
      </c>
      <c r="M31" s="37">
        <f t="shared" si="8"/>
        <v>500</v>
      </c>
      <c r="N31" s="37">
        <f t="shared" si="8"/>
        <v>500</v>
      </c>
      <c r="O31" s="37">
        <f t="shared" si="8"/>
        <v>500</v>
      </c>
      <c r="P31" s="37">
        <f t="shared" si="8"/>
        <v>500</v>
      </c>
      <c r="Q31" s="37">
        <f t="shared" si="6"/>
        <v>500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286000</v>
      </c>
      <c r="E37" s="108"/>
      <c r="F37" s="108">
        <f t="shared" ref="F37:P37" si="9">ROUND(SUM(F26:F36),-3)</f>
        <v>24000</v>
      </c>
      <c r="G37" s="108">
        <f t="shared" si="9"/>
        <v>24000</v>
      </c>
      <c r="H37" s="108">
        <f t="shared" si="9"/>
        <v>24000</v>
      </c>
      <c r="I37" s="108">
        <f t="shared" si="9"/>
        <v>24000</v>
      </c>
      <c r="J37" s="108">
        <f t="shared" si="9"/>
        <v>24000</v>
      </c>
      <c r="K37" s="108">
        <f t="shared" si="9"/>
        <v>24000</v>
      </c>
      <c r="L37" s="108">
        <f t="shared" si="9"/>
        <v>24000</v>
      </c>
      <c r="M37" s="108">
        <f t="shared" si="9"/>
        <v>24000</v>
      </c>
      <c r="N37" s="108">
        <f t="shared" si="9"/>
        <v>24000</v>
      </c>
      <c r="O37" s="108">
        <f t="shared" si="9"/>
        <v>24000</v>
      </c>
      <c r="P37" s="108">
        <f t="shared" si="9"/>
        <v>24000</v>
      </c>
      <c r="Q37" s="108">
        <f>D37-SUM(F37:P37)</f>
        <v>22000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14000</v>
      </c>
      <c r="E46" s="37" t="s">
        <v>194</v>
      </c>
      <c r="F46" s="37">
        <f>ROUND($D46/3,0)</f>
        <v>4667</v>
      </c>
      <c r="G46" s="37"/>
      <c r="H46" s="37"/>
      <c r="I46" s="37"/>
      <c r="J46" s="37"/>
      <c r="K46" s="37">
        <f>ROUND($D46/3,0)</f>
        <v>4667</v>
      </c>
      <c r="L46" s="37"/>
      <c r="M46" s="37"/>
      <c r="N46" s="37">
        <f>ROUND($D46/3,0)</f>
        <v>4667</v>
      </c>
      <c r="O46" s="37"/>
      <c r="P46" s="37"/>
      <c r="Q46" s="37"/>
      <c r="R46" s="37">
        <f t="shared" si="11"/>
        <v>1</v>
      </c>
    </row>
    <row r="47" spans="1:18" ht="32.4">
      <c r="A47" s="269"/>
      <c r="B47" s="105" t="s">
        <v>208</v>
      </c>
      <c r="C47" s="78"/>
      <c r="D47" s="108">
        <f>SUM(D46)</f>
        <v>14000</v>
      </c>
      <c r="E47" s="108"/>
      <c r="F47" s="108">
        <f t="shared" ref="F47:P47" si="13">ROUND(SUM(F46),-3)</f>
        <v>5000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5000</v>
      </c>
      <c r="L47" s="108">
        <f t="shared" si="13"/>
        <v>0</v>
      </c>
      <c r="M47" s="108">
        <f t="shared" si="13"/>
        <v>0</v>
      </c>
      <c r="N47" s="108">
        <f t="shared" si="13"/>
        <v>5000</v>
      </c>
      <c r="O47" s="108">
        <f t="shared" si="13"/>
        <v>0</v>
      </c>
      <c r="P47" s="108">
        <f t="shared" si="13"/>
        <v>0</v>
      </c>
      <c r="Q47" s="108">
        <f>D47-SUM(F47:P47)</f>
        <v>-1000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777000</v>
      </c>
      <c r="E48" s="37"/>
      <c r="F48" s="115">
        <f>F25+F37+F45+F47</f>
        <v>90000</v>
      </c>
      <c r="G48" s="115">
        <f t="shared" ref="G48:R48" si="14">G25+G37+G45+G47</f>
        <v>60000</v>
      </c>
      <c r="H48" s="115">
        <f t="shared" si="14"/>
        <v>60000</v>
      </c>
      <c r="I48" s="115">
        <f t="shared" si="14"/>
        <v>60000</v>
      </c>
      <c r="J48" s="115">
        <f t="shared" si="14"/>
        <v>60000</v>
      </c>
      <c r="K48" s="115">
        <f t="shared" si="14"/>
        <v>65000</v>
      </c>
      <c r="L48" s="115">
        <f t="shared" si="14"/>
        <v>84000</v>
      </c>
      <c r="M48" s="115">
        <f t="shared" si="14"/>
        <v>60000</v>
      </c>
      <c r="N48" s="115">
        <f t="shared" si="14"/>
        <v>65000</v>
      </c>
      <c r="O48" s="115">
        <f t="shared" si="14"/>
        <v>60000</v>
      </c>
      <c r="P48" s="115">
        <f t="shared" si="14"/>
        <v>60000</v>
      </c>
      <c r="Q48" s="115">
        <f t="shared" si="14"/>
        <v>53000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14141000</v>
      </c>
      <c r="E49" s="114" t="s">
        <v>202</v>
      </c>
      <c r="F49" s="37">
        <f>ROUND($D49/12*3,-3)</f>
        <v>3535000</v>
      </c>
      <c r="G49" s="37">
        <f>ROUND($D49/12,-3)</f>
        <v>1178000</v>
      </c>
      <c r="H49" s="37">
        <f t="shared" ref="H49:N53" si="15">ROUND($D49/12,-3)</f>
        <v>1178000</v>
      </c>
      <c r="I49" s="37">
        <f t="shared" si="15"/>
        <v>1178000</v>
      </c>
      <c r="J49" s="37">
        <f t="shared" si="15"/>
        <v>1178000</v>
      </c>
      <c r="K49" s="37">
        <f t="shared" si="15"/>
        <v>1178000</v>
      </c>
      <c r="L49" s="37">
        <f t="shared" si="15"/>
        <v>1178000</v>
      </c>
      <c r="M49" s="37">
        <f t="shared" si="15"/>
        <v>1178000</v>
      </c>
      <c r="N49" s="37">
        <f t="shared" si="15"/>
        <v>1178000</v>
      </c>
      <c r="O49" s="37">
        <f>D49-SUM(F49:N49)</f>
        <v>1182000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812000</v>
      </c>
      <c r="E50" s="114" t="s">
        <v>202</v>
      </c>
      <c r="F50" s="37">
        <f t="shared" ref="F50:F53" si="16">ROUND($D50/12*3,-3)</f>
        <v>203000</v>
      </c>
      <c r="G50" s="37">
        <f t="shared" ref="G50:G53" si="17">ROUND($D50/12,-3)</f>
        <v>68000</v>
      </c>
      <c r="H50" s="37">
        <f t="shared" si="15"/>
        <v>68000</v>
      </c>
      <c r="I50" s="37">
        <f t="shared" si="15"/>
        <v>68000</v>
      </c>
      <c r="J50" s="37">
        <f t="shared" si="15"/>
        <v>68000</v>
      </c>
      <c r="K50" s="37">
        <f t="shared" si="15"/>
        <v>68000</v>
      </c>
      <c r="L50" s="37">
        <f t="shared" si="15"/>
        <v>68000</v>
      </c>
      <c r="M50" s="37">
        <f t="shared" si="15"/>
        <v>68000</v>
      </c>
      <c r="N50" s="37">
        <f t="shared" si="15"/>
        <v>68000</v>
      </c>
      <c r="O50" s="37">
        <f t="shared" ref="O50:O53" si="18">D50-SUM(F50:N50)</f>
        <v>65000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738000</v>
      </c>
      <c r="E51" s="114" t="s">
        <v>202</v>
      </c>
      <c r="F51" s="37">
        <f t="shared" si="16"/>
        <v>185000</v>
      </c>
      <c r="G51" s="37">
        <f t="shared" si="17"/>
        <v>62000</v>
      </c>
      <c r="H51" s="37">
        <f t="shared" si="15"/>
        <v>62000</v>
      </c>
      <c r="I51" s="37">
        <f t="shared" si="15"/>
        <v>62000</v>
      </c>
      <c r="J51" s="37">
        <f t="shared" si="15"/>
        <v>62000</v>
      </c>
      <c r="K51" s="37">
        <f t="shared" si="15"/>
        <v>62000</v>
      </c>
      <c r="L51" s="37">
        <f t="shared" si="15"/>
        <v>62000</v>
      </c>
      <c r="M51" s="37">
        <f t="shared" si="15"/>
        <v>62000</v>
      </c>
      <c r="N51" s="37">
        <f t="shared" si="15"/>
        <v>62000</v>
      </c>
      <c r="O51" s="37">
        <f t="shared" si="18"/>
        <v>57000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0</v>
      </c>
      <c r="E59" s="37" t="s">
        <v>525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473000</v>
      </c>
      <c r="E60" s="37" t="s">
        <v>195</v>
      </c>
      <c r="F60" s="37">
        <f>D60</f>
        <v>473000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74000</v>
      </c>
      <c r="E61" s="37" t="s">
        <v>525</v>
      </c>
      <c r="F61" s="37">
        <f t="shared" si="19"/>
        <v>6167</v>
      </c>
      <c r="G61" s="37">
        <f t="shared" si="19"/>
        <v>6167</v>
      </c>
      <c r="H61" s="37">
        <f t="shared" si="19"/>
        <v>6167</v>
      </c>
      <c r="I61" s="37">
        <f t="shared" si="19"/>
        <v>6167</v>
      </c>
      <c r="J61" s="37">
        <f t="shared" si="19"/>
        <v>6167</v>
      </c>
      <c r="K61" s="37">
        <f t="shared" si="19"/>
        <v>6167</v>
      </c>
      <c r="L61" s="37">
        <f t="shared" si="19"/>
        <v>6167</v>
      </c>
      <c r="M61" s="37">
        <f t="shared" si="19"/>
        <v>6167</v>
      </c>
      <c r="N61" s="37">
        <f t="shared" si="19"/>
        <v>6167</v>
      </c>
      <c r="O61" s="37">
        <f t="shared" si="19"/>
        <v>6167</v>
      </c>
      <c r="P61" s="37">
        <f t="shared" si="19"/>
        <v>6167</v>
      </c>
      <c r="Q61" s="37">
        <f t="shared" si="20"/>
        <v>6163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1975000</v>
      </c>
      <c r="E62" s="37" t="s">
        <v>197</v>
      </c>
      <c r="F62" s="37"/>
      <c r="G62" s="37"/>
      <c r="H62" s="37"/>
      <c r="I62" s="37">
        <f>ROUND($D62/5,-3)</f>
        <v>395000</v>
      </c>
      <c r="J62" s="37"/>
      <c r="K62" s="37"/>
      <c r="L62" s="37"/>
      <c r="M62" s="37"/>
      <c r="N62" s="37">
        <f>D62-I62</f>
        <v>1580000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1820000</v>
      </c>
      <c r="E63" s="37" t="s">
        <v>195</v>
      </c>
      <c r="F63" s="37">
        <f>D63</f>
        <v>1820000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1569000</v>
      </c>
      <c r="E64" s="114" t="s">
        <v>202</v>
      </c>
      <c r="F64" s="37">
        <f>ROUND($D64/12*3,-3)</f>
        <v>392000</v>
      </c>
      <c r="G64" s="37">
        <f>ROUND($D64/12,-3)</f>
        <v>131000</v>
      </c>
      <c r="H64" s="37">
        <f t="shared" ref="H64:N66" si="21">ROUND($D64/12,-3)</f>
        <v>131000</v>
      </c>
      <c r="I64" s="37">
        <f t="shared" si="21"/>
        <v>131000</v>
      </c>
      <c r="J64" s="37">
        <f t="shared" si="21"/>
        <v>131000</v>
      </c>
      <c r="K64" s="37">
        <f t="shared" si="21"/>
        <v>131000</v>
      </c>
      <c r="L64" s="37">
        <f t="shared" si="21"/>
        <v>131000</v>
      </c>
      <c r="M64" s="37">
        <f t="shared" si="21"/>
        <v>131000</v>
      </c>
      <c r="N64" s="37">
        <f t="shared" si="21"/>
        <v>131000</v>
      </c>
      <c r="O64" s="37">
        <f>D64-SUM(F64:N64)</f>
        <v>129000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399000</v>
      </c>
      <c r="E65" s="114" t="s">
        <v>202</v>
      </c>
      <c r="F65" s="37">
        <f t="shared" ref="F65:F66" si="22">ROUND($D65/12*3,-3)</f>
        <v>100000</v>
      </c>
      <c r="G65" s="37">
        <f t="shared" ref="G65:G66" si="23">ROUND($D65/12,-3)</f>
        <v>33000</v>
      </c>
      <c r="H65" s="37">
        <f t="shared" si="21"/>
        <v>33000</v>
      </c>
      <c r="I65" s="37">
        <f t="shared" si="21"/>
        <v>33000</v>
      </c>
      <c r="J65" s="37">
        <f t="shared" si="21"/>
        <v>33000</v>
      </c>
      <c r="K65" s="37">
        <f t="shared" si="21"/>
        <v>33000</v>
      </c>
      <c r="L65" s="37">
        <f t="shared" si="21"/>
        <v>33000</v>
      </c>
      <c r="M65" s="37">
        <f t="shared" si="21"/>
        <v>33000</v>
      </c>
      <c r="N65" s="37">
        <f t="shared" si="21"/>
        <v>33000</v>
      </c>
      <c r="O65" s="37">
        <f t="shared" ref="O65:O66" si="24">D65-SUM(F65:N65)</f>
        <v>35000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983000</v>
      </c>
      <c r="E66" s="114" t="s">
        <v>202</v>
      </c>
      <c r="F66" s="37">
        <f t="shared" si="22"/>
        <v>246000</v>
      </c>
      <c r="G66" s="37">
        <f t="shared" si="23"/>
        <v>82000</v>
      </c>
      <c r="H66" s="37">
        <f t="shared" si="21"/>
        <v>82000</v>
      </c>
      <c r="I66" s="37">
        <f t="shared" si="21"/>
        <v>82000</v>
      </c>
      <c r="J66" s="37">
        <f t="shared" si="21"/>
        <v>82000</v>
      </c>
      <c r="K66" s="37">
        <f t="shared" si="21"/>
        <v>82000</v>
      </c>
      <c r="L66" s="37">
        <f t="shared" si="21"/>
        <v>82000</v>
      </c>
      <c r="M66" s="37">
        <f t="shared" si="21"/>
        <v>82000</v>
      </c>
      <c r="N66" s="37">
        <f t="shared" si="21"/>
        <v>82000</v>
      </c>
      <c r="O66" s="37">
        <f t="shared" si="24"/>
        <v>81000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31000</v>
      </c>
      <c r="E67" s="37" t="s">
        <v>196</v>
      </c>
      <c r="F67" s="37"/>
      <c r="G67" s="37"/>
      <c r="H67" s="37">
        <f>D67</f>
        <v>31000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160000</v>
      </c>
      <c r="E68" s="37" t="s">
        <v>195</v>
      </c>
      <c r="F68" s="37">
        <f>D68</f>
        <v>160000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23471000</v>
      </c>
      <c r="E70" s="108"/>
      <c r="F70" s="108">
        <f t="shared" ref="F70:P70" si="25">ROUND(SUM(F49:F69),-3)</f>
        <v>7189000</v>
      </c>
      <c r="G70" s="108">
        <f t="shared" si="25"/>
        <v>1585000</v>
      </c>
      <c r="H70" s="108">
        <f t="shared" si="25"/>
        <v>1616000</v>
      </c>
      <c r="I70" s="108">
        <f t="shared" si="25"/>
        <v>1980000</v>
      </c>
      <c r="J70" s="108">
        <f t="shared" si="25"/>
        <v>1585000</v>
      </c>
      <c r="K70" s="108">
        <f t="shared" si="25"/>
        <v>1585000</v>
      </c>
      <c r="L70" s="108">
        <f t="shared" si="25"/>
        <v>1585000</v>
      </c>
      <c r="M70" s="108">
        <f t="shared" si="25"/>
        <v>1585000</v>
      </c>
      <c r="N70" s="108">
        <f t="shared" si="25"/>
        <v>3165000</v>
      </c>
      <c r="O70" s="108">
        <f t="shared" si="25"/>
        <v>1581000</v>
      </c>
      <c r="P70" s="108">
        <f t="shared" si="25"/>
        <v>9000</v>
      </c>
      <c r="Q70" s="108">
        <f>D70-SUM(F70:P70)</f>
        <v>6000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5620000</v>
      </c>
      <c r="E72" s="114" t="s">
        <v>202</v>
      </c>
      <c r="F72" s="37">
        <f>ROUND($D72/12*3,-3)</f>
        <v>1405000</v>
      </c>
      <c r="G72" s="37">
        <f>ROUND($D72/12,-3)</f>
        <v>468000</v>
      </c>
      <c r="H72" s="37">
        <f t="shared" ref="H72:N75" si="26">ROUND($D72/12,-3)</f>
        <v>468000</v>
      </c>
      <c r="I72" s="37">
        <f t="shared" si="26"/>
        <v>468000</v>
      </c>
      <c r="J72" s="37">
        <f t="shared" si="26"/>
        <v>468000</v>
      </c>
      <c r="K72" s="37">
        <f t="shared" si="26"/>
        <v>468000</v>
      </c>
      <c r="L72" s="37">
        <f t="shared" si="26"/>
        <v>468000</v>
      </c>
      <c r="M72" s="37">
        <f t="shared" si="26"/>
        <v>468000</v>
      </c>
      <c r="N72" s="37">
        <f t="shared" si="26"/>
        <v>468000</v>
      </c>
      <c r="O72" s="37">
        <f>D72-SUM(F72:N72)</f>
        <v>471000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675000</v>
      </c>
      <c r="E75" s="114" t="s">
        <v>202</v>
      </c>
      <c r="F75" s="37">
        <f>ROUND($D75/12*3,-3)</f>
        <v>169000</v>
      </c>
      <c r="G75" s="37">
        <f>ROUND($D75/12,-3)</f>
        <v>56000</v>
      </c>
      <c r="H75" s="37">
        <f t="shared" si="26"/>
        <v>56000</v>
      </c>
      <c r="I75" s="37">
        <f t="shared" si="26"/>
        <v>56000</v>
      </c>
      <c r="J75" s="37">
        <f t="shared" si="26"/>
        <v>56000</v>
      </c>
      <c r="K75" s="37">
        <f t="shared" si="26"/>
        <v>56000</v>
      </c>
      <c r="L75" s="37">
        <f t="shared" si="26"/>
        <v>56000</v>
      </c>
      <c r="M75" s="37">
        <f t="shared" si="26"/>
        <v>56000</v>
      </c>
      <c r="N75" s="37">
        <f t="shared" si="26"/>
        <v>56000</v>
      </c>
      <c r="O75" s="37">
        <f>D75-SUM(F75:N75)</f>
        <v>58000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6295000</v>
      </c>
      <c r="E76" s="108"/>
      <c r="F76" s="108">
        <f>ROUND(SUM(F71:F75),-3)</f>
        <v>1574000</v>
      </c>
      <c r="G76" s="108">
        <f t="shared" ref="G76:N76" si="27">ROUND(SUM(G71:G75),-3)</f>
        <v>524000</v>
      </c>
      <c r="H76" s="108">
        <f t="shared" si="27"/>
        <v>524000</v>
      </c>
      <c r="I76" s="108">
        <f t="shared" si="27"/>
        <v>524000</v>
      </c>
      <c r="J76" s="108">
        <f t="shared" si="27"/>
        <v>524000</v>
      </c>
      <c r="K76" s="108">
        <f t="shared" si="27"/>
        <v>524000</v>
      </c>
      <c r="L76" s="108">
        <f t="shared" si="27"/>
        <v>524000</v>
      </c>
      <c r="M76" s="108">
        <f t="shared" si="27"/>
        <v>524000</v>
      </c>
      <c r="N76" s="108">
        <f t="shared" si="27"/>
        <v>524000</v>
      </c>
      <c r="O76" s="108">
        <f>D76-SUM(F76:N76)</f>
        <v>529000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161000</v>
      </c>
      <c r="E77" s="37" t="s">
        <v>681</v>
      </c>
      <c r="F77" s="224"/>
      <c r="G77" s="224"/>
      <c r="H77" s="224">
        <f>ROUND($D77/2,-3)</f>
        <v>81000</v>
      </c>
      <c r="I77" s="224"/>
      <c r="J77" s="224"/>
      <c r="K77" s="224"/>
      <c r="L77" s="224"/>
      <c r="M77" s="224"/>
      <c r="N77" s="224">
        <f>D77-H77</f>
        <v>80000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29927000</v>
      </c>
      <c r="E78" s="227"/>
      <c r="F78" s="227">
        <f>F76+F70+F77</f>
        <v>8763000</v>
      </c>
      <c r="G78" s="227">
        <f t="shared" ref="G78:Q78" si="29">G76+G70+G77</f>
        <v>2109000</v>
      </c>
      <c r="H78" s="227">
        <f t="shared" si="29"/>
        <v>2221000</v>
      </c>
      <c r="I78" s="227">
        <f t="shared" si="29"/>
        <v>2504000</v>
      </c>
      <c r="J78" s="227">
        <f t="shared" si="29"/>
        <v>2109000</v>
      </c>
      <c r="K78" s="227">
        <f t="shared" si="29"/>
        <v>2109000</v>
      </c>
      <c r="L78" s="227">
        <f t="shared" si="29"/>
        <v>2109000</v>
      </c>
      <c r="M78" s="227">
        <f t="shared" si="29"/>
        <v>2109000</v>
      </c>
      <c r="N78" s="227">
        <f t="shared" si="29"/>
        <v>3769000</v>
      </c>
      <c r="O78" s="227">
        <f t="shared" si="29"/>
        <v>2110000</v>
      </c>
      <c r="P78" s="227">
        <f t="shared" si="29"/>
        <v>9000</v>
      </c>
      <c r="Q78" s="227">
        <f t="shared" si="29"/>
        <v>6000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30704000</v>
      </c>
      <c r="E87" s="37"/>
      <c r="F87" s="37">
        <f>F88+F89+F90+F91</f>
        <v>8853000</v>
      </c>
      <c r="G87" s="37">
        <f t="shared" ref="G87:Q87" si="32">G88+G89+G90+G91</f>
        <v>2169000</v>
      </c>
      <c r="H87" s="37">
        <f t="shared" si="32"/>
        <v>2281000</v>
      </c>
      <c r="I87" s="37">
        <f t="shared" si="32"/>
        <v>2564000</v>
      </c>
      <c r="J87" s="37">
        <f t="shared" si="32"/>
        <v>2169000</v>
      </c>
      <c r="K87" s="37">
        <f t="shared" si="32"/>
        <v>2174000</v>
      </c>
      <c r="L87" s="37">
        <f t="shared" si="32"/>
        <v>2193000</v>
      </c>
      <c r="M87" s="37">
        <f t="shared" si="32"/>
        <v>2169000</v>
      </c>
      <c r="N87" s="37">
        <f t="shared" si="32"/>
        <v>3834000</v>
      </c>
      <c r="O87" s="37">
        <f t="shared" si="32"/>
        <v>2170000</v>
      </c>
      <c r="P87" s="37">
        <f t="shared" si="32"/>
        <v>69000</v>
      </c>
      <c r="Q87" s="37">
        <f t="shared" si="32"/>
        <v>59000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15000</v>
      </c>
      <c r="E88" s="108" t="s">
        <v>193</v>
      </c>
      <c r="F88" s="108">
        <f>ROUND($D88/2,-3)</f>
        <v>8000</v>
      </c>
      <c r="G88" s="108"/>
      <c r="H88" s="108"/>
      <c r="I88" s="108"/>
      <c r="J88" s="108"/>
      <c r="K88" s="108"/>
      <c r="L88" s="108">
        <f>D88-F88</f>
        <v>7000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30688000</v>
      </c>
      <c r="E91" s="108"/>
      <c r="F91" s="108">
        <f>F92+F93+F94+F95</f>
        <v>8845000</v>
      </c>
      <c r="G91" s="108">
        <f t="shared" ref="G91:Q91" si="34">G92+G93+G94+G95</f>
        <v>2169000</v>
      </c>
      <c r="H91" s="108">
        <f t="shared" si="34"/>
        <v>2281000</v>
      </c>
      <c r="I91" s="108">
        <f t="shared" si="34"/>
        <v>2564000</v>
      </c>
      <c r="J91" s="108">
        <f t="shared" si="34"/>
        <v>2169000</v>
      </c>
      <c r="K91" s="108">
        <f t="shared" si="34"/>
        <v>2174000</v>
      </c>
      <c r="L91" s="108">
        <f t="shared" si="34"/>
        <v>2186000</v>
      </c>
      <c r="M91" s="108">
        <f t="shared" si="34"/>
        <v>2169000</v>
      </c>
      <c r="N91" s="108">
        <f t="shared" si="34"/>
        <v>3834000</v>
      </c>
      <c r="O91" s="108">
        <f t="shared" si="34"/>
        <v>2170000</v>
      </c>
      <c r="P91" s="108">
        <f t="shared" si="34"/>
        <v>69000</v>
      </c>
      <c r="Q91" s="108">
        <f t="shared" si="34"/>
        <v>58000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1004000</v>
      </c>
      <c r="E92" s="114" t="s">
        <v>537</v>
      </c>
      <c r="F92" s="37">
        <f>ROUND($D92/12*5,-3)</f>
        <v>418000</v>
      </c>
      <c r="G92" s="37">
        <f>ROUND($D92/12,-3)</f>
        <v>84000</v>
      </c>
      <c r="H92" s="37">
        <f t="shared" ref="H92:L92" si="35">ROUND($D92/12,-3)</f>
        <v>84000</v>
      </c>
      <c r="I92" s="37">
        <f t="shared" si="35"/>
        <v>84000</v>
      </c>
      <c r="J92" s="37">
        <f t="shared" si="35"/>
        <v>84000</v>
      </c>
      <c r="K92" s="37">
        <f t="shared" si="35"/>
        <v>84000</v>
      </c>
      <c r="L92" s="37">
        <f t="shared" si="35"/>
        <v>84000</v>
      </c>
      <c r="M92" s="37">
        <f>D92-SUM(F92:L92)</f>
        <v>82000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102000</v>
      </c>
      <c r="E93" s="109" t="s">
        <v>227</v>
      </c>
      <c r="F93" s="37">
        <f>ROUND($D93/12,-3)</f>
        <v>9000</v>
      </c>
      <c r="G93" s="37">
        <f t="shared" ref="G93:P93" si="36">ROUND($D93/12,-3)</f>
        <v>9000</v>
      </c>
      <c r="H93" s="37">
        <f t="shared" si="36"/>
        <v>9000</v>
      </c>
      <c r="I93" s="37">
        <f t="shared" si="36"/>
        <v>9000</v>
      </c>
      <c r="J93" s="37">
        <f t="shared" si="36"/>
        <v>9000</v>
      </c>
      <c r="K93" s="37">
        <f t="shared" si="36"/>
        <v>9000</v>
      </c>
      <c r="L93" s="37">
        <f t="shared" si="36"/>
        <v>9000</v>
      </c>
      <c r="M93" s="37">
        <f t="shared" si="36"/>
        <v>9000</v>
      </c>
      <c r="N93" s="37">
        <f t="shared" si="36"/>
        <v>9000</v>
      </c>
      <c r="O93" s="37">
        <f t="shared" si="36"/>
        <v>9000</v>
      </c>
      <c r="P93" s="37">
        <f t="shared" si="36"/>
        <v>9000</v>
      </c>
      <c r="Q93" s="37">
        <f>D93-SUM(F93:P93)</f>
        <v>3000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322000</v>
      </c>
      <c r="E94" s="110" t="s">
        <v>229</v>
      </c>
      <c r="F94" s="37"/>
      <c r="G94" s="37"/>
      <c r="H94" s="37">
        <f>ROUND($D94/2,-3)</f>
        <v>161000</v>
      </c>
      <c r="I94" s="37"/>
      <c r="J94" s="37"/>
      <c r="K94" s="37"/>
      <c r="L94" s="37"/>
      <c r="M94" s="37"/>
      <c r="N94" s="37"/>
      <c r="O94" s="37">
        <f>D94-H94</f>
        <v>161000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29260000</v>
      </c>
      <c r="E95" s="37"/>
      <c r="F95" s="37">
        <f>F2+F86-F88-F89-F90-F92-F93-F94</f>
        <v>8418000</v>
      </c>
      <c r="G95" s="37">
        <f t="shared" ref="G95:Q95" si="37">G2-G88-G89-G90-G92-G93-G94</f>
        <v>2076000</v>
      </c>
      <c r="H95" s="37">
        <f t="shared" si="37"/>
        <v>2027000</v>
      </c>
      <c r="I95" s="37">
        <f t="shared" si="37"/>
        <v>2471000</v>
      </c>
      <c r="J95" s="37">
        <f t="shared" si="37"/>
        <v>2076000</v>
      </c>
      <c r="K95" s="37">
        <f t="shared" si="37"/>
        <v>2081000</v>
      </c>
      <c r="L95" s="37">
        <f t="shared" si="37"/>
        <v>2093000</v>
      </c>
      <c r="M95" s="37">
        <f t="shared" si="37"/>
        <v>2078000</v>
      </c>
      <c r="N95" s="37">
        <f t="shared" si="37"/>
        <v>3825000</v>
      </c>
      <c r="O95" s="37">
        <f t="shared" si="37"/>
        <v>2000000</v>
      </c>
      <c r="P95" s="37">
        <f t="shared" si="37"/>
        <v>60000</v>
      </c>
      <c r="Q95" s="37">
        <f t="shared" si="37"/>
        <v>55000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0</v>
      </c>
    </row>
    <row r="99" spans="2:17" ht="32.4">
      <c r="B99" s="72" t="s">
        <v>235</v>
      </c>
      <c r="D99" s="30">
        <f>HLOOKUP(D1,縣庫撥款收入明細表!H:DD,5,FALSE)</f>
        <v>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1004000</v>
      </c>
    </row>
    <row r="102" spans="2:17" ht="32.4">
      <c r="B102" s="71" t="s">
        <v>238</v>
      </c>
      <c r="D102" s="30">
        <f>HLOOKUP(D1,縣庫撥款收入明細表!H:DD,16,FALSE)</f>
        <v>96000</v>
      </c>
    </row>
    <row r="103" spans="2:17" ht="32.4">
      <c r="B103" s="72" t="s">
        <v>239</v>
      </c>
      <c r="D103" s="30">
        <f>HLOOKUP(D1,縣庫撥款收入明細表!H:DD,17,FALSE)</f>
        <v>0</v>
      </c>
    </row>
    <row r="104" spans="2:17" ht="32.4">
      <c r="B104" s="76" t="s">
        <v>240</v>
      </c>
      <c r="D104" s="30">
        <f>HLOOKUP(D1,縣庫撥款收入明細表!H:DD,18,FALSE)</f>
        <v>322000</v>
      </c>
    </row>
    <row r="105" spans="2:17" ht="32.4">
      <c r="B105" s="72" t="s">
        <v>380</v>
      </c>
      <c r="D105" s="30">
        <f>HLOOKUP(D1,縣庫撥款收入明細表!H:DD,19,FALSE)</f>
        <v>0</v>
      </c>
    </row>
    <row r="106" spans="2:17" ht="32.4">
      <c r="B106" s="71" t="s">
        <v>241</v>
      </c>
      <c r="D106" s="30">
        <f>HLOOKUP(D1,縣庫撥款收入明細表!H:DD,20,FALSE)</f>
        <v>6000</v>
      </c>
    </row>
    <row r="107" spans="2:17" ht="32.4">
      <c r="B107" s="77" t="s">
        <v>242</v>
      </c>
      <c r="D107" s="30">
        <f>HLOOKUP(D1,縣庫撥款收入明細表!H:DD,21,FALSE)</f>
        <v>29260000</v>
      </c>
    </row>
    <row r="108" spans="2:17" ht="16.5" customHeight="1"/>
    <row r="109" spans="2:17" ht="16.5" customHeight="1">
      <c r="B109" s="4" t="s">
        <v>682</v>
      </c>
      <c r="D109" s="30">
        <f>D91-D76</f>
        <v>24393000</v>
      </c>
      <c r="F109" s="30">
        <f>F91-F76</f>
        <v>7271000</v>
      </c>
      <c r="G109" s="30">
        <f t="shared" ref="G109:Q109" si="38">G91-G76</f>
        <v>1645000</v>
      </c>
      <c r="H109" s="30">
        <f t="shared" si="38"/>
        <v>1757000</v>
      </c>
      <c r="I109" s="30">
        <f t="shared" si="38"/>
        <v>2040000</v>
      </c>
      <c r="J109" s="30">
        <f t="shared" si="38"/>
        <v>1645000</v>
      </c>
      <c r="K109" s="30">
        <f t="shared" si="38"/>
        <v>1650000</v>
      </c>
      <c r="L109" s="30">
        <f t="shared" si="38"/>
        <v>1662000</v>
      </c>
      <c r="M109" s="30">
        <f t="shared" si="38"/>
        <v>1645000</v>
      </c>
      <c r="N109" s="30">
        <f t="shared" si="38"/>
        <v>3310000</v>
      </c>
      <c r="O109" s="30">
        <f t="shared" si="38"/>
        <v>1641000</v>
      </c>
      <c r="P109" s="30">
        <f t="shared" si="38"/>
        <v>69000</v>
      </c>
      <c r="Q109" s="30">
        <f t="shared" si="38"/>
        <v>58000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60" priority="1" operator="less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topLeftCell="A73"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623</v>
      </c>
      <c r="D1" s="240" t="str">
        <f>VLOOKUP(C1,學校編號!A:B,2,FALSE)</f>
        <v>623化仁國小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56755000</v>
      </c>
      <c r="E2" s="37"/>
      <c r="F2" s="37">
        <f>F48+F70+F76+F77+F83</f>
        <v>16364000</v>
      </c>
      <c r="G2" s="37">
        <f t="shared" ref="G2:Q2" si="0">G48+G70+G76+G77+G83</f>
        <v>4062000</v>
      </c>
      <c r="H2" s="37">
        <f t="shared" si="0"/>
        <v>4299000</v>
      </c>
      <c r="I2" s="37">
        <f t="shared" si="0"/>
        <v>4678000</v>
      </c>
      <c r="J2" s="37">
        <f t="shared" si="0"/>
        <v>4062000</v>
      </c>
      <c r="K2" s="37">
        <f t="shared" si="0"/>
        <v>4076000</v>
      </c>
      <c r="L2" s="37">
        <f t="shared" si="0"/>
        <v>4144000</v>
      </c>
      <c r="M2" s="37">
        <f t="shared" si="0"/>
        <v>4062000</v>
      </c>
      <c r="N2" s="37">
        <f t="shared" si="0"/>
        <v>6721000</v>
      </c>
      <c r="O2" s="37">
        <f t="shared" si="0"/>
        <v>4067000</v>
      </c>
      <c r="P2" s="37">
        <f t="shared" si="0"/>
        <v>109000</v>
      </c>
      <c r="Q2" s="37">
        <f t="shared" si="0"/>
        <v>111000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271000</v>
      </c>
      <c r="E3" s="37" t="s">
        <v>525</v>
      </c>
      <c r="F3" s="37">
        <f t="shared" ref="F3:P17" si="1">ROUND($D3/12,0)</f>
        <v>22583</v>
      </c>
      <c r="G3" s="37">
        <f t="shared" si="1"/>
        <v>22583</v>
      </c>
      <c r="H3" s="37">
        <f t="shared" si="1"/>
        <v>22583</v>
      </c>
      <c r="I3" s="37">
        <f t="shared" si="1"/>
        <v>22583</v>
      </c>
      <c r="J3" s="37">
        <f t="shared" si="1"/>
        <v>22583</v>
      </c>
      <c r="K3" s="37">
        <f t="shared" si="1"/>
        <v>22583</v>
      </c>
      <c r="L3" s="37">
        <f t="shared" si="1"/>
        <v>22583</v>
      </c>
      <c r="M3" s="37">
        <f t="shared" si="1"/>
        <v>22583</v>
      </c>
      <c r="N3" s="37">
        <f t="shared" si="1"/>
        <v>22583</v>
      </c>
      <c r="O3" s="37">
        <f t="shared" si="1"/>
        <v>22583</v>
      </c>
      <c r="P3" s="37">
        <f t="shared" si="1"/>
        <v>22583</v>
      </c>
      <c r="Q3" s="37">
        <f t="shared" ref="Q3:Q10" si="2">D3-SUM(F3:P3)</f>
        <v>22587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116000</v>
      </c>
      <c r="E4" s="37" t="s">
        <v>525</v>
      </c>
      <c r="F4" s="37">
        <f t="shared" si="1"/>
        <v>9667</v>
      </c>
      <c r="G4" s="37">
        <f t="shared" si="1"/>
        <v>9667</v>
      </c>
      <c r="H4" s="37">
        <f t="shared" si="1"/>
        <v>9667</v>
      </c>
      <c r="I4" s="37">
        <f t="shared" si="1"/>
        <v>9667</v>
      </c>
      <c r="J4" s="37">
        <f t="shared" si="1"/>
        <v>9667</v>
      </c>
      <c r="K4" s="37">
        <f t="shared" si="1"/>
        <v>9667</v>
      </c>
      <c r="L4" s="37">
        <f t="shared" si="1"/>
        <v>9667</v>
      </c>
      <c r="M4" s="37">
        <f t="shared" si="1"/>
        <v>9667</v>
      </c>
      <c r="N4" s="37">
        <f t="shared" si="1"/>
        <v>9667</v>
      </c>
      <c r="O4" s="37">
        <f t="shared" si="1"/>
        <v>9667</v>
      </c>
      <c r="P4" s="37">
        <f t="shared" si="1"/>
        <v>9667</v>
      </c>
      <c r="Q4" s="37">
        <f t="shared" si="2"/>
        <v>9663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70000</v>
      </c>
      <c r="E7" s="37" t="s">
        <v>525</v>
      </c>
      <c r="F7" s="37">
        <f t="shared" si="1"/>
        <v>5833</v>
      </c>
      <c r="G7" s="37">
        <f t="shared" si="1"/>
        <v>5833</v>
      </c>
      <c r="H7" s="37">
        <f t="shared" si="1"/>
        <v>5833</v>
      </c>
      <c r="I7" s="37">
        <f t="shared" si="1"/>
        <v>5833</v>
      </c>
      <c r="J7" s="37">
        <f t="shared" si="1"/>
        <v>5833</v>
      </c>
      <c r="K7" s="37">
        <f t="shared" si="1"/>
        <v>5833</v>
      </c>
      <c r="L7" s="37">
        <f t="shared" si="1"/>
        <v>5833</v>
      </c>
      <c r="M7" s="37">
        <f t="shared" si="1"/>
        <v>5833</v>
      </c>
      <c r="N7" s="37">
        <f t="shared" si="1"/>
        <v>5833</v>
      </c>
      <c r="O7" s="37">
        <f t="shared" si="1"/>
        <v>5833</v>
      </c>
      <c r="P7" s="37">
        <f t="shared" si="1"/>
        <v>5833</v>
      </c>
      <c r="Q7" s="37">
        <f t="shared" si="2"/>
        <v>5837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60000</v>
      </c>
      <c r="E8" s="37" t="s">
        <v>525</v>
      </c>
      <c r="F8" s="37">
        <f t="shared" si="1"/>
        <v>5000</v>
      </c>
      <c r="G8" s="37">
        <f t="shared" si="1"/>
        <v>5000</v>
      </c>
      <c r="H8" s="37">
        <f t="shared" si="1"/>
        <v>5000</v>
      </c>
      <c r="I8" s="37">
        <f t="shared" si="1"/>
        <v>5000</v>
      </c>
      <c r="J8" s="37">
        <f t="shared" si="1"/>
        <v>5000</v>
      </c>
      <c r="K8" s="37">
        <f t="shared" si="1"/>
        <v>5000</v>
      </c>
      <c r="L8" s="37">
        <f t="shared" si="1"/>
        <v>5000</v>
      </c>
      <c r="M8" s="37">
        <f t="shared" si="1"/>
        <v>5000</v>
      </c>
      <c r="N8" s="37">
        <f t="shared" si="1"/>
        <v>5000</v>
      </c>
      <c r="O8" s="37">
        <f t="shared" si="1"/>
        <v>5000</v>
      </c>
      <c r="P8" s="37">
        <f t="shared" si="1"/>
        <v>5000</v>
      </c>
      <c r="Q8" s="37">
        <f t="shared" si="2"/>
        <v>5000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6000</v>
      </c>
      <c r="E9" s="37" t="s">
        <v>525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80000</v>
      </c>
      <c r="E14" s="37" t="s">
        <v>525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64000</v>
      </c>
      <c r="E15" s="37" t="s">
        <v>193</v>
      </c>
      <c r="F15" s="37">
        <f>ROUND($D15/2,-3)</f>
        <v>32000</v>
      </c>
      <c r="G15" s="37"/>
      <c r="H15" s="37"/>
      <c r="I15" s="37"/>
      <c r="J15" s="37"/>
      <c r="K15" s="37"/>
      <c r="L15" s="37">
        <f>D15-F15</f>
        <v>32000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53000</v>
      </c>
      <c r="E17" s="37" t="s">
        <v>525</v>
      </c>
      <c r="F17" s="37">
        <f>ROUND($D17/12,0)</f>
        <v>4417</v>
      </c>
      <c r="G17" s="37">
        <f t="shared" si="1"/>
        <v>4417</v>
      </c>
      <c r="H17" s="37">
        <f t="shared" si="1"/>
        <v>4417</v>
      </c>
      <c r="I17" s="37">
        <f t="shared" si="1"/>
        <v>4417</v>
      </c>
      <c r="J17" s="37">
        <f t="shared" si="1"/>
        <v>4417</v>
      </c>
      <c r="K17" s="37">
        <f t="shared" si="1"/>
        <v>4417</v>
      </c>
      <c r="L17" s="37">
        <f t="shared" si="1"/>
        <v>4417</v>
      </c>
      <c r="M17" s="37">
        <f t="shared" si="1"/>
        <v>4417</v>
      </c>
      <c r="N17" s="37">
        <f t="shared" si="1"/>
        <v>4417</v>
      </c>
      <c r="O17" s="37">
        <f t="shared" si="1"/>
        <v>4417</v>
      </c>
      <c r="P17" s="37">
        <f t="shared" si="1"/>
        <v>4417</v>
      </c>
      <c r="Q17" s="37">
        <f>D17-SUM(F17:P17)</f>
        <v>4413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100000</v>
      </c>
      <c r="E24" s="37" t="s">
        <v>193</v>
      </c>
      <c r="F24" s="37">
        <f>ROUND($D24/2,-3)</f>
        <v>50000</v>
      </c>
      <c r="G24" s="37"/>
      <c r="H24" s="37"/>
      <c r="I24" s="37"/>
      <c r="J24" s="37"/>
      <c r="K24" s="37"/>
      <c r="L24" s="37">
        <f>D24-F24</f>
        <v>50000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984000</v>
      </c>
      <c r="E25" s="108"/>
      <c r="F25" s="108">
        <f>ROUND(SUM(F3:F24),-3)</f>
        <v>150000</v>
      </c>
      <c r="G25" s="108">
        <f t="shared" ref="G25:P25" si="5">ROUND(SUM(G3:G24),-3)</f>
        <v>68000</v>
      </c>
      <c r="H25" s="108">
        <f t="shared" si="5"/>
        <v>68000</v>
      </c>
      <c r="I25" s="108">
        <f t="shared" si="5"/>
        <v>68000</v>
      </c>
      <c r="J25" s="108">
        <f t="shared" si="5"/>
        <v>68000</v>
      </c>
      <c r="K25" s="108">
        <f t="shared" si="5"/>
        <v>68000</v>
      </c>
      <c r="L25" s="108">
        <f t="shared" si="5"/>
        <v>150000</v>
      </c>
      <c r="M25" s="108">
        <f t="shared" si="5"/>
        <v>68000</v>
      </c>
      <c r="N25" s="108">
        <f t="shared" si="5"/>
        <v>68000</v>
      </c>
      <c r="O25" s="108">
        <f t="shared" si="5"/>
        <v>68000</v>
      </c>
      <c r="P25" s="108">
        <f t="shared" si="5"/>
        <v>68000</v>
      </c>
      <c r="Q25" s="108">
        <f t="shared" ref="Q25:Q33" si="6">D25-SUM(F25:P25)</f>
        <v>72000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302000</v>
      </c>
      <c r="E27" s="37" t="s">
        <v>525</v>
      </c>
      <c r="F27" s="37">
        <f t="shared" ref="F27:P33" si="8">ROUND($D27/12,0)</f>
        <v>25167</v>
      </c>
      <c r="G27" s="37">
        <f t="shared" si="8"/>
        <v>25167</v>
      </c>
      <c r="H27" s="37">
        <f t="shared" si="8"/>
        <v>25167</v>
      </c>
      <c r="I27" s="37">
        <f t="shared" si="8"/>
        <v>25167</v>
      </c>
      <c r="J27" s="37">
        <f t="shared" si="8"/>
        <v>25167</v>
      </c>
      <c r="K27" s="37">
        <f t="shared" si="8"/>
        <v>25167</v>
      </c>
      <c r="L27" s="37">
        <f t="shared" si="8"/>
        <v>25167</v>
      </c>
      <c r="M27" s="37">
        <f t="shared" si="8"/>
        <v>25167</v>
      </c>
      <c r="N27" s="37">
        <f t="shared" si="8"/>
        <v>25167</v>
      </c>
      <c r="O27" s="37">
        <f t="shared" si="8"/>
        <v>25167</v>
      </c>
      <c r="P27" s="37">
        <f t="shared" si="8"/>
        <v>25167</v>
      </c>
      <c r="Q27" s="37">
        <f t="shared" si="6"/>
        <v>25163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28000</v>
      </c>
      <c r="E29" s="37" t="s">
        <v>525</v>
      </c>
      <c r="F29" s="37">
        <f t="shared" si="8"/>
        <v>2333</v>
      </c>
      <c r="G29" s="37">
        <f t="shared" si="8"/>
        <v>2333</v>
      </c>
      <c r="H29" s="37">
        <f t="shared" si="8"/>
        <v>2333</v>
      </c>
      <c r="I29" s="37">
        <f t="shared" si="8"/>
        <v>2333</v>
      </c>
      <c r="J29" s="37">
        <f t="shared" si="8"/>
        <v>2333</v>
      </c>
      <c r="K29" s="37">
        <f t="shared" si="8"/>
        <v>2333</v>
      </c>
      <c r="L29" s="37">
        <f t="shared" si="8"/>
        <v>2333</v>
      </c>
      <c r="M29" s="37">
        <f t="shared" si="8"/>
        <v>2333</v>
      </c>
      <c r="N29" s="37">
        <f t="shared" si="8"/>
        <v>2333</v>
      </c>
      <c r="O29" s="37">
        <f t="shared" si="8"/>
        <v>2333</v>
      </c>
      <c r="P29" s="37">
        <f t="shared" si="8"/>
        <v>2333</v>
      </c>
      <c r="Q29" s="37">
        <f t="shared" si="6"/>
        <v>2337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45000</v>
      </c>
      <c r="E30" s="37" t="s">
        <v>525</v>
      </c>
      <c r="F30" s="37">
        <f t="shared" si="8"/>
        <v>3750</v>
      </c>
      <c r="G30" s="37">
        <f t="shared" si="8"/>
        <v>3750</v>
      </c>
      <c r="H30" s="37">
        <f t="shared" si="8"/>
        <v>3750</v>
      </c>
      <c r="I30" s="37">
        <f t="shared" si="8"/>
        <v>3750</v>
      </c>
      <c r="J30" s="37">
        <f t="shared" si="8"/>
        <v>3750</v>
      </c>
      <c r="K30" s="37">
        <f t="shared" si="8"/>
        <v>3750</v>
      </c>
      <c r="L30" s="37">
        <f t="shared" si="8"/>
        <v>3750</v>
      </c>
      <c r="M30" s="37">
        <f t="shared" si="8"/>
        <v>3750</v>
      </c>
      <c r="N30" s="37">
        <f t="shared" si="8"/>
        <v>3750</v>
      </c>
      <c r="O30" s="37">
        <f t="shared" si="8"/>
        <v>3750</v>
      </c>
      <c r="P30" s="37">
        <f t="shared" si="8"/>
        <v>3750</v>
      </c>
      <c r="Q30" s="37">
        <f t="shared" si="6"/>
        <v>3750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23000</v>
      </c>
      <c r="E31" s="37" t="s">
        <v>525</v>
      </c>
      <c r="F31" s="37">
        <f t="shared" si="8"/>
        <v>1917</v>
      </c>
      <c r="G31" s="37">
        <f t="shared" si="8"/>
        <v>1917</v>
      </c>
      <c r="H31" s="37">
        <f t="shared" si="8"/>
        <v>1917</v>
      </c>
      <c r="I31" s="37">
        <f t="shared" si="8"/>
        <v>1917</v>
      </c>
      <c r="J31" s="37">
        <f t="shared" si="8"/>
        <v>1917</v>
      </c>
      <c r="K31" s="37">
        <f t="shared" si="8"/>
        <v>1917</v>
      </c>
      <c r="L31" s="37">
        <f t="shared" si="8"/>
        <v>1917</v>
      </c>
      <c r="M31" s="37">
        <f t="shared" si="8"/>
        <v>1917</v>
      </c>
      <c r="N31" s="37">
        <f t="shared" si="8"/>
        <v>1917</v>
      </c>
      <c r="O31" s="37">
        <f t="shared" si="8"/>
        <v>1917</v>
      </c>
      <c r="P31" s="37">
        <f t="shared" si="8"/>
        <v>1917</v>
      </c>
      <c r="Q31" s="37">
        <f t="shared" si="6"/>
        <v>1913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12000</v>
      </c>
      <c r="E32" s="37" t="s">
        <v>525</v>
      </c>
      <c r="F32" s="37">
        <f t="shared" si="8"/>
        <v>1000</v>
      </c>
      <c r="G32" s="37">
        <f t="shared" si="8"/>
        <v>1000</v>
      </c>
      <c r="H32" s="37">
        <f t="shared" si="8"/>
        <v>1000</v>
      </c>
      <c r="I32" s="37">
        <f t="shared" si="8"/>
        <v>1000</v>
      </c>
      <c r="J32" s="37">
        <f t="shared" si="8"/>
        <v>1000</v>
      </c>
      <c r="K32" s="37">
        <f t="shared" si="8"/>
        <v>1000</v>
      </c>
      <c r="L32" s="37">
        <f t="shared" si="8"/>
        <v>1000</v>
      </c>
      <c r="M32" s="37">
        <f t="shared" si="8"/>
        <v>1000</v>
      </c>
      <c r="N32" s="37">
        <f t="shared" si="8"/>
        <v>1000</v>
      </c>
      <c r="O32" s="37">
        <f t="shared" si="8"/>
        <v>1000</v>
      </c>
      <c r="P32" s="37">
        <f t="shared" si="8"/>
        <v>1000</v>
      </c>
      <c r="Q32" s="37">
        <f t="shared" si="6"/>
        <v>1000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8000</v>
      </c>
      <c r="E33" s="37" t="s">
        <v>525</v>
      </c>
      <c r="F33" s="37">
        <f t="shared" si="8"/>
        <v>667</v>
      </c>
      <c r="G33" s="37">
        <f t="shared" si="8"/>
        <v>667</v>
      </c>
      <c r="H33" s="37">
        <f t="shared" si="8"/>
        <v>667</v>
      </c>
      <c r="I33" s="37">
        <f t="shared" si="8"/>
        <v>667</v>
      </c>
      <c r="J33" s="37">
        <f t="shared" si="8"/>
        <v>667</v>
      </c>
      <c r="K33" s="37">
        <f t="shared" si="8"/>
        <v>667</v>
      </c>
      <c r="L33" s="37">
        <f t="shared" si="8"/>
        <v>667</v>
      </c>
      <c r="M33" s="37">
        <f t="shared" si="8"/>
        <v>667</v>
      </c>
      <c r="N33" s="37">
        <f t="shared" si="8"/>
        <v>667</v>
      </c>
      <c r="O33" s="37">
        <f t="shared" si="8"/>
        <v>667</v>
      </c>
      <c r="P33" s="37">
        <f t="shared" si="8"/>
        <v>667</v>
      </c>
      <c r="Q33" s="37">
        <f t="shared" si="6"/>
        <v>663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418000</v>
      </c>
      <c r="E37" s="108"/>
      <c r="F37" s="108">
        <f t="shared" ref="F37:P37" si="9">ROUND(SUM(F26:F36),-3)</f>
        <v>35000</v>
      </c>
      <c r="G37" s="108">
        <f t="shared" si="9"/>
        <v>35000</v>
      </c>
      <c r="H37" s="108">
        <f t="shared" si="9"/>
        <v>35000</v>
      </c>
      <c r="I37" s="108">
        <f t="shared" si="9"/>
        <v>35000</v>
      </c>
      <c r="J37" s="108">
        <f t="shared" si="9"/>
        <v>35000</v>
      </c>
      <c r="K37" s="108">
        <f t="shared" si="9"/>
        <v>35000</v>
      </c>
      <c r="L37" s="108">
        <f t="shared" si="9"/>
        <v>35000</v>
      </c>
      <c r="M37" s="108">
        <f t="shared" si="9"/>
        <v>35000</v>
      </c>
      <c r="N37" s="108">
        <f t="shared" si="9"/>
        <v>35000</v>
      </c>
      <c r="O37" s="108">
        <f t="shared" si="9"/>
        <v>35000</v>
      </c>
      <c r="P37" s="108">
        <f t="shared" si="9"/>
        <v>35000</v>
      </c>
      <c r="Q37" s="108">
        <f>D37-SUM(F37:P37)</f>
        <v>33000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42000</v>
      </c>
      <c r="E46" s="37" t="s">
        <v>194</v>
      </c>
      <c r="F46" s="37">
        <f>ROUND($D46/3,0)</f>
        <v>14000</v>
      </c>
      <c r="G46" s="37"/>
      <c r="H46" s="37"/>
      <c r="I46" s="37"/>
      <c r="J46" s="37"/>
      <c r="K46" s="37">
        <f>ROUND($D46/3,0)</f>
        <v>14000</v>
      </c>
      <c r="L46" s="37"/>
      <c r="M46" s="37"/>
      <c r="N46" s="37">
        <f>ROUND($D46/3,0)</f>
        <v>14000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42000</v>
      </c>
      <c r="E47" s="108"/>
      <c r="F47" s="108">
        <f t="shared" ref="F47:P47" si="13">ROUND(SUM(F46),-3)</f>
        <v>14000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14000</v>
      </c>
      <c r="L47" s="108">
        <f t="shared" si="13"/>
        <v>0</v>
      </c>
      <c r="M47" s="108">
        <f t="shared" si="13"/>
        <v>0</v>
      </c>
      <c r="N47" s="108">
        <f t="shared" si="13"/>
        <v>14000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1444000</v>
      </c>
      <c r="E48" s="37"/>
      <c r="F48" s="115">
        <f>F25+F37+F45+F47</f>
        <v>199000</v>
      </c>
      <c r="G48" s="115">
        <f t="shared" ref="G48:R48" si="14">G25+G37+G45+G47</f>
        <v>103000</v>
      </c>
      <c r="H48" s="115">
        <f t="shared" si="14"/>
        <v>103000</v>
      </c>
      <c r="I48" s="115">
        <f t="shared" si="14"/>
        <v>103000</v>
      </c>
      <c r="J48" s="115">
        <f t="shared" si="14"/>
        <v>103000</v>
      </c>
      <c r="K48" s="115">
        <f t="shared" si="14"/>
        <v>117000</v>
      </c>
      <c r="L48" s="115">
        <f t="shared" si="14"/>
        <v>185000</v>
      </c>
      <c r="M48" s="115">
        <f t="shared" si="14"/>
        <v>103000</v>
      </c>
      <c r="N48" s="115">
        <f t="shared" si="14"/>
        <v>117000</v>
      </c>
      <c r="O48" s="115">
        <f t="shared" si="14"/>
        <v>103000</v>
      </c>
      <c r="P48" s="115">
        <f t="shared" si="14"/>
        <v>103000</v>
      </c>
      <c r="Q48" s="115">
        <f t="shared" si="14"/>
        <v>105000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25793000</v>
      </c>
      <c r="E49" s="114" t="s">
        <v>202</v>
      </c>
      <c r="F49" s="37">
        <f>ROUND($D49/12*3,-3)</f>
        <v>6448000</v>
      </c>
      <c r="G49" s="37">
        <f>ROUND($D49/12,-3)</f>
        <v>2149000</v>
      </c>
      <c r="H49" s="37">
        <f t="shared" ref="H49:N53" si="15">ROUND($D49/12,-3)</f>
        <v>2149000</v>
      </c>
      <c r="I49" s="37">
        <f t="shared" si="15"/>
        <v>2149000</v>
      </c>
      <c r="J49" s="37">
        <f t="shared" si="15"/>
        <v>2149000</v>
      </c>
      <c r="K49" s="37">
        <f t="shared" si="15"/>
        <v>2149000</v>
      </c>
      <c r="L49" s="37">
        <f t="shared" si="15"/>
        <v>2149000</v>
      </c>
      <c r="M49" s="37">
        <f t="shared" si="15"/>
        <v>2149000</v>
      </c>
      <c r="N49" s="37">
        <f t="shared" si="15"/>
        <v>2149000</v>
      </c>
      <c r="O49" s="37">
        <f>D49-SUM(F49:N49)</f>
        <v>2153000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3245000</v>
      </c>
      <c r="E51" s="114" t="s">
        <v>202</v>
      </c>
      <c r="F51" s="37">
        <f t="shared" si="16"/>
        <v>811000</v>
      </c>
      <c r="G51" s="37">
        <f t="shared" si="17"/>
        <v>270000</v>
      </c>
      <c r="H51" s="37">
        <f t="shared" si="15"/>
        <v>270000</v>
      </c>
      <c r="I51" s="37">
        <f t="shared" si="15"/>
        <v>270000</v>
      </c>
      <c r="J51" s="37">
        <f t="shared" si="15"/>
        <v>270000</v>
      </c>
      <c r="K51" s="37">
        <f t="shared" si="15"/>
        <v>270000</v>
      </c>
      <c r="L51" s="37">
        <f t="shared" si="15"/>
        <v>270000</v>
      </c>
      <c r="M51" s="37">
        <f t="shared" si="15"/>
        <v>270000</v>
      </c>
      <c r="N51" s="37">
        <f t="shared" si="15"/>
        <v>270000</v>
      </c>
      <c r="O51" s="37">
        <f t="shared" si="18"/>
        <v>274000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398000</v>
      </c>
      <c r="E52" s="114" t="s">
        <v>202</v>
      </c>
      <c r="F52" s="37">
        <f t="shared" si="16"/>
        <v>100000</v>
      </c>
      <c r="G52" s="37">
        <f t="shared" si="17"/>
        <v>33000</v>
      </c>
      <c r="H52" s="37">
        <f t="shared" si="15"/>
        <v>33000</v>
      </c>
      <c r="I52" s="37">
        <f t="shared" si="15"/>
        <v>33000</v>
      </c>
      <c r="J52" s="37">
        <f t="shared" si="15"/>
        <v>33000</v>
      </c>
      <c r="K52" s="37">
        <f t="shared" si="15"/>
        <v>33000</v>
      </c>
      <c r="L52" s="37">
        <f t="shared" si="15"/>
        <v>33000</v>
      </c>
      <c r="M52" s="37">
        <f t="shared" si="15"/>
        <v>33000</v>
      </c>
      <c r="N52" s="37">
        <f t="shared" si="15"/>
        <v>33000</v>
      </c>
      <c r="O52" s="37">
        <f t="shared" si="18"/>
        <v>34000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72000</v>
      </c>
      <c r="E54" s="37" t="s">
        <v>525</v>
      </c>
      <c r="F54" s="37">
        <f t="shared" ref="F54:P61" si="19">ROUND($D54/12,0)</f>
        <v>6000</v>
      </c>
      <c r="G54" s="37">
        <f t="shared" si="19"/>
        <v>6000</v>
      </c>
      <c r="H54" s="37">
        <f t="shared" si="19"/>
        <v>6000</v>
      </c>
      <c r="I54" s="37">
        <f t="shared" si="19"/>
        <v>6000</v>
      </c>
      <c r="J54" s="37">
        <f t="shared" si="19"/>
        <v>6000</v>
      </c>
      <c r="K54" s="37">
        <f t="shared" si="19"/>
        <v>6000</v>
      </c>
      <c r="L54" s="37">
        <f t="shared" si="19"/>
        <v>6000</v>
      </c>
      <c r="M54" s="37">
        <f t="shared" si="19"/>
        <v>6000</v>
      </c>
      <c r="N54" s="37">
        <f t="shared" si="19"/>
        <v>6000</v>
      </c>
      <c r="O54" s="37">
        <f t="shared" si="19"/>
        <v>6000</v>
      </c>
      <c r="P54" s="37">
        <f t="shared" si="19"/>
        <v>6000</v>
      </c>
      <c r="Q54" s="37">
        <f t="shared" ref="Q54:Q61" si="20">D54-SUM(F54:P54)</f>
        <v>6000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0</v>
      </c>
      <c r="E59" s="37" t="s">
        <v>525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777000</v>
      </c>
      <c r="E60" s="37" t="s">
        <v>195</v>
      </c>
      <c r="F60" s="37">
        <f>D60</f>
        <v>777000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3078000</v>
      </c>
      <c r="E62" s="37" t="s">
        <v>197</v>
      </c>
      <c r="F62" s="37"/>
      <c r="G62" s="37"/>
      <c r="H62" s="37"/>
      <c r="I62" s="37">
        <f>ROUND($D62/5,-3)</f>
        <v>616000</v>
      </c>
      <c r="J62" s="37"/>
      <c r="K62" s="37"/>
      <c r="L62" s="37"/>
      <c r="M62" s="37"/>
      <c r="N62" s="37">
        <f>D62-I62</f>
        <v>2462000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3167000</v>
      </c>
      <c r="E63" s="37" t="s">
        <v>195</v>
      </c>
      <c r="F63" s="37">
        <f>D63</f>
        <v>3167000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2759000</v>
      </c>
      <c r="E64" s="114" t="s">
        <v>202</v>
      </c>
      <c r="F64" s="37">
        <f>ROUND($D64/12*3,-3)</f>
        <v>690000</v>
      </c>
      <c r="G64" s="37">
        <f>ROUND($D64/12,-3)</f>
        <v>230000</v>
      </c>
      <c r="H64" s="37">
        <f t="shared" ref="H64:N66" si="21">ROUND($D64/12,-3)</f>
        <v>230000</v>
      </c>
      <c r="I64" s="37">
        <f t="shared" si="21"/>
        <v>230000</v>
      </c>
      <c r="J64" s="37">
        <f t="shared" si="21"/>
        <v>230000</v>
      </c>
      <c r="K64" s="37">
        <f t="shared" si="21"/>
        <v>230000</v>
      </c>
      <c r="L64" s="37">
        <f t="shared" si="21"/>
        <v>230000</v>
      </c>
      <c r="M64" s="37">
        <f t="shared" si="21"/>
        <v>230000</v>
      </c>
      <c r="N64" s="37">
        <f t="shared" si="21"/>
        <v>230000</v>
      </c>
      <c r="O64" s="37">
        <f>D64-SUM(F64:N64)</f>
        <v>229000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640000</v>
      </c>
      <c r="E65" s="114" t="s">
        <v>202</v>
      </c>
      <c r="F65" s="37">
        <f t="shared" ref="F65:F66" si="22">ROUND($D65/12*3,-3)</f>
        <v>160000</v>
      </c>
      <c r="G65" s="37">
        <f t="shared" ref="G65:G66" si="23">ROUND($D65/12,-3)</f>
        <v>53000</v>
      </c>
      <c r="H65" s="37">
        <f t="shared" si="21"/>
        <v>53000</v>
      </c>
      <c r="I65" s="37">
        <f t="shared" si="21"/>
        <v>53000</v>
      </c>
      <c r="J65" s="37">
        <f t="shared" si="21"/>
        <v>53000</v>
      </c>
      <c r="K65" s="37">
        <f t="shared" si="21"/>
        <v>53000</v>
      </c>
      <c r="L65" s="37">
        <f t="shared" si="21"/>
        <v>53000</v>
      </c>
      <c r="M65" s="37">
        <f t="shared" si="21"/>
        <v>53000</v>
      </c>
      <c r="N65" s="37">
        <f t="shared" si="21"/>
        <v>53000</v>
      </c>
      <c r="O65" s="37">
        <f t="shared" ref="O65:O66" si="24">D65-SUM(F65:N65)</f>
        <v>56000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1878000</v>
      </c>
      <c r="E66" s="114" t="s">
        <v>202</v>
      </c>
      <c r="F66" s="37">
        <f t="shared" si="22"/>
        <v>470000</v>
      </c>
      <c r="G66" s="37">
        <f t="shared" si="23"/>
        <v>157000</v>
      </c>
      <c r="H66" s="37">
        <f t="shared" si="21"/>
        <v>157000</v>
      </c>
      <c r="I66" s="37">
        <f t="shared" si="21"/>
        <v>157000</v>
      </c>
      <c r="J66" s="37">
        <f t="shared" si="21"/>
        <v>157000</v>
      </c>
      <c r="K66" s="37">
        <f t="shared" si="21"/>
        <v>157000</v>
      </c>
      <c r="L66" s="37">
        <f t="shared" si="21"/>
        <v>157000</v>
      </c>
      <c r="M66" s="37">
        <f t="shared" si="21"/>
        <v>157000</v>
      </c>
      <c r="N66" s="37">
        <f t="shared" si="21"/>
        <v>157000</v>
      </c>
      <c r="O66" s="37">
        <f t="shared" si="24"/>
        <v>152000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54000</v>
      </c>
      <c r="E67" s="37" t="s">
        <v>196</v>
      </c>
      <c r="F67" s="37"/>
      <c r="G67" s="37"/>
      <c r="H67" s="37">
        <f>D67</f>
        <v>54000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256000</v>
      </c>
      <c r="E68" s="37" t="s">
        <v>195</v>
      </c>
      <c r="F68" s="37">
        <f>D68</f>
        <v>256000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42117000</v>
      </c>
      <c r="E70" s="108"/>
      <c r="F70" s="108">
        <f t="shared" ref="F70:P70" si="25">ROUND(SUM(F49:F69),-3)</f>
        <v>12885000</v>
      </c>
      <c r="G70" s="108">
        <f t="shared" si="25"/>
        <v>2898000</v>
      </c>
      <c r="H70" s="108">
        <f t="shared" si="25"/>
        <v>2952000</v>
      </c>
      <c r="I70" s="108">
        <f t="shared" si="25"/>
        <v>3514000</v>
      </c>
      <c r="J70" s="108">
        <f t="shared" si="25"/>
        <v>2898000</v>
      </c>
      <c r="K70" s="108">
        <f t="shared" si="25"/>
        <v>2898000</v>
      </c>
      <c r="L70" s="108">
        <f t="shared" si="25"/>
        <v>2898000</v>
      </c>
      <c r="M70" s="108">
        <f t="shared" si="25"/>
        <v>2898000</v>
      </c>
      <c r="N70" s="108">
        <f t="shared" si="25"/>
        <v>5360000</v>
      </c>
      <c r="O70" s="108">
        <f t="shared" si="25"/>
        <v>2904000</v>
      </c>
      <c r="P70" s="108">
        <f t="shared" si="25"/>
        <v>6000</v>
      </c>
      <c r="Q70" s="108">
        <f>D70-SUM(F70:P70)</f>
        <v>6000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97000</v>
      </c>
      <c r="E71" s="37" t="s">
        <v>195</v>
      </c>
      <c r="F71" s="37">
        <f>D71</f>
        <v>97000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12387000</v>
      </c>
      <c r="E72" s="114" t="s">
        <v>202</v>
      </c>
      <c r="F72" s="37">
        <f>ROUND($D72/12*3,-3)</f>
        <v>3097000</v>
      </c>
      <c r="G72" s="37">
        <f>ROUND($D72/12,-3)</f>
        <v>1032000</v>
      </c>
      <c r="H72" s="37">
        <f t="shared" ref="H72:N75" si="26">ROUND($D72/12,-3)</f>
        <v>1032000</v>
      </c>
      <c r="I72" s="37">
        <f t="shared" si="26"/>
        <v>1032000</v>
      </c>
      <c r="J72" s="37">
        <f t="shared" si="26"/>
        <v>1032000</v>
      </c>
      <c r="K72" s="37">
        <f t="shared" si="26"/>
        <v>1032000</v>
      </c>
      <c r="L72" s="37">
        <f t="shared" si="26"/>
        <v>1032000</v>
      </c>
      <c r="M72" s="37">
        <f t="shared" si="26"/>
        <v>1032000</v>
      </c>
      <c r="N72" s="37">
        <f t="shared" si="26"/>
        <v>1032000</v>
      </c>
      <c r="O72" s="37">
        <f>D72-SUM(F72:N72)</f>
        <v>1034000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108000</v>
      </c>
      <c r="E74" s="114" t="s">
        <v>202</v>
      </c>
      <c r="F74" s="37">
        <f>ROUND($D74/12*3,-3)</f>
        <v>27000</v>
      </c>
      <c r="G74" s="37">
        <f>ROUND($D74/12,-3)</f>
        <v>9000</v>
      </c>
      <c r="H74" s="37">
        <f t="shared" si="26"/>
        <v>9000</v>
      </c>
      <c r="I74" s="37">
        <f t="shared" si="26"/>
        <v>9000</v>
      </c>
      <c r="J74" s="37">
        <f t="shared" si="26"/>
        <v>9000</v>
      </c>
      <c r="K74" s="37">
        <f t="shared" si="26"/>
        <v>9000</v>
      </c>
      <c r="L74" s="37">
        <f t="shared" si="26"/>
        <v>9000</v>
      </c>
      <c r="M74" s="37">
        <f t="shared" si="26"/>
        <v>9000</v>
      </c>
      <c r="N74" s="37">
        <f t="shared" si="26"/>
        <v>9000</v>
      </c>
      <c r="O74" s="37">
        <f>D74-SUM(F74:N74)</f>
        <v>9000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236000</v>
      </c>
      <c r="E75" s="114" t="s">
        <v>202</v>
      </c>
      <c r="F75" s="37">
        <f>ROUND($D75/12*3,-3)</f>
        <v>59000</v>
      </c>
      <c r="G75" s="37">
        <f>ROUND($D75/12,-3)</f>
        <v>20000</v>
      </c>
      <c r="H75" s="37">
        <f t="shared" si="26"/>
        <v>20000</v>
      </c>
      <c r="I75" s="37">
        <f t="shared" si="26"/>
        <v>20000</v>
      </c>
      <c r="J75" s="37">
        <f t="shared" si="26"/>
        <v>20000</v>
      </c>
      <c r="K75" s="37">
        <f t="shared" si="26"/>
        <v>20000</v>
      </c>
      <c r="L75" s="37">
        <f t="shared" si="26"/>
        <v>20000</v>
      </c>
      <c r="M75" s="37">
        <f t="shared" si="26"/>
        <v>20000</v>
      </c>
      <c r="N75" s="37">
        <f t="shared" si="26"/>
        <v>20000</v>
      </c>
      <c r="O75" s="37">
        <f>D75-SUM(F75:N75)</f>
        <v>17000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12828000</v>
      </c>
      <c r="E76" s="108"/>
      <c r="F76" s="108">
        <f>ROUND(SUM(F71:F75),-3)</f>
        <v>3280000</v>
      </c>
      <c r="G76" s="108">
        <f t="shared" ref="G76:N76" si="27">ROUND(SUM(G71:G75),-3)</f>
        <v>1061000</v>
      </c>
      <c r="H76" s="108">
        <f t="shared" si="27"/>
        <v>1061000</v>
      </c>
      <c r="I76" s="108">
        <f t="shared" si="27"/>
        <v>1061000</v>
      </c>
      <c r="J76" s="108">
        <f t="shared" si="27"/>
        <v>1061000</v>
      </c>
      <c r="K76" s="108">
        <f t="shared" si="27"/>
        <v>1061000</v>
      </c>
      <c r="L76" s="108">
        <f t="shared" si="27"/>
        <v>1061000</v>
      </c>
      <c r="M76" s="108">
        <f t="shared" si="27"/>
        <v>1061000</v>
      </c>
      <c r="N76" s="108">
        <f t="shared" si="27"/>
        <v>1061000</v>
      </c>
      <c r="O76" s="108">
        <f>D76-SUM(F76:N76)</f>
        <v>1060000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366000</v>
      </c>
      <c r="E77" s="37" t="s">
        <v>681</v>
      </c>
      <c r="F77" s="224"/>
      <c r="G77" s="224"/>
      <c r="H77" s="224">
        <f>ROUND($D77/2,-3)</f>
        <v>183000</v>
      </c>
      <c r="I77" s="224"/>
      <c r="J77" s="224"/>
      <c r="K77" s="224"/>
      <c r="L77" s="224"/>
      <c r="M77" s="224"/>
      <c r="N77" s="224">
        <f>D77-H77</f>
        <v>183000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55311000</v>
      </c>
      <c r="E78" s="227"/>
      <c r="F78" s="227">
        <f>F76+F70+F77</f>
        <v>16165000</v>
      </c>
      <c r="G78" s="227">
        <f t="shared" ref="G78:Q78" si="29">G76+G70+G77</f>
        <v>3959000</v>
      </c>
      <c r="H78" s="227">
        <f t="shared" si="29"/>
        <v>4196000</v>
      </c>
      <c r="I78" s="227">
        <f t="shared" si="29"/>
        <v>4575000</v>
      </c>
      <c r="J78" s="227">
        <f t="shared" si="29"/>
        <v>3959000</v>
      </c>
      <c r="K78" s="227">
        <f t="shared" si="29"/>
        <v>3959000</v>
      </c>
      <c r="L78" s="227">
        <f t="shared" si="29"/>
        <v>3959000</v>
      </c>
      <c r="M78" s="227">
        <f t="shared" si="29"/>
        <v>3959000</v>
      </c>
      <c r="N78" s="227">
        <f t="shared" si="29"/>
        <v>6604000</v>
      </c>
      <c r="O78" s="227">
        <f t="shared" si="29"/>
        <v>3964000</v>
      </c>
      <c r="P78" s="227">
        <f t="shared" si="29"/>
        <v>6000</v>
      </c>
      <c r="Q78" s="227">
        <f t="shared" si="29"/>
        <v>6000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56755000</v>
      </c>
      <c r="E87" s="37"/>
      <c r="F87" s="37">
        <f>F88+F89+F90+F91</f>
        <v>16364000</v>
      </c>
      <c r="G87" s="37">
        <f t="shared" ref="G87:Q87" si="32">G88+G89+G90+G91</f>
        <v>4062000</v>
      </c>
      <c r="H87" s="37">
        <f t="shared" si="32"/>
        <v>4299000</v>
      </c>
      <c r="I87" s="37">
        <f t="shared" si="32"/>
        <v>4678000</v>
      </c>
      <c r="J87" s="37">
        <f t="shared" si="32"/>
        <v>4062000</v>
      </c>
      <c r="K87" s="37">
        <f t="shared" si="32"/>
        <v>4076000</v>
      </c>
      <c r="L87" s="37">
        <f t="shared" si="32"/>
        <v>4144000</v>
      </c>
      <c r="M87" s="37">
        <f t="shared" si="32"/>
        <v>4062000</v>
      </c>
      <c r="N87" s="37">
        <f t="shared" si="32"/>
        <v>6721000</v>
      </c>
      <c r="O87" s="37">
        <f t="shared" si="32"/>
        <v>4067000</v>
      </c>
      <c r="P87" s="37">
        <f t="shared" si="32"/>
        <v>109000</v>
      </c>
      <c r="Q87" s="37">
        <f t="shared" si="32"/>
        <v>111000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100000</v>
      </c>
      <c r="E88" s="108" t="s">
        <v>193</v>
      </c>
      <c r="F88" s="108">
        <f>ROUND($D88/2,-3)</f>
        <v>50000</v>
      </c>
      <c r="G88" s="108"/>
      <c r="H88" s="108"/>
      <c r="I88" s="108"/>
      <c r="J88" s="108"/>
      <c r="K88" s="108"/>
      <c r="L88" s="108">
        <f>D88-F88</f>
        <v>50000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10000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5000</v>
      </c>
      <c r="M90" s="108"/>
      <c r="N90" s="108"/>
      <c r="O90" s="108"/>
      <c r="P90" s="108"/>
      <c r="Q90" s="108">
        <f>ROUND($D90/2,-3)</f>
        <v>5000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56645000</v>
      </c>
      <c r="E91" s="108"/>
      <c r="F91" s="108">
        <f>F92+F93+F94+F95</f>
        <v>16314000</v>
      </c>
      <c r="G91" s="108">
        <f t="shared" ref="G91:Q91" si="34">G92+G93+G94+G95</f>
        <v>4062000</v>
      </c>
      <c r="H91" s="108">
        <f t="shared" si="34"/>
        <v>4299000</v>
      </c>
      <c r="I91" s="108">
        <f t="shared" si="34"/>
        <v>4678000</v>
      </c>
      <c r="J91" s="108">
        <f t="shared" si="34"/>
        <v>4062000</v>
      </c>
      <c r="K91" s="108">
        <f t="shared" si="34"/>
        <v>4076000</v>
      </c>
      <c r="L91" s="108">
        <f t="shared" si="34"/>
        <v>4089000</v>
      </c>
      <c r="M91" s="108">
        <f t="shared" si="34"/>
        <v>4062000</v>
      </c>
      <c r="N91" s="108">
        <f t="shared" si="34"/>
        <v>6721000</v>
      </c>
      <c r="O91" s="108">
        <f t="shared" si="34"/>
        <v>4067000</v>
      </c>
      <c r="P91" s="108">
        <f t="shared" si="34"/>
        <v>109000</v>
      </c>
      <c r="Q91" s="108">
        <f t="shared" si="34"/>
        <v>106000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3291000</v>
      </c>
      <c r="E92" s="114" t="s">
        <v>537</v>
      </c>
      <c r="F92" s="37">
        <f>ROUND($D92/12*5,-3)</f>
        <v>1371000</v>
      </c>
      <c r="G92" s="37">
        <f>ROUND($D92/12,-3)</f>
        <v>274000</v>
      </c>
      <c r="H92" s="37">
        <f t="shared" ref="H92:L92" si="35">ROUND($D92/12,-3)</f>
        <v>274000</v>
      </c>
      <c r="I92" s="37">
        <f t="shared" si="35"/>
        <v>274000</v>
      </c>
      <c r="J92" s="37">
        <f t="shared" si="35"/>
        <v>274000</v>
      </c>
      <c r="K92" s="37">
        <f t="shared" si="35"/>
        <v>274000</v>
      </c>
      <c r="L92" s="37">
        <f t="shared" si="35"/>
        <v>274000</v>
      </c>
      <c r="M92" s="37">
        <f>D92-SUM(F92:L92)</f>
        <v>276000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193000</v>
      </c>
      <c r="E93" s="109" t="s">
        <v>227</v>
      </c>
      <c r="F93" s="37">
        <f>ROUND($D93/12,-3)</f>
        <v>16000</v>
      </c>
      <c r="G93" s="37">
        <f t="shared" ref="G93:P93" si="36">ROUND($D93/12,-3)</f>
        <v>16000</v>
      </c>
      <c r="H93" s="37">
        <f t="shared" si="36"/>
        <v>16000</v>
      </c>
      <c r="I93" s="37">
        <f t="shared" si="36"/>
        <v>16000</v>
      </c>
      <c r="J93" s="37">
        <f t="shared" si="36"/>
        <v>16000</v>
      </c>
      <c r="K93" s="37">
        <f t="shared" si="36"/>
        <v>16000</v>
      </c>
      <c r="L93" s="37">
        <f t="shared" si="36"/>
        <v>16000</v>
      </c>
      <c r="M93" s="37">
        <f t="shared" si="36"/>
        <v>16000</v>
      </c>
      <c r="N93" s="37">
        <f t="shared" si="36"/>
        <v>16000</v>
      </c>
      <c r="O93" s="37">
        <f t="shared" si="36"/>
        <v>16000</v>
      </c>
      <c r="P93" s="37">
        <f t="shared" si="36"/>
        <v>16000</v>
      </c>
      <c r="Q93" s="37">
        <f>D93-SUM(F93:P93)</f>
        <v>17000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364000</v>
      </c>
      <c r="E94" s="110" t="s">
        <v>229</v>
      </c>
      <c r="F94" s="37"/>
      <c r="G94" s="37"/>
      <c r="H94" s="37">
        <f>ROUND($D94/2,-3)</f>
        <v>182000</v>
      </c>
      <c r="I94" s="37"/>
      <c r="J94" s="37"/>
      <c r="K94" s="37"/>
      <c r="L94" s="37"/>
      <c r="M94" s="37"/>
      <c r="N94" s="37"/>
      <c r="O94" s="37">
        <f>D94-H94</f>
        <v>182000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52797000</v>
      </c>
      <c r="E95" s="37"/>
      <c r="F95" s="37">
        <f>F2+F86-F88-F89-F90-F92-F93-F94</f>
        <v>14927000</v>
      </c>
      <c r="G95" s="37">
        <f t="shared" ref="G95:Q95" si="37">G2-G88-G89-G90-G92-G93-G94</f>
        <v>3772000</v>
      </c>
      <c r="H95" s="37">
        <f t="shared" si="37"/>
        <v>3827000</v>
      </c>
      <c r="I95" s="37">
        <f t="shared" si="37"/>
        <v>4388000</v>
      </c>
      <c r="J95" s="37">
        <f t="shared" si="37"/>
        <v>3772000</v>
      </c>
      <c r="K95" s="37">
        <f t="shared" si="37"/>
        <v>3786000</v>
      </c>
      <c r="L95" s="37">
        <f t="shared" si="37"/>
        <v>3799000</v>
      </c>
      <c r="M95" s="37">
        <f t="shared" si="37"/>
        <v>3770000</v>
      </c>
      <c r="N95" s="37">
        <f t="shared" si="37"/>
        <v>6705000</v>
      </c>
      <c r="O95" s="37">
        <f t="shared" si="37"/>
        <v>3869000</v>
      </c>
      <c r="P95" s="37">
        <f t="shared" si="37"/>
        <v>93000</v>
      </c>
      <c r="Q95" s="37">
        <f t="shared" si="37"/>
        <v>89000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0</v>
      </c>
    </row>
    <row r="99" spans="2:17" ht="32.4">
      <c r="B99" s="72" t="s">
        <v>235</v>
      </c>
      <c r="D99" s="30">
        <f>HLOOKUP(D1,縣庫撥款收入明細表!H:DD,5,FALSE)</f>
        <v>2110000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1181000</v>
      </c>
    </row>
    <row r="102" spans="2:17" ht="32.4">
      <c r="B102" s="71" t="s">
        <v>238</v>
      </c>
      <c r="D102" s="30">
        <f>HLOOKUP(D1,縣庫撥款收入明細表!H:DD,16,FALSE)</f>
        <v>180000</v>
      </c>
    </row>
    <row r="103" spans="2:17" ht="32.4">
      <c r="B103" s="72" t="s">
        <v>239</v>
      </c>
      <c r="D103" s="30">
        <f>HLOOKUP(D1,縣庫撥款收入明細表!H:DD,17,FALSE)</f>
        <v>0</v>
      </c>
    </row>
    <row r="104" spans="2:17" ht="32.4">
      <c r="B104" s="76" t="s">
        <v>240</v>
      </c>
      <c r="D104" s="30">
        <f>HLOOKUP(D1,縣庫撥款收入明細表!H:DD,18,FALSE)</f>
        <v>364000</v>
      </c>
    </row>
    <row r="105" spans="2:17" ht="32.4">
      <c r="B105" s="72" t="s">
        <v>380</v>
      </c>
      <c r="D105" s="30">
        <f>HLOOKUP(D1,縣庫撥款收入明細表!H:DD,19,FALSE)</f>
        <v>0</v>
      </c>
    </row>
    <row r="106" spans="2:17" ht="32.4">
      <c r="B106" s="71" t="s">
        <v>241</v>
      </c>
      <c r="D106" s="30">
        <f>HLOOKUP(D1,縣庫撥款收入明細表!H:DD,20,FALSE)</f>
        <v>13000</v>
      </c>
    </row>
    <row r="107" spans="2:17" ht="32.4">
      <c r="B107" s="77" t="s">
        <v>242</v>
      </c>
      <c r="D107" s="30">
        <f>HLOOKUP(D1,縣庫撥款收入明細表!H:DD,21,FALSE)</f>
        <v>52797000</v>
      </c>
    </row>
    <row r="108" spans="2:17" ht="16.5" customHeight="1"/>
    <row r="109" spans="2:17" ht="16.5" customHeight="1">
      <c r="B109" s="4" t="s">
        <v>682</v>
      </c>
      <c r="D109" s="30">
        <f>D91-D76</f>
        <v>43817000</v>
      </c>
      <c r="F109" s="30">
        <f>F91-F76</f>
        <v>13034000</v>
      </c>
      <c r="G109" s="30">
        <f t="shared" ref="G109:Q109" si="38">G91-G76</f>
        <v>3001000</v>
      </c>
      <c r="H109" s="30">
        <f t="shared" si="38"/>
        <v>3238000</v>
      </c>
      <c r="I109" s="30">
        <f t="shared" si="38"/>
        <v>3617000</v>
      </c>
      <c r="J109" s="30">
        <f t="shared" si="38"/>
        <v>3001000</v>
      </c>
      <c r="K109" s="30">
        <f t="shared" si="38"/>
        <v>3015000</v>
      </c>
      <c r="L109" s="30">
        <f t="shared" si="38"/>
        <v>3028000</v>
      </c>
      <c r="M109" s="30">
        <f t="shared" si="38"/>
        <v>3001000</v>
      </c>
      <c r="N109" s="30">
        <f t="shared" si="38"/>
        <v>5660000</v>
      </c>
      <c r="O109" s="30">
        <f t="shared" si="38"/>
        <v>3007000</v>
      </c>
      <c r="P109" s="30">
        <f t="shared" si="38"/>
        <v>109000</v>
      </c>
      <c r="Q109" s="30">
        <f t="shared" si="38"/>
        <v>106000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58" priority="1" operator="less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topLeftCell="A64"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624</v>
      </c>
      <c r="D1" s="240" t="str">
        <f>VLOOKUP(C1,學校編號!A:B,2,FALSE)</f>
        <v>624太昌國小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68483000</v>
      </c>
      <c r="E2" s="37"/>
      <c r="F2" s="37">
        <f>F48+F70+F76+F77+F83</f>
        <v>19431000</v>
      </c>
      <c r="G2" s="37">
        <f t="shared" ref="G2:Q2" si="0">G48+G70+G76+G77+G83</f>
        <v>4924000</v>
      </c>
      <c r="H2" s="37">
        <f t="shared" si="0"/>
        <v>5163000</v>
      </c>
      <c r="I2" s="37">
        <f t="shared" si="0"/>
        <v>5725000</v>
      </c>
      <c r="J2" s="37">
        <f t="shared" si="0"/>
        <v>4924000</v>
      </c>
      <c r="K2" s="37">
        <f t="shared" si="0"/>
        <v>4930000</v>
      </c>
      <c r="L2" s="37">
        <f t="shared" si="0"/>
        <v>4992000</v>
      </c>
      <c r="M2" s="37">
        <f t="shared" si="0"/>
        <v>4924000</v>
      </c>
      <c r="N2" s="37">
        <f t="shared" si="0"/>
        <v>8314000</v>
      </c>
      <c r="O2" s="37">
        <f t="shared" si="0"/>
        <v>4935000</v>
      </c>
      <c r="P2" s="37">
        <f t="shared" si="0"/>
        <v>108000</v>
      </c>
      <c r="Q2" s="37">
        <f t="shared" si="0"/>
        <v>113000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283000</v>
      </c>
      <c r="E3" s="37" t="s">
        <v>525</v>
      </c>
      <c r="F3" s="37">
        <f t="shared" ref="F3:P17" si="1">ROUND($D3/12,0)</f>
        <v>23583</v>
      </c>
      <c r="G3" s="37">
        <f t="shared" si="1"/>
        <v>23583</v>
      </c>
      <c r="H3" s="37">
        <f t="shared" si="1"/>
        <v>23583</v>
      </c>
      <c r="I3" s="37">
        <f t="shared" si="1"/>
        <v>23583</v>
      </c>
      <c r="J3" s="37">
        <f t="shared" si="1"/>
        <v>23583</v>
      </c>
      <c r="K3" s="37">
        <f t="shared" si="1"/>
        <v>23583</v>
      </c>
      <c r="L3" s="37">
        <f t="shared" si="1"/>
        <v>23583</v>
      </c>
      <c r="M3" s="37">
        <f t="shared" si="1"/>
        <v>23583</v>
      </c>
      <c r="N3" s="37">
        <f t="shared" si="1"/>
        <v>23583</v>
      </c>
      <c r="O3" s="37">
        <f t="shared" si="1"/>
        <v>23583</v>
      </c>
      <c r="P3" s="37">
        <f t="shared" si="1"/>
        <v>23583</v>
      </c>
      <c r="Q3" s="37">
        <f t="shared" ref="Q3:Q10" si="2">D3-SUM(F3:P3)</f>
        <v>23587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122000</v>
      </c>
      <c r="E4" s="37" t="s">
        <v>525</v>
      </c>
      <c r="F4" s="37">
        <f t="shared" si="1"/>
        <v>10167</v>
      </c>
      <c r="G4" s="37">
        <f t="shared" si="1"/>
        <v>10167</v>
      </c>
      <c r="H4" s="37">
        <f t="shared" si="1"/>
        <v>10167</v>
      </c>
      <c r="I4" s="37">
        <f t="shared" si="1"/>
        <v>10167</v>
      </c>
      <c r="J4" s="37">
        <f t="shared" si="1"/>
        <v>10167</v>
      </c>
      <c r="K4" s="37">
        <f t="shared" si="1"/>
        <v>10167</v>
      </c>
      <c r="L4" s="37">
        <f t="shared" si="1"/>
        <v>10167</v>
      </c>
      <c r="M4" s="37">
        <f t="shared" si="1"/>
        <v>10167</v>
      </c>
      <c r="N4" s="37">
        <f t="shared" si="1"/>
        <v>10167</v>
      </c>
      <c r="O4" s="37">
        <f t="shared" si="1"/>
        <v>10167</v>
      </c>
      <c r="P4" s="37">
        <f t="shared" si="1"/>
        <v>10167</v>
      </c>
      <c r="Q4" s="37">
        <f t="shared" si="2"/>
        <v>10163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70000</v>
      </c>
      <c r="E7" s="37" t="s">
        <v>525</v>
      </c>
      <c r="F7" s="37">
        <f t="shared" si="1"/>
        <v>5833</v>
      </c>
      <c r="G7" s="37">
        <f t="shared" si="1"/>
        <v>5833</v>
      </c>
      <c r="H7" s="37">
        <f t="shared" si="1"/>
        <v>5833</v>
      </c>
      <c r="I7" s="37">
        <f t="shared" si="1"/>
        <v>5833</v>
      </c>
      <c r="J7" s="37">
        <f t="shared" si="1"/>
        <v>5833</v>
      </c>
      <c r="K7" s="37">
        <f t="shared" si="1"/>
        <v>5833</v>
      </c>
      <c r="L7" s="37">
        <f t="shared" si="1"/>
        <v>5833</v>
      </c>
      <c r="M7" s="37">
        <f t="shared" si="1"/>
        <v>5833</v>
      </c>
      <c r="N7" s="37">
        <f t="shared" si="1"/>
        <v>5833</v>
      </c>
      <c r="O7" s="37">
        <f t="shared" si="1"/>
        <v>5833</v>
      </c>
      <c r="P7" s="37">
        <f t="shared" si="1"/>
        <v>5833</v>
      </c>
      <c r="Q7" s="37">
        <f t="shared" si="2"/>
        <v>5837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60000</v>
      </c>
      <c r="E8" s="37" t="s">
        <v>525</v>
      </c>
      <c r="F8" s="37">
        <f t="shared" si="1"/>
        <v>5000</v>
      </c>
      <c r="G8" s="37">
        <f t="shared" si="1"/>
        <v>5000</v>
      </c>
      <c r="H8" s="37">
        <f t="shared" si="1"/>
        <v>5000</v>
      </c>
      <c r="I8" s="37">
        <f t="shared" si="1"/>
        <v>5000</v>
      </c>
      <c r="J8" s="37">
        <f t="shared" si="1"/>
        <v>5000</v>
      </c>
      <c r="K8" s="37">
        <f t="shared" si="1"/>
        <v>5000</v>
      </c>
      <c r="L8" s="37">
        <f t="shared" si="1"/>
        <v>5000</v>
      </c>
      <c r="M8" s="37">
        <f t="shared" si="1"/>
        <v>5000</v>
      </c>
      <c r="N8" s="37">
        <f t="shared" si="1"/>
        <v>5000</v>
      </c>
      <c r="O8" s="37">
        <f t="shared" si="1"/>
        <v>5000</v>
      </c>
      <c r="P8" s="37">
        <f t="shared" si="1"/>
        <v>5000</v>
      </c>
      <c r="Q8" s="37">
        <f t="shared" si="2"/>
        <v>5000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6000</v>
      </c>
      <c r="E9" s="37" t="s">
        <v>525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89000</v>
      </c>
      <c r="E13" s="37" t="s">
        <v>525</v>
      </c>
      <c r="F13" s="37">
        <f>ROUND($D13/12,0)</f>
        <v>7417</v>
      </c>
      <c r="G13" s="37">
        <f t="shared" si="1"/>
        <v>7417</v>
      </c>
      <c r="H13" s="37">
        <f t="shared" si="1"/>
        <v>7417</v>
      </c>
      <c r="I13" s="37">
        <f t="shared" si="1"/>
        <v>7417</v>
      </c>
      <c r="J13" s="37">
        <f t="shared" si="1"/>
        <v>7417</v>
      </c>
      <c r="K13" s="37">
        <f t="shared" si="1"/>
        <v>7417</v>
      </c>
      <c r="L13" s="37">
        <f t="shared" si="1"/>
        <v>7417</v>
      </c>
      <c r="M13" s="37">
        <f t="shared" si="1"/>
        <v>7417</v>
      </c>
      <c r="N13" s="37">
        <f t="shared" si="1"/>
        <v>7417</v>
      </c>
      <c r="O13" s="37">
        <f t="shared" si="1"/>
        <v>7417</v>
      </c>
      <c r="P13" s="37">
        <f t="shared" si="1"/>
        <v>7417</v>
      </c>
      <c r="Q13" s="37">
        <f>D13-SUM(F13:P13)</f>
        <v>7413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70000</v>
      </c>
      <c r="E15" s="37" t="s">
        <v>193</v>
      </c>
      <c r="F15" s="37">
        <f>ROUND($D15/2,-3)</f>
        <v>35000</v>
      </c>
      <c r="G15" s="37"/>
      <c r="H15" s="37"/>
      <c r="I15" s="37"/>
      <c r="J15" s="37"/>
      <c r="K15" s="37"/>
      <c r="L15" s="37">
        <f>D15-F15</f>
        <v>35000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75000</v>
      </c>
      <c r="E16" s="37" t="s">
        <v>525</v>
      </c>
      <c r="F16" s="37">
        <f>ROUND($D16/12,0)</f>
        <v>6250</v>
      </c>
      <c r="G16" s="37">
        <f t="shared" si="1"/>
        <v>6250</v>
      </c>
      <c r="H16" s="37">
        <f t="shared" si="1"/>
        <v>6250</v>
      </c>
      <c r="I16" s="37">
        <f t="shared" si="1"/>
        <v>6250</v>
      </c>
      <c r="J16" s="37">
        <f t="shared" si="1"/>
        <v>6250</v>
      </c>
      <c r="K16" s="37">
        <f t="shared" si="1"/>
        <v>6250</v>
      </c>
      <c r="L16" s="37">
        <f t="shared" si="1"/>
        <v>6250</v>
      </c>
      <c r="M16" s="37">
        <f t="shared" si="1"/>
        <v>6250</v>
      </c>
      <c r="N16" s="37">
        <f t="shared" si="1"/>
        <v>6250</v>
      </c>
      <c r="O16" s="37">
        <f t="shared" si="1"/>
        <v>6250</v>
      </c>
      <c r="P16" s="37">
        <f t="shared" si="1"/>
        <v>6250</v>
      </c>
      <c r="Q16" s="37">
        <f>D16-SUM(F16:P16)</f>
        <v>6250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54000</v>
      </c>
      <c r="E17" s="37" t="s">
        <v>525</v>
      </c>
      <c r="F17" s="37">
        <f>ROUND($D17/12,0)</f>
        <v>4500</v>
      </c>
      <c r="G17" s="37">
        <f t="shared" si="1"/>
        <v>4500</v>
      </c>
      <c r="H17" s="37">
        <f t="shared" si="1"/>
        <v>4500</v>
      </c>
      <c r="I17" s="37">
        <f t="shared" si="1"/>
        <v>4500</v>
      </c>
      <c r="J17" s="37">
        <f t="shared" si="1"/>
        <v>4500</v>
      </c>
      <c r="K17" s="37">
        <f t="shared" si="1"/>
        <v>4500</v>
      </c>
      <c r="L17" s="37">
        <f t="shared" si="1"/>
        <v>4500</v>
      </c>
      <c r="M17" s="37">
        <f t="shared" si="1"/>
        <v>4500</v>
      </c>
      <c r="N17" s="37">
        <f t="shared" si="1"/>
        <v>4500</v>
      </c>
      <c r="O17" s="37">
        <f t="shared" si="1"/>
        <v>4500</v>
      </c>
      <c r="P17" s="37">
        <f t="shared" si="1"/>
        <v>4500</v>
      </c>
      <c r="Q17" s="37">
        <f>D17-SUM(F17:P17)</f>
        <v>4500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36000</v>
      </c>
      <c r="E24" s="37" t="s">
        <v>193</v>
      </c>
      <c r="F24" s="37">
        <f>ROUND($D24/2,-3)</f>
        <v>18000</v>
      </c>
      <c r="G24" s="37"/>
      <c r="H24" s="37"/>
      <c r="I24" s="37"/>
      <c r="J24" s="37"/>
      <c r="K24" s="37"/>
      <c r="L24" s="37">
        <f>D24-F24</f>
        <v>18000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865000</v>
      </c>
      <c r="E25" s="108"/>
      <c r="F25" s="108">
        <f>ROUND(SUM(F3:F24),-3)</f>
        <v>116000</v>
      </c>
      <c r="G25" s="108">
        <f t="shared" ref="G25:P25" si="5">ROUND(SUM(G3:G24),-3)</f>
        <v>63000</v>
      </c>
      <c r="H25" s="108">
        <f t="shared" si="5"/>
        <v>63000</v>
      </c>
      <c r="I25" s="108">
        <f t="shared" si="5"/>
        <v>63000</v>
      </c>
      <c r="J25" s="108">
        <f t="shared" si="5"/>
        <v>63000</v>
      </c>
      <c r="K25" s="108">
        <f t="shared" si="5"/>
        <v>63000</v>
      </c>
      <c r="L25" s="108">
        <f t="shared" si="5"/>
        <v>116000</v>
      </c>
      <c r="M25" s="108">
        <f t="shared" si="5"/>
        <v>63000</v>
      </c>
      <c r="N25" s="108">
        <f t="shared" si="5"/>
        <v>63000</v>
      </c>
      <c r="O25" s="108">
        <f t="shared" si="5"/>
        <v>63000</v>
      </c>
      <c r="P25" s="108">
        <f t="shared" si="5"/>
        <v>63000</v>
      </c>
      <c r="Q25" s="108">
        <f t="shared" ref="Q25:Q33" si="6">D25-SUM(F25:P25)</f>
        <v>66000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309000</v>
      </c>
      <c r="E27" s="37" t="s">
        <v>525</v>
      </c>
      <c r="F27" s="37">
        <f t="shared" ref="F27:P33" si="8">ROUND($D27/12,0)</f>
        <v>25750</v>
      </c>
      <c r="G27" s="37">
        <f t="shared" si="8"/>
        <v>25750</v>
      </c>
      <c r="H27" s="37">
        <f t="shared" si="8"/>
        <v>25750</v>
      </c>
      <c r="I27" s="37">
        <f t="shared" si="8"/>
        <v>25750</v>
      </c>
      <c r="J27" s="37">
        <f t="shared" si="8"/>
        <v>25750</v>
      </c>
      <c r="K27" s="37">
        <f t="shared" si="8"/>
        <v>25750</v>
      </c>
      <c r="L27" s="37">
        <f t="shared" si="8"/>
        <v>25750</v>
      </c>
      <c r="M27" s="37">
        <f t="shared" si="8"/>
        <v>25750</v>
      </c>
      <c r="N27" s="37">
        <f t="shared" si="8"/>
        <v>25750</v>
      </c>
      <c r="O27" s="37">
        <f t="shared" si="8"/>
        <v>25750</v>
      </c>
      <c r="P27" s="37">
        <f t="shared" si="8"/>
        <v>25750</v>
      </c>
      <c r="Q27" s="37">
        <f t="shared" si="6"/>
        <v>25750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29000</v>
      </c>
      <c r="E29" s="37" t="s">
        <v>525</v>
      </c>
      <c r="F29" s="37">
        <f t="shared" si="8"/>
        <v>2417</v>
      </c>
      <c r="G29" s="37">
        <f t="shared" si="8"/>
        <v>2417</v>
      </c>
      <c r="H29" s="37">
        <f t="shared" si="8"/>
        <v>2417</v>
      </c>
      <c r="I29" s="37">
        <f t="shared" si="8"/>
        <v>2417</v>
      </c>
      <c r="J29" s="37">
        <f t="shared" si="8"/>
        <v>2417</v>
      </c>
      <c r="K29" s="37">
        <f t="shared" si="8"/>
        <v>2417</v>
      </c>
      <c r="L29" s="37">
        <f t="shared" si="8"/>
        <v>2417</v>
      </c>
      <c r="M29" s="37">
        <f t="shared" si="8"/>
        <v>2417</v>
      </c>
      <c r="N29" s="37">
        <f t="shared" si="8"/>
        <v>2417</v>
      </c>
      <c r="O29" s="37">
        <f t="shared" si="8"/>
        <v>2417</v>
      </c>
      <c r="P29" s="37">
        <f t="shared" si="8"/>
        <v>2417</v>
      </c>
      <c r="Q29" s="37">
        <f t="shared" si="6"/>
        <v>2413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59000</v>
      </c>
      <c r="E30" s="37" t="s">
        <v>525</v>
      </c>
      <c r="F30" s="37">
        <f t="shared" si="8"/>
        <v>4917</v>
      </c>
      <c r="G30" s="37">
        <f t="shared" si="8"/>
        <v>4917</v>
      </c>
      <c r="H30" s="37">
        <f t="shared" si="8"/>
        <v>4917</v>
      </c>
      <c r="I30" s="37">
        <f t="shared" si="8"/>
        <v>4917</v>
      </c>
      <c r="J30" s="37">
        <f t="shared" si="8"/>
        <v>4917</v>
      </c>
      <c r="K30" s="37">
        <f t="shared" si="8"/>
        <v>4917</v>
      </c>
      <c r="L30" s="37">
        <f t="shared" si="8"/>
        <v>4917</v>
      </c>
      <c r="M30" s="37">
        <f t="shared" si="8"/>
        <v>4917</v>
      </c>
      <c r="N30" s="37">
        <f t="shared" si="8"/>
        <v>4917</v>
      </c>
      <c r="O30" s="37">
        <f t="shared" si="8"/>
        <v>4917</v>
      </c>
      <c r="P30" s="37">
        <f t="shared" si="8"/>
        <v>4917</v>
      </c>
      <c r="Q30" s="37">
        <f t="shared" si="6"/>
        <v>4913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30000</v>
      </c>
      <c r="E31" s="37" t="s">
        <v>525</v>
      </c>
      <c r="F31" s="37">
        <f t="shared" si="8"/>
        <v>2500</v>
      </c>
      <c r="G31" s="37">
        <f t="shared" si="8"/>
        <v>2500</v>
      </c>
      <c r="H31" s="37">
        <f t="shared" si="8"/>
        <v>2500</v>
      </c>
      <c r="I31" s="37">
        <f t="shared" si="8"/>
        <v>2500</v>
      </c>
      <c r="J31" s="37">
        <f t="shared" si="8"/>
        <v>2500</v>
      </c>
      <c r="K31" s="37">
        <f t="shared" si="8"/>
        <v>2500</v>
      </c>
      <c r="L31" s="37">
        <f t="shared" si="8"/>
        <v>2500</v>
      </c>
      <c r="M31" s="37">
        <f t="shared" si="8"/>
        <v>2500</v>
      </c>
      <c r="N31" s="37">
        <f t="shared" si="8"/>
        <v>2500</v>
      </c>
      <c r="O31" s="37">
        <f t="shared" si="8"/>
        <v>2500</v>
      </c>
      <c r="P31" s="37">
        <f t="shared" si="8"/>
        <v>2500</v>
      </c>
      <c r="Q31" s="37">
        <f t="shared" si="6"/>
        <v>2500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24000</v>
      </c>
      <c r="E32" s="37" t="s">
        <v>525</v>
      </c>
      <c r="F32" s="37">
        <f t="shared" si="8"/>
        <v>2000</v>
      </c>
      <c r="G32" s="37">
        <f t="shared" si="8"/>
        <v>2000</v>
      </c>
      <c r="H32" s="37">
        <f t="shared" si="8"/>
        <v>2000</v>
      </c>
      <c r="I32" s="37">
        <f t="shared" si="8"/>
        <v>2000</v>
      </c>
      <c r="J32" s="37">
        <f t="shared" si="8"/>
        <v>2000</v>
      </c>
      <c r="K32" s="37">
        <f t="shared" si="8"/>
        <v>2000</v>
      </c>
      <c r="L32" s="37">
        <f t="shared" si="8"/>
        <v>2000</v>
      </c>
      <c r="M32" s="37">
        <f t="shared" si="8"/>
        <v>2000</v>
      </c>
      <c r="N32" s="37">
        <f t="shared" si="8"/>
        <v>2000</v>
      </c>
      <c r="O32" s="37">
        <f t="shared" si="8"/>
        <v>2000</v>
      </c>
      <c r="P32" s="37">
        <f t="shared" si="8"/>
        <v>2000</v>
      </c>
      <c r="Q32" s="37">
        <f t="shared" si="6"/>
        <v>2000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15000</v>
      </c>
      <c r="E33" s="37" t="s">
        <v>525</v>
      </c>
      <c r="F33" s="37">
        <f t="shared" si="8"/>
        <v>1250</v>
      </c>
      <c r="G33" s="37">
        <f t="shared" si="8"/>
        <v>1250</v>
      </c>
      <c r="H33" s="37">
        <f t="shared" si="8"/>
        <v>1250</v>
      </c>
      <c r="I33" s="37">
        <f t="shared" si="8"/>
        <v>1250</v>
      </c>
      <c r="J33" s="37">
        <f t="shared" si="8"/>
        <v>1250</v>
      </c>
      <c r="K33" s="37">
        <f t="shared" si="8"/>
        <v>1250</v>
      </c>
      <c r="L33" s="37">
        <f t="shared" si="8"/>
        <v>1250</v>
      </c>
      <c r="M33" s="37">
        <f t="shared" si="8"/>
        <v>1250</v>
      </c>
      <c r="N33" s="37">
        <f t="shared" si="8"/>
        <v>1250</v>
      </c>
      <c r="O33" s="37">
        <f t="shared" si="8"/>
        <v>1250</v>
      </c>
      <c r="P33" s="37">
        <f t="shared" si="8"/>
        <v>1250</v>
      </c>
      <c r="Q33" s="37">
        <f t="shared" si="6"/>
        <v>1250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30000</v>
      </c>
      <c r="E36" s="37" t="s">
        <v>193</v>
      </c>
      <c r="F36" s="37">
        <f>ROUND($D36/2,-3)</f>
        <v>15000</v>
      </c>
      <c r="G36" s="37"/>
      <c r="H36" s="37"/>
      <c r="I36" s="37"/>
      <c r="J36" s="37"/>
      <c r="K36" s="37"/>
      <c r="L36" s="37">
        <f>D36-F36</f>
        <v>15000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496000</v>
      </c>
      <c r="E37" s="108"/>
      <c r="F37" s="108">
        <f t="shared" ref="F37:P37" si="9">ROUND(SUM(F26:F36),-3)</f>
        <v>54000</v>
      </c>
      <c r="G37" s="108">
        <f t="shared" si="9"/>
        <v>39000</v>
      </c>
      <c r="H37" s="108">
        <f t="shared" si="9"/>
        <v>39000</v>
      </c>
      <c r="I37" s="108">
        <f t="shared" si="9"/>
        <v>39000</v>
      </c>
      <c r="J37" s="108">
        <f t="shared" si="9"/>
        <v>39000</v>
      </c>
      <c r="K37" s="108">
        <f t="shared" si="9"/>
        <v>39000</v>
      </c>
      <c r="L37" s="108">
        <f t="shared" si="9"/>
        <v>54000</v>
      </c>
      <c r="M37" s="108">
        <f t="shared" si="9"/>
        <v>39000</v>
      </c>
      <c r="N37" s="108">
        <f t="shared" si="9"/>
        <v>39000</v>
      </c>
      <c r="O37" s="108">
        <f t="shared" si="9"/>
        <v>39000</v>
      </c>
      <c r="P37" s="108">
        <f t="shared" si="9"/>
        <v>39000</v>
      </c>
      <c r="Q37" s="108">
        <f>D37-SUM(F37:P37)</f>
        <v>37000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18000</v>
      </c>
      <c r="E46" s="37" t="s">
        <v>194</v>
      </c>
      <c r="F46" s="37">
        <f>ROUND($D46/3,0)</f>
        <v>6000</v>
      </c>
      <c r="G46" s="37"/>
      <c r="H46" s="37"/>
      <c r="I46" s="37"/>
      <c r="J46" s="37"/>
      <c r="K46" s="37">
        <f>ROUND($D46/3,0)</f>
        <v>6000</v>
      </c>
      <c r="L46" s="37"/>
      <c r="M46" s="37"/>
      <c r="N46" s="37">
        <f>ROUND($D46/3,0)</f>
        <v>6000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18000</v>
      </c>
      <c r="E47" s="108"/>
      <c r="F47" s="108">
        <f t="shared" ref="F47:P47" si="13">ROUND(SUM(F46),-3)</f>
        <v>6000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6000</v>
      </c>
      <c r="L47" s="108">
        <f t="shared" si="13"/>
        <v>0</v>
      </c>
      <c r="M47" s="108">
        <f t="shared" si="13"/>
        <v>0</v>
      </c>
      <c r="N47" s="108">
        <f t="shared" si="13"/>
        <v>6000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1379000</v>
      </c>
      <c r="E48" s="37"/>
      <c r="F48" s="115">
        <f>F25+F37+F45+F47</f>
        <v>176000</v>
      </c>
      <c r="G48" s="115">
        <f t="shared" ref="G48:R48" si="14">G25+G37+G45+G47</f>
        <v>102000</v>
      </c>
      <c r="H48" s="115">
        <f t="shared" si="14"/>
        <v>102000</v>
      </c>
      <c r="I48" s="115">
        <f t="shared" si="14"/>
        <v>102000</v>
      </c>
      <c r="J48" s="115">
        <f t="shared" si="14"/>
        <v>102000</v>
      </c>
      <c r="K48" s="115">
        <f t="shared" si="14"/>
        <v>108000</v>
      </c>
      <c r="L48" s="115">
        <f t="shared" si="14"/>
        <v>170000</v>
      </c>
      <c r="M48" s="115">
        <f t="shared" si="14"/>
        <v>102000</v>
      </c>
      <c r="N48" s="115">
        <f t="shared" si="14"/>
        <v>108000</v>
      </c>
      <c r="O48" s="115">
        <f t="shared" si="14"/>
        <v>102000</v>
      </c>
      <c r="P48" s="115">
        <f t="shared" si="14"/>
        <v>102000</v>
      </c>
      <c r="Q48" s="115">
        <f t="shared" si="14"/>
        <v>103000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31559000</v>
      </c>
      <c r="E49" s="114" t="s">
        <v>202</v>
      </c>
      <c r="F49" s="37">
        <f>ROUND($D49/12*3,-3)</f>
        <v>7890000</v>
      </c>
      <c r="G49" s="37">
        <f>ROUND($D49/12,-3)</f>
        <v>2630000</v>
      </c>
      <c r="H49" s="37">
        <f t="shared" ref="H49:N53" si="15">ROUND($D49/12,-3)</f>
        <v>2630000</v>
      </c>
      <c r="I49" s="37">
        <f t="shared" si="15"/>
        <v>2630000</v>
      </c>
      <c r="J49" s="37">
        <f t="shared" si="15"/>
        <v>2630000</v>
      </c>
      <c r="K49" s="37">
        <f t="shared" si="15"/>
        <v>2630000</v>
      </c>
      <c r="L49" s="37">
        <f t="shared" si="15"/>
        <v>2630000</v>
      </c>
      <c r="M49" s="37">
        <f t="shared" si="15"/>
        <v>2630000</v>
      </c>
      <c r="N49" s="37">
        <f t="shared" si="15"/>
        <v>2630000</v>
      </c>
      <c r="O49" s="37">
        <f>D49-SUM(F49:N49)</f>
        <v>2629000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406000</v>
      </c>
      <c r="E50" s="114" t="s">
        <v>202</v>
      </c>
      <c r="F50" s="37">
        <f t="shared" ref="F50:F53" si="16">ROUND($D50/12*3,-3)</f>
        <v>102000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si="15"/>
        <v>34000</v>
      </c>
      <c r="N50" s="37">
        <f t="shared" si="15"/>
        <v>34000</v>
      </c>
      <c r="O50" s="37">
        <f t="shared" ref="O50:O53" si="18">D50-SUM(F50:N50)</f>
        <v>32000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1960000</v>
      </c>
      <c r="E51" s="114" t="s">
        <v>202</v>
      </c>
      <c r="F51" s="37">
        <f t="shared" si="16"/>
        <v>490000</v>
      </c>
      <c r="G51" s="37">
        <f t="shared" si="17"/>
        <v>163000</v>
      </c>
      <c r="H51" s="37">
        <f t="shared" si="15"/>
        <v>163000</v>
      </c>
      <c r="I51" s="37">
        <f t="shared" si="15"/>
        <v>163000</v>
      </c>
      <c r="J51" s="37">
        <f t="shared" si="15"/>
        <v>163000</v>
      </c>
      <c r="K51" s="37">
        <f t="shared" si="15"/>
        <v>163000</v>
      </c>
      <c r="L51" s="37">
        <f t="shared" si="15"/>
        <v>163000</v>
      </c>
      <c r="M51" s="37">
        <f t="shared" si="15"/>
        <v>163000</v>
      </c>
      <c r="N51" s="37">
        <f t="shared" si="15"/>
        <v>163000</v>
      </c>
      <c r="O51" s="37">
        <f t="shared" si="18"/>
        <v>166000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399000</v>
      </c>
      <c r="E52" s="114" t="s">
        <v>202</v>
      </c>
      <c r="F52" s="37">
        <f t="shared" si="16"/>
        <v>100000</v>
      </c>
      <c r="G52" s="37">
        <f t="shared" si="17"/>
        <v>33000</v>
      </c>
      <c r="H52" s="37">
        <f t="shared" si="15"/>
        <v>33000</v>
      </c>
      <c r="I52" s="37">
        <f t="shared" si="15"/>
        <v>33000</v>
      </c>
      <c r="J52" s="37">
        <f t="shared" si="15"/>
        <v>33000</v>
      </c>
      <c r="K52" s="37">
        <f t="shared" si="15"/>
        <v>33000</v>
      </c>
      <c r="L52" s="37">
        <f t="shared" si="15"/>
        <v>33000</v>
      </c>
      <c r="M52" s="37">
        <f t="shared" si="15"/>
        <v>33000</v>
      </c>
      <c r="N52" s="37">
        <f t="shared" si="15"/>
        <v>33000</v>
      </c>
      <c r="O52" s="37">
        <f t="shared" si="18"/>
        <v>35000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76000</v>
      </c>
      <c r="E54" s="37" t="s">
        <v>525</v>
      </c>
      <c r="F54" s="37">
        <f t="shared" ref="F54:P61" si="19">ROUND($D54/12,0)</f>
        <v>6333</v>
      </c>
      <c r="G54" s="37">
        <f t="shared" si="19"/>
        <v>6333</v>
      </c>
      <c r="H54" s="37">
        <f t="shared" si="19"/>
        <v>6333</v>
      </c>
      <c r="I54" s="37">
        <f t="shared" si="19"/>
        <v>6333</v>
      </c>
      <c r="J54" s="37">
        <f t="shared" si="19"/>
        <v>6333</v>
      </c>
      <c r="K54" s="37">
        <f t="shared" si="19"/>
        <v>6333</v>
      </c>
      <c r="L54" s="37">
        <f t="shared" si="19"/>
        <v>6333</v>
      </c>
      <c r="M54" s="37">
        <f t="shared" si="19"/>
        <v>6333</v>
      </c>
      <c r="N54" s="37">
        <f t="shared" si="19"/>
        <v>6333</v>
      </c>
      <c r="O54" s="37">
        <f t="shared" si="19"/>
        <v>6333</v>
      </c>
      <c r="P54" s="37">
        <f t="shared" si="19"/>
        <v>6333</v>
      </c>
      <c r="Q54" s="37">
        <f t="shared" ref="Q54:Q61" si="20">D54-SUM(F54:P54)</f>
        <v>6337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0</v>
      </c>
      <c r="E59" s="37" t="s">
        <v>525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666000</v>
      </c>
      <c r="E60" s="37" t="s">
        <v>195</v>
      </c>
      <c r="F60" s="37">
        <f>D60</f>
        <v>666000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4006000</v>
      </c>
      <c r="E62" s="37" t="s">
        <v>197</v>
      </c>
      <c r="F62" s="37"/>
      <c r="G62" s="37"/>
      <c r="H62" s="37"/>
      <c r="I62" s="37">
        <f>ROUND($D62/5,-3)</f>
        <v>801000</v>
      </c>
      <c r="J62" s="37"/>
      <c r="K62" s="37"/>
      <c r="L62" s="37"/>
      <c r="M62" s="37"/>
      <c r="N62" s="37">
        <f>D62-I62</f>
        <v>3205000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3900000</v>
      </c>
      <c r="E63" s="37" t="s">
        <v>195</v>
      </c>
      <c r="F63" s="37">
        <f>D63</f>
        <v>3900000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3351000</v>
      </c>
      <c r="E64" s="114" t="s">
        <v>202</v>
      </c>
      <c r="F64" s="37">
        <f>ROUND($D64/12*3,-3)</f>
        <v>838000</v>
      </c>
      <c r="G64" s="37">
        <f>ROUND($D64/12,-3)</f>
        <v>279000</v>
      </c>
      <c r="H64" s="37">
        <f t="shared" ref="H64:N66" si="21">ROUND($D64/12,-3)</f>
        <v>279000</v>
      </c>
      <c r="I64" s="37">
        <f t="shared" si="21"/>
        <v>279000</v>
      </c>
      <c r="J64" s="37">
        <f t="shared" si="21"/>
        <v>279000</v>
      </c>
      <c r="K64" s="37">
        <f t="shared" si="21"/>
        <v>279000</v>
      </c>
      <c r="L64" s="37">
        <f t="shared" si="21"/>
        <v>279000</v>
      </c>
      <c r="M64" s="37">
        <f t="shared" si="21"/>
        <v>279000</v>
      </c>
      <c r="N64" s="37">
        <f t="shared" si="21"/>
        <v>279000</v>
      </c>
      <c r="O64" s="37">
        <f>D64-SUM(F64:N64)</f>
        <v>281000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780000</v>
      </c>
      <c r="E65" s="114" t="s">
        <v>202</v>
      </c>
      <c r="F65" s="37">
        <f t="shared" ref="F65:F66" si="22">ROUND($D65/12*3,-3)</f>
        <v>195000</v>
      </c>
      <c r="G65" s="37">
        <f t="shared" ref="G65:G66" si="23">ROUND($D65/12,-3)</f>
        <v>65000</v>
      </c>
      <c r="H65" s="37">
        <f t="shared" si="21"/>
        <v>65000</v>
      </c>
      <c r="I65" s="37">
        <f t="shared" si="21"/>
        <v>65000</v>
      </c>
      <c r="J65" s="37">
        <f t="shared" si="21"/>
        <v>65000</v>
      </c>
      <c r="K65" s="37">
        <f t="shared" si="21"/>
        <v>65000</v>
      </c>
      <c r="L65" s="37">
        <f t="shared" si="21"/>
        <v>65000</v>
      </c>
      <c r="M65" s="37">
        <f t="shared" si="21"/>
        <v>65000</v>
      </c>
      <c r="N65" s="37">
        <f t="shared" si="21"/>
        <v>65000</v>
      </c>
      <c r="O65" s="37">
        <f t="shared" ref="O65:O66" si="24">D65-SUM(F65:N65)</f>
        <v>65000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2296000</v>
      </c>
      <c r="E66" s="114" t="s">
        <v>202</v>
      </c>
      <c r="F66" s="37">
        <f t="shared" si="22"/>
        <v>574000</v>
      </c>
      <c r="G66" s="37">
        <f t="shared" si="23"/>
        <v>191000</v>
      </c>
      <c r="H66" s="37">
        <f t="shared" si="21"/>
        <v>191000</v>
      </c>
      <c r="I66" s="37">
        <f t="shared" si="21"/>
        <v>191000</v>
      </c>
      <c r="J66" s="37">
        <f t="shared" si="21"/>
        <v>191000</v>
      </c>
      <c r="K66" s="37">
        <f t="shared" si="21"/>
        <v>191000</v>
      </c>
      <c r="L66" s="37">
        <f t="shared" si="21"/>
        <v>191000</v>
      </c>
      <c r="M66" s="37">
        <f t="shared" si="21"/>
        <v>191000</v>
      </c>
      <c r="N66" s="37">
        <f t="shared" si="21"/>
        <v>191000</v>
      </c>
      <c r="O66" s="37">
        <f t="shared" si="24"/>
        <v>194000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59000</v>
      </c>
      <c r="E67" s="37" t="s">
        <v>196</v>
      </c>
      <c r="F67" s="37"/>
      <c r="G67" s="37"/>
      <c r="H67" s="37">
        <f>D67</f>
        <v>59000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230000</v>
      </c>
      <c r="E68" s="37" t="s">
        <v>195</v>
      </c>
      <c r="F68" s="37">
        <f>D68</f>
        <v>230000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49688000</v>
      </c>
      <c r="E70" s="108"/>
      <c r="F70" s="108">
        <f t="shared" ref="F70:P70" si="25">ROUND(SUM(F49:F69),-3)</f>
        <v>14991000</v>
      </c>
      <c r="G70" s="108">
        <f t="shared" si="25"/>
        <v>3401000</v>
      </c>
      <c r="H70" s="108">
        <f t="shared" si="25"/>
        <v>3460000</v>
      </c>
      <c r="I70" s="108">
        <f t="shared" si="25"/>
        <v>4202000</v>
      </c>
      <c r="J70" s="108">
        <f t="shared" si="25"/>
        <v>3401000</v>
      </c>
      <c r="K70" s="108">
        <f t="shared" si="25"/>
        <v>3401000</v>
      </c>
      <c r="L70" s="108">
        <f t="shared" si="25"/>
        <v>3401000</v>
      </c>
      <c r="M70" s="108">
        <f t="shared" si="25"/>
        <v>3401000</v>
      </c>
      <c r="N70" s="108">
        <f t="shared" si="25"/>
        <v>6606000</v>
      </c>
      <c r="O70" s="108">
        <f t="shared" si="25"/>
        <v>3408000</v>
      </c>
      <c r="P70" s="108">
        <f t="shared" si="25"/>
        <v>6000</v>
      </c>
      <c r="Q70" s="108">
        <f>D70-SUM(F70:P70)</f>
        <v>10000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16308000</v>
      </c>
      <c r="E72" s="114" t="s">
        <v>202</v>
      </c>
      <c r="F72" s="37">
        <f>ROUND($D72/12*3,-3)</f>
        <v>4077000</v>
      </c>
      <c r="G72" s="37">
        <f>ROUND($D72/12,-3)</f>
        <v>1359000</v>
      </c>
      <c r="H72" s="37">
        <f t="shared" ref="H72:N75" si="26">ROUND($D72/12,-3)</f>
        <v>1359000</v>
      </c>
      <c r="I72" s="37">
        <f t="shared" si="26"/>
        <v>1359000</v>
      </c>
      <c r="J72" s="37">
        <f t="shared" si="26"/>
        <v>1359000</v>
      </c>
      <c r="K72" s="37">
        <f t="shared" si="26"/>
        <v>1359000</v>
      </c>
      <c r="L72" s="37">
        <f t="shared" si="26"/>
        <v>1359000</v>
      </c>
      <c r="M72" s="37">
        <f t="shared" si="26"/>
        <v>1359000</v>
      </c>
      <c r="N72" s="37">
        <f t="shared" si="26"/>
        <v>1359000</v>
      </c>
      <c r="O72" s="37">
        <f>D72-SUM(F72:N72)</f>
        <v>1359000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749000</v>
      </c>
      <c r="E75" s="114" t="s">
        <v>202</v>
      </c>
      <c r="F75" s="37">
        <f>ROUND($D75/12*3,-3)</f>
        <v>187000</v>
      </c>
      <c r="G75" s="37">
        <f>ROUND($D75/12,-3)</f>
        <v>62000</v>
      </c>
      <c r="H75" s="37">
        <f t="shared" si="26"/>
        <v>62000</v>
      </c>
      <c r="I75" s="37">
        <f t="shared" si="26"/>
        <v>62000</v>
      </c>
      <c r="J75" s="37">
        <f t="shared" si="26"/>
        <v>62000</v>
      </c>
      <c r="K75" s="37">
        <f t="shared" si="26"/>
        <v>62000</v>
      </c>
      <c r="L75" s="37">
        <f t="shared" si="26"/>
        <v>62000</v>
      </c>
      <c r="M75" s="37">
        <f t="shared" si="26"/>
        <v>62000</v>
      </c>
      <c r="N75" s="37">
        <f t="shared" si="26"/>
        <v>62000</v>
      </c>
      <c r="O75" s="37">
        <f>D75-SUM(F75:N75)</f>
        <v>66000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17057000</v>
      </c>
      <c r="E76" s="108"/>
      <c r="F76" s="108">
        <f>ROUND(SUM(F71:F75),-3)</f>
        <v>4264000</v>
      </c>
      <c r="G76" s="108">
        <f t="shared" ref="G76:N76" si="27">ROUND(SUM(G71:G75),-3)</f>
        <v>1421000</v>
      </c>
      <c r="H76" s="108">
        <f t="shared" si="27"/>
        <v>1421000</v>
      </c>
      <c r="I76" s="108">
        <f t="shared" si="27"/>
        <v>1421000</v>
      </c>
      <c r="J76" s="108">
        <f t="shared" si="27"/>
        <v>1421000</v>
      </c>
      <c r="K76" s="108">
        <f t="shared" si="27"/>
        <v>1421000</v>
      </c>
      <c r="L76" s="108">
        <f t="shared" si="27"/>
        <v>1421000</v>
      </c>
      <c r="M76" s="108">
        <f t="shared" si="27"/>
        <v>1421000</v>
      </c>
      <c r="N76" s="108">
        <f t="shared" si="27"/>
        <v>1421000</v>
      </c>
      <c r="O76" s="108">
        <f>D76-SUM(F76:N76)</f>
        <v>1425000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359000</v>
      </c>
      <c r="E77" s="37" t="s">
        <v>681</v>
      </c>
      <c r="F77" s="224"/>
      <c r="G77" s="224"/>
      <c r="H77" s="224">
        <f>ROUND($D77/2,-3)</f>
        <v>180000</v>
      </c>
      <c r="I77" s="224"/>
      <c r="J77" s="224"/>
      <c r="K77" s="224"/>
      <c r="L77" s="224"/>
      <c r="M77" s="224"/>
      <c r="N77" s="224">
        <f>D77-H77</f>
        <v>179000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67104000</v>
      </c>
      <c r="E78" s="227"/>
      <c r="F78" s="227">
        <f>F76+F70+F77</f>
        <v>19255000</v>
      </c>
      <c r="G78" s="227">
        <f t="shared" ref="G78:Q78" si="29">G76+G70+G77</f>
        <v>4822000</v>
      </c>
      <c r="H78" s="227">
        <f t="shared" si="29"/>
        <v>5061000</v>
      </c>
      <c r="I78" s="227">
        <f t="shared" si="29"/>
        <v>5623000</v>
      </c>
      <c r="J78" s="227">
        <f t="shared" si="29"/>
        <v>4822000</v>
      </c>
      <c r="K78" s="227">
        <f t="shared" si="29"/>
        <v>4822000</v>
      </c>
      <c r="L78" s="227">
        <f t="shared" si="29"/>
        <v>4822000</v>
      </c>
      <c r="M78" s="227">
        <f t="shared" si="29"/>
        <v>4822000</v>
      </c>
      <c r="N78" s="227">
        <f t="shared" si="29"/>
        <v>8206000</v>
      </c>
      <c r="O78" s="227">
        <f t="shared" si="29"/>
        <v>4833000</v>
      </c>
      <c r="P78" s="227">
        <f t="shared" si="29"/>
        <v>6000</v>
      </c>
      <c r="Q78" s="227">
        <f t="shared" si="29"/>
        <v>10000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68483000</v>
      </c>
      <c r="E87" s="37"/>
      <c r="F87" s="37">
        <f>F88+F89+F90+F91</f>
        <v>19431000</v>
      </c>
      <c r="G87" s="37">
        <f t="shared" ref="G87:Q87" si="32">G88+G89+G90+G91</f>
        <v>4924000</v>
      </c>
      <c r="H87" s="37">
        <f t="shared" si="32"/>
        <v>5163000</v>
      </c>
      <c r="I87" s="37">
        <f t="shared" si="32"/>
        <v>5725000</v>
      </c>
      <c r="J87" s="37">
        <f t="shared" si="32"/>
        <v>4924000</v>
      </c>
      <c r="K87" s="37">
        <f t="shared" si="32"/>
        <v>4930000</v>
      </c>
      <c r="L87" s="37">
        <f t="shared" si="32"/>
        <v>4992000</v>
      </c>
      <c r="M87" s="37">
        <f t="shared" si="32"/>
        <v>4924000</v>
      </c>
      <c r="N87" s="37">
        <f t="shared" si="32"/>
        <v>8314000</v>
      </c>
      <c r="O87" s="37">
        <f t="shared" si="32"/>
        <v>4935000</v>
      </c>
      <c r="P87" s="37">
        <f t="shared" si="32"/>
        <v>108000</v>
      </c>
      <c r="Q87" s="37">
        <f t="shared" si="32"/>
        <v>113000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66000</v>
      </c>
      <c r="E88" s="108" t="s">
        <v>193</v>
      </c>
      <c r="F88" s="108">
        <f>ROUND($D88/2,-3)</f>
        <v>33000</v>
      </c>
      <c r="G88" s="108"/>
      <c r="H88" s="108"/>
      <c r="I88" s="108"/>
      <c r="J88" s="108"/>
      <c r="K88" s="108"/>
      <c r="L88" s="108">
        <f>D88-F88</f>
        <v>33000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2000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1000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68415000</v>
      </c>
      <c r="E91" s="108"/>
      <c r="F91" s="108">
        <f>F92+F93+F94+F95</f>
        <v>19398000</v>
      </c>
      <c r="G91" s="108">
        <f t="shared" ref="G91:Q91" si="34">G92+G93+G94+G95</f>
        <v>4924000</v>
      </c>
      <c r="H91" s="108">
        <f t="shared" si="34"/>
        <v>5163000</v>
      </c>
      <c r="I91" s="108">
        <f t="shared" si="34"/>
        <v>5725000</v>
      </c>
      <c r="J91" s="108">
        <f t="shared" si="34"/>
        <v>4924000</v>
      </c>
      <c r="K91" s="108">
        <f t="shared" si="34"/>
        <v>4930000</v>
      </c>
      <c r="L91" s="108">
        <f t="shared" si="34"/>
        <v>4958000</v>
      </c>
      <c r="M91" s="108">
        <f t="shared" si="34"/>
        <v>4924000</v>
      </c>
      <c r="N91" s="108">
        <f t="shared" si="34"/>
        <v>8314000</v>
      </c>
      <c r="O91" s="108">
        <f t="shared" si="34"/>
        <v>4935000</v>
      </c>
      <c r="P91" s="108">
        <f t="shared" si="34"/>
        <v>108000</v>
      </c>
      <c r="Q91" s="108">
        <f t="shared" si="34"/>
        <v>112000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3409000</v>
      </c>
      <c r="E92" s="114" t="s">
        <v>537</v>
      </c>
      <c r="F92" s="37">
        <f>ROUND($D92/12*5,-3)</f>
        <v>1420000</v>
      </c>
      <c r="G92" s="37">
        <f>ROUND($D92/12,-3)</f>
        <v>284000</v>
      </c>
      <c r="H92" s="37">
        <f t="shared" ref="H92:L92" si="35">ROUND($D92/12,-3)</f>
        <v>284000</v>
      </c>
      <c r="I92" s="37">
        <f t="shared" si="35"/>
        <v>284000</v>
      </c>
      <c r="J92" s="37">
        <f t="shared" si="35"/>
        <v>284000</v>
      </c>
      <c r="K92" s="37">
        <f t="shared" si="35"/>
        <v>284000</v>
      </c>
      <c r="L92" s="37">
        <f t="shared" si="35"/>
        <v>284000</v>
      </c>
      <c r="M92" s="37">
        <f>D92-SUM(F92:L92)</f>
        <v>285000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254000</v>
      </c>
      <c r="E93" s="109" t="s">
        <v>227</v>
      </c>
      <c r="F93" s="37">
        <f>ROUND($D93/12,-3)</f>
        <v>21000</v>
      </c>
      <c r="G93" s="37">
        <f t="shared" ref="G93:P93" si="36">ROUND($D93/12,-3)</f>
        <v>21000</v>
      </c>
      <c r="H93" s="37">
        <f t="shared" si="36"/>
        <v>21000</v>
      </c>
      <c r="I93" s="37">
        <f t="shared" si="36"/>
        <v>21000</v>
      </c>
      <c r="J93" s="37">
        <f t="shared" si="36"/>
        <v>21000</v>
      </c>
      <c r="K93" s="37">
        <f t="shared" si="36"/>
        <v>21000</v>
      </c>
      <c r="L93" s="37">
        <f t="shared" si="36"/>
        <v>21000</v>
      </c>
      <c r="M93" s="37">
        <f t="shared" si="36"/>
        <v>21000</v>
      </c>
      <c r="N93" s="37">
        <f t="shared" si="36"/>
        <v>21000</v>
      </c>
      <c r="O93" s="37">
        <f t="shared" si="36"/>
        <v>21000</v>
      </c>
      <c r="P93" s="37">
        <f t="shared" si="36"/>
        <v>21000</v>
      </c>
      <c r="Q93" s="37">
        <f>D93-SUM(F93:P93)</f>
        <v>23000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308000</v>
      </c>
      <c r="E94" s="110" t="s">
        <v>229</v>
      </c>
      <c r="F94" s="37"/>
      <c r="G94" s="37"/>
      <c r="H94" s="37">
        <f>ROUND($D94/2,-3)</f>
        <v>154000</v>
      </c>
      <c r="I94" s="37"/>
      <c r="J94" s="37"/>
      <c r="K94" s="37"/>
      <c r="L94" s="37"/>
      <c r="M94" s="37"/>
      <c r="N94" s="37"/>
      <c r="O94" s="37">
        <f>D94-H94</f>
        <v>154000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64444000</v>
      </c>
      <c r="E95" s="37"/>
      <c r="F95" s="37">
        <f>F2+F86-F88-F89-F90-F92-F93-F94</f>
        <v>17957000</v>
      </c>
      <c r="G95" s="37">
        <f t="shared" ref="G95:Q95" si="37">G2-G88-G89-G90-G92-G93-G94</f>
        <v>4619000</v>
      </c>
      <c r="H95" s="37">
        <f t="shared" si="37"/>
        <v>4704000</v>
      </c>
      <c r="I95" s="37">
        <f t="shared" si="37"/>
        <v>5420000</v>
      </c>
      <c r="J95" s="37">
        <f t="shared" si="37"/>
        <v>4619000</v>
      </c>
      <c r="K95" s="37">
        <f t="shared" si="37"/>
        <v>4625000</v>
      </c>
      <c r="L95" s="37">
        <f t="shared" si="37"/>
        <v>4653000</v>
      </c>
      <c r="M95" s="37">
        <f t="shared" si="37"/>
        <v>4618000</v>
      </c>
      <c r="N95" s="37">
        <f t="shared" si="37"/>
        <v>8293000</v>
      </c>
      <c r="O95" s="37">
        <f t="shared" si="37"/>
        <v>4760000</v>
      </c>
      <c r="P95" s="37">
        <f t="shared" si="37"/>
        <v>87000</v>
      </c>
      <c r="Q95" s="37">
        <f t="shared" si="37"/>
        <v>89000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800000</v>
      </c>
    </row>
    <row r="99" spans="2:17" ht="32.4">
      <c r="B99" s="72" t="s">
        <v>235</v>
      </c>
      <c r="D99" s="30">
        <f>HLOOKUP(D1,縣庫撥款收入明細表!H:DD,5,FALSE)</f>
        <v>1450000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1159000</v>
      </c>
    </row>
    <row r="102" spans="2:17" ht="32.4">
      <c r="B102" s="71" t="s">
        <v>238</v>
      </c>
      <c r="D102" s="30">
        <f>HLOOKUP(D1,縣庫撥款收入明細表!H:DD,16,FALSE)</f>
        <v>240000</v>
      </c>
    </row>
    <row r="103" spans="2:17" ht="32.4">
      <c r="B103" s="72" t="s">
        <v>239</v>
      </c>
      <c r="D103" s="30">
        <f>HLOOKUP(D1,縣庫撥款收入明細表!H:DD,17,FALSE)</f>
        <v>0</v>
      </c>
    </row>
    <row r="104" spans="2:17" ht="32.4">
      <c r="B104" s="76" t="s">
        <v>240</v>
      </c>
      <c r="D104" s="30">
        <f>HLOOKUP(D1,縣庫撥款收入明細表!H:DD,18,FALSE)</f>
        <v>308000</v>
      </c>
    </row>
    <row r="105" spans="2:17" ht="32.4">
      <c r="B105" s="72" t="s">
        <v>380</v>
      </c>
      <c r="D105" s="30">
        <f>HLOOKUP(D1,縣庫撥款收入明細表!H:DD,19,FALSE)</f>
        <v>0</v>
      </c>
    </row>
    <row r="106" spans="2:17" ht="32.4">
      <c r="B106" s="71" t="s">
        <v>241</v>
      </c>
      <c r="D106" s="30">
        <f>HLOOKUP(D1,縣庫撥款收入明細表!H:DD,20,FALSE)</f>
        <v>14000</v>
      </c>
    </row>
    <row r="107" spans="2:17" ht="32.4">
      <c r="B107" s="77" t="s">
        <v>242</v>
      </c>
      <c r="D107" s="30">
        <f>HLOOKUP(D1,縣庫撥款收入明細表!H:DD,21,FALSE)</f>
        <v>64444000</v>
      </c>
    </row>
    <row r="108" spans="2:17" ht="16.5" customHeight="1"/>
    <row r="109" spans="2:17" ht="16.5" customHeight="1">
      <c r="B109" s="4" t="s">
        <v>682</v>
      </c>
      <c r="D109" s="30">
        <f>D91-D76</f>
        <v>51358000</v>
      </c>
      <c r="F109" s="30">
        <f>F91-F76</f>
        <v>15134000</v>
      </c>
      <c r="G109" s="30">
        <f t="shared" ref="G109:Q109" si="38">G91-G76</f>
        <v>3503000</v>
      </c>
      <c r="H109" s="30">
        <f t="shared" si="38"/>
        <v>3742000</v>
      </c>
      <c r="I109" s="30">
        <f t="shared" si="38"/>
        <v>4304000</v>
      </c>
      <c r="J109" s="30">
        <f t="shared" si="38"/>
        <v>3503000</v>
      </c>
      <c r="K109" s="30">
        <f t="shared" si="38"/>
        <v>3509000</v>
      </c>
      <c r="L109" s="30">
        <f t="shared" si="38"/>
        <v>3537000</v>
      </c>
      <c r="M109" s="30">
        <f t="shared" si="38"/>
        <v>3503000</v>
      </c>
      <c r="N109" s="30">
        <f t="shared" si="38"/>
        <v>6893000</v>
      </c>
      <c r="O109" s="30">
        <f t="shared" si="38"/>
        <v>3510000</v>
      </c>
      <c r="P109" s="30">
        <f t="shared" si="38"/>
        <v>108000</v>
      </c>
      <c r="Q109" s="30">
        <f t="shared" si="38"/>
        <v>112000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56" priority="1" operator="less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topLeftCell="A64"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625</v>
      </c>
      <c r="D1" s="240" t="str">
        <f>VLOOKUP(C1,學校編號!A:B,2,FALSE)</f>
        <v>625平和國小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25564000</v>
      </c>
      <c r="E2" s="37"/>
      <c r="F2" s="37">
        <f>F48+F70+F76+F77+F83</f>
        <v>7439000</v>
      </c>
      <c r="G2" s="37">
        <f t="shared" ref="G2:Q2" si="0">G48+G70+G76+G77+G83</f>
        <v>1792000</v>
      </c>
      <c r="H2" s="37">
        <f t="shared" si="0"/>
        <v>1840000</v>
      </c>
      <c r="I2" s="37">
        <f t="shared" si="0"/>
        <v>2150000</v>
      </c>
      <c r="J2" s="37">
        <f t="shared" si="0"/>
        <v>1798000</v>
      </c>
      <c r="K2" s="37">
        <f t="shared" si="0"/>
        <v>1798000</v>
      </c>
      <c r="L2" s="37">
        <f t="shared" si="0"/>
        <v>1814000</v>
      </c>
      <c r="M2" s="37">
        <f t="shared" si="0"/>
        <v>1798000</v>
      </c>
      <c r="N2" s="37">
        <f t="shared" si="0"/>
        <v>3201000</v>
      </c>
      <c r="O2" s="37">
        <f t="shared" si="0"/>
        <v>1795000</v>
      </c>
      <c r="P2" s="37">
        <f t="shared" si="0"/>
        <v>72000</v>
      </c>
      <c r="Q2" s="37">
        <f t="shared" si="0"/>
        <v>67000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120000</v>
      </c>
      <c r="E3" s="37" t="s">
        <v>525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51000</v>
      </c>
      <c r="E4" s="37" t="s">
        <v>525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63000</v>
      </c>
      <c r="E7" s="37" t="s">
        <v>525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25000</v>
      </c>
      <c r="E10" s="37" t="s">
        <v>525</v>
      </c>
      <c r="F10" s="37">
        <f t="shared" si="1"/>
        <v>2083</v>
      </c>
      <c r="G10" s="37">
        <f t="shared" si="1"/>
        <v>2083</v>
      </c>
      <c r="H10" s="37">
        <f t="shared" si="1"/>
        <v>2083</v>
      </c>
      <c r="I10" s="37">
        <f t="shared" si="1"/>
        <v>2083</v>
      </c>
      <c r="J10" s="37">
        <f t="shared" si="1"/>
        <v>2083</v>
      </c>
      <c r="K10" s="37">
        <f t="shared" si="1"/>
        <v>2083</v>
      </c>
      <c r="L10" s="37">
        <f t="shared" si="1"/>
        <v>2083</v>
      </c>
      <c r="M10" s="37">
        <f t="shared" si="1"/>
        <v>2083</v>
      </c>
      <c r="N10" s="37">
        <f t="shared" si="1"/>
        <v>2083</v>
      </c>
      <c r="O10" s="37">
        <f t="shared" si="1"/>
        <v>2083</v>
      </c>
      <c r="P10" s="37">
        <f t="shared" si="1"/>
        <v>2083</v>
      </c>
      <c r="Q10" s="37">
        <f t="shared" si="2"/>
        <v>2087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23000</v>
      </c>
      <c r="E11" s="37" t="s">
        <v>195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514000</v>
      </c>
      <c r="E12" s="113" t="s">
        <v>202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41000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34000</v>
      </c>
      <c r="E15" s="37" t="s">
        <v>193</v>
      </c>
      <c r="F15" s="37">
        <f>ROUND($D15/2,-3)</f>
        <v>17000</v>
      </c>
      <c r="G15" s="37"/>
      <c r="H15" s="37"/>
      <c r="I15" s="37"/>
      <c r="J15" s="37"/>
      <c r="K15" s="37"/>
      <c r="L15" s="37">
        <f>D15-F15</f>
        <v>17000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42000</v>
      </c>
      <c r="E17" s="37" t="s">
        <v>525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1036000</v>
      </c>
      <c r="E25" s="108"/>
      <c r="F25" s="108">
        <f>ROUND(SUM(F3:F24),-3)</f>
        <v>208000</v>
      </c>
      <c r="G25" s="108">
        <f t="shared" ref="G25:P25" si="5">ROUND(SUM(G3:G24),-3)</f>
        <v>82000</v>
      </c>
      <c r="H25" s="108">
        <f t="shared" si="5"/>
        <v>82000</v>
      </c>
      <c r="I25" s="108">
        <f t="shared" si="5"/>
        <v>82000</v>
      </c>
      <c r="J25" s="108">
        <f t="shared" si="5"/>
        <v>82000</v>
      </c>
      <c r="K25" s="108">
        <f t="shared" si="5"/>
        <v>82000</v>
      </c>
      <c r="L25" s="108">
        <f t="shared" si="5"/>
        <v>99000</v>
      </c>
      <c r="M25" s="108">
        <f t="shared" si="5"/>
        <v>82000</v>
      </c>
      <c r="N25" s="108">
        <f t="shared" si="5"/>
        <v>82000</v>
      </c>
      <c r="O25" s="108">
        <f t="shared" si="5"/>
        <v>80000</v>
      </c>
      <c r="P25" s="108">
        <f t="shared" si="5"/>
        <v>39000</v>
      </c>
      <c r="Q25" s="108">
        <f t="shared" ref="Q25:Q33" si="6">D25-SUM(F25:P25)</f>
        <v>36000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56000</v>
      </c>
      <c r="E26" s="114" t="s">
        <v>204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2000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241000</v>
      </c>
      <c r="E27" s="37" t="s">
        <v>525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18000</v>
      </c>
      <c r="E29" s="37" t="s">
        <v>525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11000</v>
      </c>
      <c r="E30" s="37" t="s">
        <v>525</v>
      </c>
      <c r="F30" s="37">
        <f t="shared" si="8"/>
        <v>917</v>
      </c>
      <c r="G30" s="37">
        <f t="shared" si="8"/>
        <v>917</v>
      </c>
      <c r="H30" s="37">
        <f t="shared" si="8"/>
        <v>917</v>
      </c>
      <c r="I30" s="37">
        <f t="shared" si="8"/>
        <v>917</v>
      </c>
      <c r="J30" s="37">
        <f t="shared" si="8"/>
        <v>917</v>
      </c>
      <c r="K30" s="37">
        <f t="shared" si="8"/>
        <v>917</v>
      </c>
      <c r="L30" s="37">
        <f t="shared" si="8"/>
        <v>917</v>
      </c>
      <c r="M30" s="37">
        <f t="shared" si="8"/>
        <v>917</v>
      </c>
      <c r="N30" s="37">
        <f t="shared" si="8"/>
        <v>917</v>
      </c>
      <c r="O30" s="37">
        <f t="shared" si="8"/>
        <v>917</v>
      </c>
      <c r="P30" s="37">
        <f t="shared" si="8"/>
        <v>917</v>
      </c>
      <c r="Q30" s="37">
        <f t="shared" si="6"/>
        <v>913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6000</v>
      </c>
      <c r="E31" s="37" t="s">
        <v>525</v>
      </c>
      <c r="F31" s="37">
        <f t="shared" si="8"/>
        <v>500</v>
      </c>
      <c r="G31" s="37">
        <f t="shared" si="8"/>
        <v>500</v>
      </c>
      <c r="H31" s="37">
        <f t="shared" si="8"/>
        <v>500</v>
      </c>
      <c r="I31" s="37">
        <f t="shared" si="8"/>
        <v>500</v>
      </c>
      <c r="J31" s="37">
        <f t="shared" si="8"/>
        <v>500</v>
      </c>
      <c r="K31" s="37">
        <f t="shared" si="8"/>
        <v>500</v>
      </c>
      <c r="L31" s="37">
        <f t="shared" si="8"/>
        <v>500</v>
      </c>
      <c r="M31" s="37">
        <f t="shared" si="8"/>
        <v>500</v>
      </c>
      <c r="N31" s="37">
        <f t="shared" si="8"/>
        <v>500</v>
      </c>
      <c r="O31" s="37">
        <f t="shared" si="8"/>
        <v>500</v>
      </c>
      <c r="P31" s="37">
        <f t="shared" si="8"/>
        <v>500</v>
      </c>
      <c r="Q31" s="37">
        <f t="shared" si="6"/>
        <v>500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332000</v>
      </c>
      <c r="E37" s="108"/>
      <c r="F37" s="108">
        <f t="shared" ref="F37:P37" si="9">ROUND(SUM(F26:F36),-3)</f>
        <v>29000</v>
      </c>
      <c r="G37" s="108">
        <f t="shared" si="9"/>
        <v>23000</v>
      </c>
      <c r="H37" s="108">
        <f t="shared" si="9"/>
        <v>29000</v>
      </c>
      <c r="I37" s="108">
        <f t="shared" si="9"/>
        <v>29000</v>
      </c>
      <c r="J37" s="108">
        <f t="shared" si="9"/>
        <v>29000</v>
      </c>
      <c r="K37" s="108">
        <f t="shared" si="9"/>
        <v>29000</v>
      </c>
      <c r="L37" s="108">
        <f t="shared" si="9"/>
        <v>23000</v>
      </c>
      <c r="M37" s="108">
        <f t="shared" si="9"/>
        <v>29000</v>
      </c>
      <c r="N37" s="108">
        <f t="shared" si="9"/>
        <v>29000</v>
      </c>
      <c r="O37" s="108">
        <f t="shared" si="9"/>
        <v>29000</v>
      </c>
      <c r="P37" s="108">
        <f t="shared" si="9"/>
        <v>29000</v>
      </c>
      <c r="Q37" s="108">
        <f>D37-SUM(F37:P37)</f>
        <v>25000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5000</v>
      </c>
      <c r="E42" s="37" t="s">
        <v>199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5000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11000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5000</v>
      </c>
      <c r="J45" s="108">
        <f t="shared" si="12"/>
        <v>0</v>
      </c>
      <c r="K45" s="108">
        <f t="shared" si="12"/>
        <v>0</v>
      </c>
      <c r="L45" s="108">
        <f t="shared" si="12"/>
        <v>5000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1379000</v>
      </c>
      <c r="E48" s="37"/>
      <c r="F48" s="115">
        <f>F25+F37+F45+F47</f>
        <v>238000</v>
      </c>
      <c r="G48" s="115">
        <f t="shared" ref="G48:R48" si="14">G25+G37+G45+G47</f>
        <v>105000</v>
      </c>
      <c r="H48" s="115">
        <f t="shared" si="14"/>
        <v>111000</v>
      </c>
      <c r="I48" s="115">
        <f t="shared" si="14"/>
        <v>116000</v>
      </c>
      <c r="J48" s="115">
        <f t="shared" si="14"/>
        <v>111000</v>
      </c>
      <c r="K48" s="115">
        <f t="shared" si="14"/>
        <v>111000</v>
      </c>
      <c r="L48" s="115">
        <f t="shared" si="14"/>
        <v>127000</v>
      </c>
      <c r="M48" s="115">
        <f t="shared" si="14"/>
        <v>111000</v>
      </c>
      <c r="N48" s="115">
        <f t="shared" si="14"/>
        <v>111000</v>
      </c>
      <c r="O48" s="115">
        <f t="shared" si="14"/>
        <v>109000</v>
      </c>
      <c r="P48" s="115">
        <f t="shared" si="14"/>
        <v>68000</v>
      </c>
      <c r="Q48" s="115">
        <f t="shared" si="14"/>
        <v>61000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13046000</v>
      </c>
      <c r="E49" s="114" t="s">
        <v>202</v>
      </c>
      <c r="F49" s="37">
        <f>ROUND($D49/12*3,-3)</f>
        <v>3262000</v>
      </c>
      <c r="G49" s="37">
        <f>ROUND($D49/12,-3)</f>
        <v>1087000</v>
      </c>
      <c r="H49" s="37">
        <f t="shared" ref="H49:N53" si="15">ROUND($D49/12,-3)</f>
        <v>1087000</v>
      </c>
      <c r="I49" s="37">
        <f t="shared" si="15"/>
        <v>1087000</v>
      </c>
      <c r="J49" s="37">
        <f t="shared" si="15"/>
        <v>1087000</v>
      </c>
      <c r="K49" s="37">
        <f t="shared" si="15"/>
        <v>1087000</v>
      </c>
      <c r="L49" s="37">
        <f t="shared" si="15"/>
        <v>1087000</v>
      </c>
      <c r="M49" s="37">
        <f t="shared" si="15"/>
        <v>1087000</v>
      </c>
      <c r="N49" s="37">
        <f t="shared" si="15"/>
        <v>1087000</v>
      </c>
      <c r="O49" s="37">
        <f>D49-SUM(F49:N49)</f>
        <v>1088000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812000</v>
      </c>
      <c r="E50" s="114" t="s">
        <v>202</v>
      </c>
      <c r="F50" s="37">
        <f t="shared" ref="F50:F53" si="16">ROUND($D50/12*3,-3)</f>
        <v>203000</v>
      </c>
      <c r="G50" s="37">
        <f t="shared" ref="G50:G53" si="17">ROUND($D50/12,-3)</f>
        <v>68000</v>
      </c>
      <c r="H50" s="37">
        <f t="shared" si="15"/>
        <v>68000</v>
      </c>
      <c r="I50" s="37">
        <f t="shared" si="15"/>
        <v>68000</v>
      </c>
      <c r="J50" s="37">
        <f t="shared" si="15"/>
        <v>68000</v>
      </c>
      <c r="K50" s="37">
        <f t="shared" si="15"/>
        <v>68000</v>
      </c>
      <c r="L50" s="37">
        <f t="shared" si="15"/>
        <v>68000</v>
      </c>
      <c r="M50" s="37">
        <f t="shared" si="15"/>
        <v>68000</v>
      </c>
      <c r="N50" s="37">
        <f t="shared" si="15"/>
        <v>68000</v>
      </c>
      <c r="O50" s="37">
        <f t="shared" ref="O50:O53" si="18">D50-SUM(F50:N50)</f>
        <v>65000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0</v>
      </c>
      <c r="E51" s="114" t="s">
        <v>202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5"/>
        <v>0</v>
      </c>
      <c r="N51" s="37">
        <f t="shared" si="15"/>
        <v>0</v>
      </c>
      <c r="O51" s="37">
        <f t="shared" si="18"/>
        <v>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0</v>
      </c>
      <c r="E52" s="114" t="s">
        <v>202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5"/>
        <v>0</v>
      </c>
      <c r="N52" s="37">
        <f t="shared" si="15"/>
        <v>0</v>
      </c>
      <c r="O52" s="37">
        <f t="shared" si="18"/>
        <v>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26000</v>
      </c>
      <c r="E54" s="37" t="s">
        <v>525</v>
      </c>
      <c r="F54" s="37">
        <f t="shared" ref="F54:P61" si="19">ROUND($D54/12,0)</f>
        <v>2167</v>
      </c>
      <c r="G54" s="37">
        <f t="shared" si="19"/>
        <v>2167</v>
      </c>
      <c r="H54" s="37">
        <f t="shared" si="19"/>
        <v>2167</v>
      </c>
      <c r="I54" s="37">
        <f t="shared" si="19"/>
        <v>2167</v>
      </c>
      <c r="J54" s="37">
        <f t="shared" si="19"/>
        <v>2167</v>
      </c>
      <c r="K54" s="37">
        <f t="shared" si="19"/>
        <v>2167</v>
      </c>
      <c r="L54" s="37">
        <f t="shared" si="19"/>
        <v>2167</v>
      </c>
      <c r="M54" s="37">
        <f t="shared" si="19"/>
        <v>2167</v>
      </c>
      <c r="N54" s="37">
        <f t="shared" si="19"/>
        <v>2167</v>
      </c>
      <c r="O54" s="37">
        <f t="shared" si="19"/>
        <v>2167</v>
      </c>
      <c r="P54" s="37">
        <f t="shared" si="19"/>
        <v>2167</v>
      </c>
      <c r="Q54" s="37">
        <f t="shared" ref="Q54:Q61" si="20">D54-SUM(F54:P54)</f>
        <v>2163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301000</v>
      </c>
      <c r="E60" s="37" t="s">
        <v>195</v>
      </c>
      <c r="F60" s="37">
        <f>D60</f>
        <v>301000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1736000</v>
      </c>
      <c r="E62" s="37" t="s">
        <v>197</v>
      </c>
      <c r="F62" s="37"/>
      <c r="G62" s="37"/>
      <c r="H62" s="37"/>
      <c r="I62" s="37">
        <f>ROUND($D62/5,-3)</f>
        <v>347000</v>
      </c>
      <c r="J62" s="37"/>
      <c r="K62" s="37"/>
      <c r="L62" s="37"/>
      <c r="M62" s="37"/>
      <c r="N62" s="37">
        <f>D62-I62</f>
        <v>1389000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1701000</v>
      </c>
      <c r="E63" s="37" t="s">
        <v>195</v>
      </c>
      <c r="F63" s="37">
        <f>D63</f>
        <v>1701000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1439000</v>
      </c>
      <c r="E64" s="114" t="s">
        <v>202</v>
      </c>
      <c r="F64" s="37">
        <f>ROUND($D64/12*3,-3)</f>
        <v>360000</v>
      </c>
      <c r="G64" s="37">
        <f>ROUND($D64/12,-3)</f>
        <v>120000</v>
      </c>
      <c r="H64" s="37">
        <f t="shared" ref="H64:N66" si="21">ROUND($D64/12,-3)</f>
        <v>120000</v>
      </c>
      <c r="I64" s="37">
        <f t="shared" si="21"/>
        <v>120000</v>
      </c>
      <c r="J64" s="37">
        <f t="shared" si="21"/>
        <v>120000</v>
      </c>
      <c r="K64" s="37">
        <f t="shared" si="21"/>
        <v>120000</v>
      </c>
      <c r="L64" s="37">
        <f t="shared" si="21"/>
        <v>120000</v>
      </c>
      <c r="M64" s="37">
        <f t="shared" si="21"/>
        <v>120000</v>
      </c>
      <c r="N64" s="37">
        <f t="shared" si="21"/>
        <v>120000</v>
      </c>
      <c r="O64" s="37">
        <f>D64-SUM(F64:N64)</f>
        <v>119000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350000</v>
      </c>
      <c r="E65" s="114" t="s">
        <v>202</v>
      </c>
      <c r="F65" s="37">
        <f t="shared" ref="F65:F66" si="22">ROUND($D65/12*3,-3)</f>
        <v>88000</v>
      </c>
      <c r="G65" s="37">
        <f t="shared" ref="G65:G66" si="23">ROUND($D65/12,-3)</f>
        <v>29000</v>
      </c>
      <c r="H65" s="37">
        <f t="shared" si="21"/>
        <v>29000</v>
      </c>
      <c r="I65" s="37">
        <f t="shared" si="21"/>
        <v>29000</v>
      </c>
      <c r="J65" s="37">
        <f t="shared" si="21"/>
        <v>29000</v>
      </c>
      <c r="K65" s="37">
        <f t="shared" si="21"/>
        <v>29000</v>
      </c>
      <c r="L65" s="37">
        <f t="shared" si="21"/>
        <v>29000</v>
      </c>
      <c r="M65" s="37">
        <f t="shared" si="21"/>
        <v>29000</v>
      </c>
      <c r="N65" s="37">
        <f t="shared" si="21"/>
        <v>29000</v>
      </c>
      <c r="O65" s="37">
        <f t="shared" ref="O65:O66" si="24">D65-SUM(F65:N65)</f>
        <v>30000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961000</v>
      </c>
      <c r="E66" s="114" t="s">
        <v>202</v>
      </c>
      <c r="F66" s="37">
        <f t="shared" si="22"/>
        <v>240000</v>
      </c>
      <c r="G66" s="37">
        <f t="shared" si="23"/>
        <v>80000</v>
      </c>
      <c r="H66" s="37">
        <f t="shared" si="21"/>
        <v>80000</v>
      </c>
      <c r="I66" s="37">
        <f t="shared" si="21"/>
        <v>80000</v>
      </c>
      <c r="J66" s="37">
        <f t="shared" si="21"/>
        <v>80000</v>
      </c>
      <c r="K66" s="37">
        <f t="shared" si="21"/>
        <v>80000</v>
      </c>
      <c r="L66" s="37">
        <f t="shared" si="21"/>
        <v>80000</v>
      </c>
      <c r="M66" s="37">
        <f t="shared" si="21"/>
        <v>80000</v>
      </c>
      <c r="N66" s="37">
        <f t="shared" si="21"/>
        <v>80000</v>
      </c>
      <c r="O66" s="37">
        <f t="shared" si="24"/>
        <v>81000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27000</v>
      </c>
      <c r="E67" s="37" t="s">
        <v>196</v>
      </c>
      <c r="F67" s="37"/>
      <c r="G67" s="37"/>
      <c r="H67" s="37">
        <f>D67</f>
        <v>27000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144000</v>
      </c>
      <c r="E68" s="37" t="s">
        <v>195</v>
      </c>
      <c r="F68" s="37">
        <f>D68</f>
        <v>144000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20567000</v>
      </c>
      <c r="E70" s="108"/>
      <c r="F70" s="108">
        <f t="shared" ref="F70:P70" si="25">ROUND(SUM(F49:F69),-3)</f>
        <v>6303000</v>
      </c>
      <c r="G70" s="108">
        <f t="shared" si="25"/>
        <v>1388000</v>
      </c>
      <c r="H70" s="108">
        <f t="shared" si="25"/>
        <v>1415000</v>
      </c>
      <c r="I70" s="108">
        <f t="shared" si="25"/>
        <v>1735000</v>
      </c>
      <c r="J70" s="108">
        <f t="shared" si="25"/>
        <v>1388000</v>
      </c>
      <c r="K70" s="108">
        <f t="shared" si="25"/>
        <v>1388000</v>
      </c>
      <c r="L70" s="108">
        <f t="shared" si="25"/>
        <v>1388000</v>
      </c>
      <c r="M70" s="108">
        <f t="shared" si="25"/>
        <v>1388000</v>
      </c>
      <c r="N70" s="108">
        <f t="shared" si="25"/>
        <v>2777000</v>
      </c>
      <c r="O70" s="108">
        <f t="shared" si="25"/>
        <v>1387000</v>
      </c>
      <c r="P70" s="108">
        <f t="shared" si="25"/>
        <v>4000</v>
      </c>
      <c r="Q70" s="108">
        <f>D70-SUM(F70:P70)</f>
        <v>6000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3011000</v>
      </c>
      <c r="E72" s="114" t="s">
        <v>202</v>
      </c>
      <c r="F72" s="37">
        <f>ROUND($D72/12*3,-3)</f>
        <v>753000</v>
      </c>
      <c r="G72" s="37">
        <f>ROUND($D72/12,-3)</f>
        <v>251000</v>
      </c>
      <c r="H72" s="37">
        <f t="shared" ref="H72:N75" si="26">ROUND($D72/12,-3)</f>
        <v>251000</v>
      </c>
      <c r="I72" s="37">
        <f t="shared" si="26"/>
        <v>251000</v>
      </c>
      <c r="J72" s="37">
        <f t="shared" si="26"/>
        <v>251000</v>
      </c>
      <c r="K72" s="37">
        <f t="shared" si="26"/>
        <v>251000</v>
      </c>
      <c r="L72" s="37">
        <f t="shared" si="26"/>
        <v>251000</v>
      </c>
      <c r="M72" s="37">
        <f t="shared" si="26"/>
        <v>251000</v>
      </c>
      <c r="N72" s="37">
        <f t="shared" si="26"/>
        <v>251000</v>
      </c>
      <c r="O72" s="37">
        <f>D72-SUM(F72:N72)</f>
        <v>250000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172000</v>
      </c>
      <c r="E73" s="114" t="s">
        <v>202</v>
      </c>
      <c r="F73" s="37">
        <f>ROUND($D73/12*3,-3)</f>
        <v>43000</v>
      </c>
      <c r="G73" s="37">
        <f>ROUND($D73/12,-3)</f>
        <v>14000</v>
      </c>
      <c r="H73" s="37">
        <f t="shared" si="26"/>
        <v>14000</v>
      </c>
      <c r="I73" s="37">
        <f t="shared" si="26"/>
        <v>14000</v>
      </c>
      <c r="J73" s="37">
        <f t="shared" si="26"/>
        <v>14000</v>
      </c>
      <c r="K73" s="37">
        <f t="shared" si="26"/>
        <v>14000</v>
      </c>
      <c r="L73" s="37">
        <f t="shared" si="26"/>
        <v>14000</v>
      </c>
      <c r="M73" s="37">
        <f t="shared" si="26"/>
        <v>14000</v>
      </c>
      <c r="N73" s="37">
        <f t="shared" si="26"/>
        <v>14000</v>
      </c>
      <c r="O73" s="37">
        <f>D73-SUM(F73:N73)</f>
        <v>17000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406000</v>
      </c>
      <c r="E75" s="114" t="s">
        <v>202</v>
      </c>
      <c r="F75" s="37">
        <f>ROUND($D75/12*3,-3)</f>
        <v>102000</v>
      </c>
      <c r="G75" s="37">
        <f>ROUND($D75/12,-3)</f>
        <v>34000</v>
      </c>
      <c r="H75" s="37">
        <f t="shared" si="26"/>
        <v>34000</v>
      </c>
      <c r="I75" s="37">
        <f t="shared" si="26"/>
        <v>34000</v>
      </c>
      <c r="J75" s="37">
        <f t="shared" si="26"/>
        <v>34000</v>
      </c>
      <c r="K75" s="37">
        <f t="shared" si="26"/>
        <v>34000</v>
      </c>
      <c r="L75" s="37">
        <f t="shared" si="26"/>
        <v>34000</v>
      </c>
      <c r="M75" s="37">
        <f t="shared" si="26"/>
        <v>34000</v>
      </c>
      <c r="N75" s="37">
        <f t="shared" si="26"/>
        <v>34000</v>
      </c>
      <c r="O75" s="37">
        <f>D75-SUM(F75:N75)</f>
        <v>32000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3589000</v>
      </c>
      <c r="E76" s="108"/>
      <c r="F76" s="108">
        <f>ROUND(SUM(F71:F75),-3)</f>
        <v>898000</v>
      </c>
      <c r="G76" s="108">
        <f t="shared" ref="G76:N76" si="27">ROUND(SUM(G71:G75),-3)</f>
        <v>299000</v>
      </c>
      <c r="H76" s="108">
        <f t="shared" si="27"/>
        <v>299000</v>
      </c>
      <c r="I76" s="108">
        <f t="shared" si="27"/>
        <v>299000</v>
      </c>
      <c r="J76" s="108">
        <f t="shared" si="27"/>
        <v>299000</v>
      </c>
      <c r="K76" s="108">
        <f t="shared" si="27"/>
        <v>299000</v>
      </c>
      <c r="L76" s="108">
        <f t="shared" si="27"/>
        <v>299000</v>
      </c>
      <c r="M76" s="108">
        <f t="shared" si="27"/>
        <v>299000</v>
      </c>
      <c r="N76" s="108">
        <f t="shared" si="27"/>
        <v>299000</v>
      </c>
      <c r="O76" s="108">
        <f>D76-SUM(F76:N76)</f>
        <v>299000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29000</v>
      </c>
      <c r="E77" s="37" t="s">
        <v>681</v>
      </c>
      <c r="F77" s="224"/>
      <c r="G77" s="224"/>
      <c r="H77" s="224">
        <f>ROUND($D77/2,-3)</f>
        <v>15000</v>
      </c>
      <c r="I77" s="224"/>
      <c r="J77" s="224"/>
      <c r="K77" s="224"/>
      <c r="L77" s="224"/>
      <c r="M77" s="224"/>
      <c r="N77" s="224">
        <f>D77-H77</f>
        <v>14000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24185000</v>
      </c>
      <c r="E78" s="227"/>
      <c r="F78" s="227">
        <f>F76+F70+F77</f>
        <v>7201000</v>
      </c>
      <c r="G78" s="227">
        <f t="shared" ref="G78:Q78" si="29">G76+G70+G77</f>
        <v>1687000</v>
      </c>
      <c r="H78" s="227">
        <f t="shared" si="29"/>
        <v>1729000</v>
      </c>
      <c r="I78" s="227">
        <f t="shared" si="29"/>
        <v>2034000</v>
      </c>
      <c r="J78" s="227">
        <f t="shared" si="29"/>
        <v>1687000</v>
      </c>
      <c r="K78" s="227">
        <f t="shared" si="29"/>
        <v>1687000</v>
      </c>
      <c r="L78" s="227">
        <f t="shared" si="29"/>
        <v>1687000</v>
      </c>
      <c r="M78" s="227">
        <f t="shared" si="29"/>
        <v>1687000</v>
      </c>
      <c r="N78" s="227">
        <f t="shared" si="29"/>
        <v>3090000</v>
      </c>
      <c r="O78" s="227">
        <f t="shared" si="29"/>
        <v>1686000</v>
      </c>
      <c r="P78" s="227">
        <f t="shared" si="29"/>
        <v>4000</v>
      </c>
      <c r="Q78" s="227">
        <f t="shared" si="29"/>
        <v>6000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25564000</v>
      </c>
      <c r="E87" s="37"/>
      <c r="F87" s="37">
        <f>F88+F89+F90+F91</f>
        <v>7439000</v>
      </c>
      <c r="G87" s="37">
        <f t="shared" ref="G87:Q87" si="32">G88+G89+G90+G91</f>
        <v>1792000</v>
      </c>
      <c r="H87" s="37">
        <f t="shared" si="32"/>
        <v>1840000</v>
      </c>
      <c r="I87" s="37">
        <f t="shared" si="32"/>
        <v>2150000</v>
      </c>
      <c r="J87" s="37">
        <f t="shared" si="32"/>
        <v>1798000</v>
      </c>
      <c r="K87" s="37">
        <f t="shared" si="32"/>
        <v>1798000</v>
      </c>
      <c r="L87" s="37">
        <f t="shared" si="32"/>
        <v>1814000</v>
      </c>
      <c r="M87" s="37">
        <f t="shared" si="32"/>
        <v>1798000</v>
      </c>
      <c r="N87" s="37">
        <f t="shared" si="32"/>
        <v>3201000</v>
      </c>
      <c r="O87" s="37">
        <f t="shared" si="32"/>
        <v>1795000</v>
      </c>
      <c r="P87" s="37">
        <f t="shared" si="32"/>
        <v>72000</v>
      </c>
      <c r="Q87" s="37">
        <f t="shared" si="32"/>
        <v>67000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0</v>
      </c>
      <c r="E88" s="108" t="s">
        <v>193</v>
      </c>
      <c r="F88" s="108">
        <f>ROUND($D88/2,-3)</f>
        <v>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25563000</v>
      </c>
      <c r="E91" s="108"/>
      <c r="F91" s="108">
        <f>F92+F93+F94+F95</f>
        <v>7439000</v>
      </c>
      <c r="G91" s="108">
        <f t="shared" ref="G91:Q91" si="34">G92+G93+G94+G95</f>
        <v>1792000</v>
      </c>
      <c r="H91" s="108">
        <f t="shared" si="34"/>
        <v>1840000</v>
      </c>
      <c r="I91" s="108">
        <f t="shared" si="34"/>
        <v>2150000</v>
      </c>
      <c r="J91" s="108">
        <f t="shared" si="34"/>
        <v>1798000</v>
      </c>
      <c r="K91" s="108">
        <f t="shared" si="34"/>
        <v>1798000</v>
      </c>
      <c r="L91" s="108">
        <f t="shared" si="34"/>
        <v>1814000</v>
      </c>
      <c r="M91" s="108">
        <f t="shared" si="34"/>
        <v>1798000</v>
      </c>
      <c r="N91" s="108">
        <f t="shared" si="34"/>
        <v>3201000</v>
      </c>
      <c r="O91" s="108">
        <f t="shared" si="34"/>
        <v>1795000</v>
      </c>
      <c r="P91" s="108">
        <f t="shared" si="34"/>
        <v>72000</v>
      </c>
      <c r="Q91" s="108">
        <f t="shared" si="34"/>
        <v>66000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1300000</v>
      </c>
      <c r="E92" s="114" t="s">
        <v>537</v>
      </c>
      <c r="F92" s="37">
        <f>ROUND($D92/12*5,-3)</f>
        <v>542000</v>
      </c>
      <c r="G92" s="37">
        <f>ROUND($D92/12,-3)</f>
        <v>108000</v>
      </c>
      <c r="H92" s="37">
        <f t="shared" ref="H92:L92" si="35">ROUND($D92/12,-3)</f>
        <v>108000</v>
      </c>
      <c r="I92" s="37">
        <f t="shared" si="35"/>
        <v>108000</v>
      </c>
      <c r="J92" s="37">
        <f t="shared" si="35"/>
        <v>108000</v>
      </c>
      <c r="K92" s="37">
        <f t="shared" si="35"/>
        <v>108000</v>
      </c>
      <c r="L92" s="37">
        <f t="shared" si="35"/>
        <v>108000</v>
      </c>
      <c r="M92" s="37">
        <f>D92-SUM(F92:L92)</f>
        <v>110000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77000</v>
      </c>
      <c r="E93" s="109" t="s">
        <v>227</v>
      </c>
      <c r="F93" s="37">
        <f>ROUND($D93/12,-3)</f>
        <v>6000</v>
      </c>
      <c r="G93" s="37">
        <f t="shared" ref="G93:P93" si="36">ROUND($D93/12,-3)</f>
        <v>6000</v>
      </c>
      <c r="H93" s="37">
        <f t="shared" si="36"/>
        <v>6000</v>
      </c>
      <c r="I93" s="37">
        <f t="shared" si="36"/>
        <v>6000</v>
      </c>
      <c r="J93" s="37">
        <f t="shared" si="36"/>
        <v>6000</v>
      </c>
      <c r="K93" s="37">
        <f t="shared" si="36"/>
        <v>6000</v>
      </c>
      <c r="L93" s="37">
        <f t="shared" si="36"/>
        <v>6000</v>
      </c>
      <c r="M93" s="37">
        <f t="shared" si="36"/>
        <v>6000</v>
      </c>
      <c r="N93" s="37">
        <f t="shared" si="36"/>
        <v>6000</v>
      </c>
      <c r="O93" s="37">
        <f t="shared" si="36"/>
        <v>6000</v>
      </c>
      <c r="P93" s="37">
        <f t="shared" si="36"/>
        <v>6000</v>
      </c>
      <c r="Q93" s="37">
        <f>D93-SUM(F93:P93)</f>
        <v>11000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1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24186000</v>
      </c>
      <c r="E95" s="37"/>
      <c r="F95" s="37">
        <f>F2+F86-F88-F89-F90-F92-F93-F94</f>
        <v>6891000</v>
      </c>
      <c r="G95" s="37">
        <f t="shared" ref="G95:Q95" si="37">G2-G88-G89-G90-G92-G93-G94</f>
        <v>1678000</v>
      </c>
      <c r="H95" s="37">
        <f t="shared" si="37"/>
        <v>1726000</v>
      </c>
      <c r="I95" s="37">
        <f t="shared" si="37"/>
        <v>2036000</v>
      </c>
      <c r="J95" s="37">
        <f t="shared" si="37"/>
        <v>1684000</v>
      </c>
      <c r="K95" s="37">
        <f t="shared" si="37"/>
        <v>1684000</v>
      </c>
      <c r="L95" s="37">
        <f t="shared" si="37"/>
        <v>1700000</v>
      </c>
      <c r="M95" s="37">
        <f t="shared" si="37"/>
        <v>1682000</v>
      </c>
      <c r="N95" s="37">
        <f t="shared" si="37"/>
        <v>3195000</v>
      </c>
      <c r="O95" s="37">
        <f t="shared" si="37"/>
        <v>1789000</v>
      </c>
      <c r="P95" s="37">
        <f t="shared" si="37"/>
        <v>66000</v>
      </c>
      <c r="Q95" s="37">
        <f t="shared" si="37"/>
        <v>55000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0</v>
      </c>
    </row>
    <row r="99" spans="2:17" ht="32.4">
      <c r="B99" s="72" t="s">
        <v>235</v>
      </c>
      <c r="D99" s="30">
        <f>HLOOKUP(D1,縣庫撥款收入明細表!H:DD,5,FALSE)</f>
        <v>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0</v>
      </c>
    </row>
    <row r="102" spans="2:17" ht="32.4">
      <c r="B102" s="71" t="s">
        <v>238</v>
      </c>
      <c r="D102" s="30">
        <f>HLOOKUP(D1,縣庫撥款收入明細表!H:DD,16,FALSE)</f>
        <v>72000</v>
      </c>
    </row>
    <row r="103" spans="2:17" ht="32.4">
      <c r="B103" s="72" t="s">
        <v>239</v>
      </c>
      <c r="D103" s="30">
        <f>HLOOKUP(D1,縣庫撥款收入明細表!H:DD,17,FALSE)</f>
        <v>650000</v>
      </c>
    </row>
    <row r="104" spans="2:17" ht="32.4">
      <c r="B104" s="76" t="s">
        <v>240</v>
      </c>
      <c r="D104" s="30">
        <f>HLOOKUP(D1,縣庫撥款收入明細表!H:DD,18,FALSE)</f>
        <v>0</v>
      </c>
    </row>
    <row r="105" spans="2:17" ht="32.4">
      <c r="B105" s="72" t="s">
        <v>380</v>
      </c>
      <c r="D105" s="30">
        <f>HLOOKUP(D1,縣庫撥款收入明細表!H:DD,19,FALSE)</f>
        <v>650000</v>
      </c>
    </row>
    <row r="106" spans="2:17" ht="32.4">
      <c r="B106" s="71" t="s">
        <v>241</v>
      </c>
      <c r="D106" s="30">
        <f>HLOOKUP(D1,縣庫撥款收入明細表!H:DD,20,FALSE)</f>
        <v>5000</v>
      </c>
    </row>
    <row r="107" spans="2:17" ht="32.4">
      <c r="B107" s="77" t="s">
        <v>242</v>
      </c>
      <c r="D107" s="30">
        <f>HLOOKUP(D1,縣庫撥款收入明細表!H:DD,21,FALSE)</f>
        <v>24186000</v>
      </c>
    </row>
    <row r="108" spans="2:17" ht="16.5" customHeight="1"/>
    <row r="109" spans="2:17" ht="16.5" customHeight="1">
      <c r="B109" s="4" t="s">
        <v>682</v>
      </c>
      <c r="D109" s="30">
        <f>D91-D76</f>
        <v>21974000</v>
      </c>
      <c r="F109" s="30">
        <f>F91-F76</f>
        <v>6541000</v>
      </c>
      <c r="G109" s="30">
        <f t="shared" ref="G109:Q109" si="38">G91-G76</f>
        <v>1493000</v>
      </c>
      <c r="H109" s="30">
        <f t="shared" si="38"/>
        <v>1541000</v>
      </c>
      <c r="I109" s="30">
        <f t="shared" si="38"/>
        <v>1851000</v>
      </c>
      <c r="J109" s="30">
        <f t="shared" si="38"/>
        <v>1499000</v>
      </c>
      <c r="K109" s="30">
        <f t="shared" si="38"/>
        <v>1499000</v>
      </c>
      <c r="L109" s="30">
        <f t="shared" si="38"/>
        <v>1515000</v>
      </c>
      <c r="M109" s="30">
        <f t="shared" si="38"/>
        <v>1499000</v>
      </c>
      <c r="N109" s="30">
        <f t="shared" si="38"/>
        <v>2902000</v>
      </c>
      <c r="O109" s="30">
        <f t="shared" si="38"/>
        <v>1496000</v>
      </c>
      <c r="P109" s="30">
        <f t="shared" si="38"/>
        <v>72000</v>
      </c>
      <c r="Q109" s="30">
        <f t="shared" si="38"/>
        <v>66000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54" priority="1" operator="less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topLeftCell="A106"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626</v>
      </c>
      <c r="D1" s="240" t="str">
        <f>VLOOKUP(C1,學校編號!A:B,2,FALSE)</f>
        <v>626壽豐國小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34684000</v>
      </c>
      <c r="E2" s="37"/>
      <c r="F2" s="37">
        <f>F48+F70+F76+F77+F83</f>
        <v>10045000</v>
      </c>
      <c r="G2" s="37">
        <f t="shared" ref="G2:Q2" si="0">G48+G70+G76+G77+G83</f>
        <v>2361000</v>
      </c>
      <c r="H2" s="37">
        <f t="shared" si="0"/>
        <v>2666000</v>
      </c>
      <c r="I2" s="37">
        <f t="shared" si="0"/>
        <v>2865000</v>
      </c>
      <c r="J2" s="37">
        <f t="shared" si="0"/>
        <v>2361000</v>
      </c>
      <c r="K2" s="37">
        <f t="shared" si="0"/>
        <v>2363000</v>
      </c>
      <c r="L2" s="37">
        <f t="shared" si="0"/>
        <v>2482000</v>
      </c>
      <c r="M2" s="37">
        <f t="shared" si="0"/>
        <v>2361000</v>
      </c>
      <c r="N2" s="37">
        <f t="shared" si="0"/>
        <v>4650000</v>
      </c>
      <c r="O2" s="37">
        <f t="shared" si="0"/>
        <v>2350000</v>
      </c>
      <c r="P2" s="37">
        <f t="shared" si="0"/>
        <v>91000</v>
      </c>
      <c r="Q2" s="37">
        <f t="shared" si="0"/>
        <v>89000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204000</v>
      </c>
      <c r="E3" s="37" t="s">
        <v>525</v>
      </c>
      <c r="F3" s="37">
        <f t="shared" ref="F3:P17" si="1">ROUND($D3/12,0)</f>
        <v>17000</v>
      </c>
      <c r="G3" s="37">
        <f t="shared" si="1"/>
        <v>17000</v>
      </c>
      <c r="H3" s="37">
        <f t="shared" si="1"/>
        <v>17000</v>
      </c>
      <c r="I3" s="37">
        <f t="shared" si="1"/>
        <v>17000</v>
      </c>
      <c r="J3" s="37">
        <f t="shared" si="1"/>
        <v>17000</v>
      </c>
      <c r="K3" s="37">
        <f t="shared" si="1"/>
        <v>17000</v>
      </c>
      <c r="L3" s="37">
        <f t="shared" si="1"/>
        <v>17000</v>
      </c>
      <c r="M3" s="37">
        <f t="shared" si="1"/>
        <v>17000</v>
      </c>
      <c r="N3" s="37">
        <f t="shared" si="1"/>
        <v>17000</v>
      </c>
      <c r="O3" s="37">
        <f t="shared" si="1"/>
        <v>17000</v>
      </c>
      <c r="P3" s="37">
        <f t="shared" si="1"/>
        <v>17000</v>
      </c>
      <c r="Q3" s="37">
        <f t="shared" ref="Q3:Q10" si="2">D3-SUM(F3:P3)</f>
        <v>17000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87000</v>
      </c>
      <c r="E4" s="37" t="s">
        <v>525</v>
      </c>
      <c r="F4" s="37">
        <f t="shared" si="1"/>
        <v>7250</v>
      </c>
      <c r="G4" s="37">
        <f t="shared" si="1"/>
        <v>7250</v>
      </c>
      <c r="H4" s="37">
        <f t="shared" si="1"/>
        <v>7250</v>
      </c>
      <c r="I4" s="37">
        <f t="shared" si="1"/>
        <v>7250</v>
      </c>
      <c r="J4" s="37">
        <f t="shared" si="1"/>
        <v>7250</v>
      </c>
      <c r="K4" s="37">
        <f t="shared" si="1"/>
        <v>7250</v>
      </c>
      <c r="L4" s="37">
        <f t="shared" si="1"/>
        <v>7250</v>
      </c>
      <c r="M4" s="37">
        <f t="shared" si="1"/>
        <v>7250</v>
      </c>
      <c r="N4" s="37">
        <f t="shared" si="1"/>
        <v>7250</v>
      </c>
      <c r="O4" s="37">
        <f t="shared" si="1"/>
        <v>7250</v>
      </c>
      <c r="P4" s="37">
        <f t="shared" si="1"/>
        <v>7250</v>
      </c>
      <c r="Q4" s="37">
        <f t="shared" si="2"/>
        <v>7250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66000</v>
      </c>
      <c r="E7" s="37" t="s">
        <v>525</v>
      </c>
      <c r="F7" s="37">
        <f t="shared" si="1"/>
        <v>5500</v>
      </c>
      <c r="G7" s="37">
        <f t="shared" si="1"/>
        <v>5500</v>
      </c>
      <c r="H7" s="37">
        <f t="shared" si="1"/>
        <v>5500</v>
      </c>
      <c r="I7" s="37">
        <f t="shared" si="1"/>
        <v>5500</v>
      </c>
      <c r="J7" s="37">
        <f t="shared" si="1"/>
        <v>5500</v>
      </c>
      <c r="K7" s="37">
        <f t="shared" si="1"/>
        <v>5500</v>
      </c>
      <c r="L7" s="37">
        <f t="shared" si="1"/>
        <v>5500</v>
      </c>
      <c r="M7" s="37">
        <f t="shared" si="1"/>
        <v>5500</v>
      </c>
      <c r="N7" s="37">
        <f t="shared" si="1"/>
        <v>5500</v>
      </c>
      <c r="O7" s="37">
        <f t="shared" si="1"/>
        <v>5500</v>
      </c>
      <c r="P7" s="37">
        <f t="shared" si="1"/>
        <v>5500</v>
      </c>
      <c r="Q7" s="37">
        <f t="shared" si="2"/>
        <v>5500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80000</v>
      </c>
      <c r="E14" s="37" t="s">
        <v>525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47000</v>
      </c>
      <c r="E17" s="37" t="s">
        <v>525</v>
      </c>
      <c r="F17" s="37">
        <f>ROUND($D17/12,0)</f>
        <v>3917</v>
      </c>
      <c r="G17" s="37">
        <f t="shared" si="1"/>
        <v>3917</v>
      </c>
      <c r="H17" s="37">
        <f t="shared" si="1"/>
        <v>3917</v>
      </c>
      <c r="I17" s="37">
        <f t="shared" si="1"/>
        <v>3917</v>
      </c>
      <c r="J17" s="37">
        <f t="shared" si="1"/>
        <v>3917</v>
      </c>
      <c r="K17" s="37">
        <f t="shared" si="1"/>
        <v>3917</v>
      </c>
      <c r="L17" s="37">
        <f t="shared" si="1"/>
        <v>3917</v>
      </c>
      <c r="M17" s="37">
        <f t="shared" si="1"/>
        <v>3917</v>
      </c>
      <c r="N17" s="37">
        <f t="shared" si="1"/>
        <v>3917</v>
      </c>
      <c r="O17" s="37">
        <f t="shared" si="1"/>
        <v>3917</v>
      </c>
      <c r="P17" s="37">
        <f t="shared" si="1"/>
        <v>3917</v>
      </c>
      <c r="Q17" s="37">
        <f>D17-SUM(F17:P17)</f>
        <v>3913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150000</v>
      </c>
      <c r="E24" s="37" t="s">
        <v>193</v>
      </c>
      <c r="F24" s="37">
        <f>ROUND($D24/2,-3)</f>
        <v>75000</v>
      </c>
      <c r="G24" s="37"/>
      <c r="H24" s="37"/>
      <c r="I24" s="37"/>
      <c r="J24" s="37"/>
      <c r="K24" s="37"/>
      <c r="L24" s="37">
        <f>D24-F24</f>
        <v>75000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840000</v>
      </c>
      <c r="E25" s="108"/>
      <c r="F25" s="108">
        <f>ROUND(SUM(F3:F24),-3)</f>
        <v>150000</v>
      </c>
      <c r="G25" s="108">
        <f t="shared" ref="G25:P25" si="5">ROUND(SUM(G3:G24),-3)</f>
        <v>54000</v>
      </c>
      <c r="H25" s="108">
        <f t="shared" si="5"/>
        <v>54000</v>
      </c>
      <c r="I25" s="108">
        <f t="shared" si="5"/>
        <v>54000</v>
      </c>
      <c r="J25" s="108">
        <f t="shared" si="5"/>
        <v>54000</v>
      </c>
      <c r="K25" s="108">
        <f t="shared" si="5"/>
        <v>54000</v>
      </c>
      <c r="L25" s="108">
        <f t="shared" si="5"/>
        <v>150000</v>
      </c>
      <c r="M25" s="108">
        <f t="shared" si="5"/>
        <v>54000</v>
      </c>
      <c r="N25" s="108">
        <f t="shared" si="5"/>
        <v>54000</v>
      </c>
      <c r="O25" s="108">
        <f t="shared" si="5"/>
        <v>54000</v>
      </c>
      <c r="P25" s="108">
        <f t="shared" si="5"/>
        <v>54000</v>
      </c>
      <c r="Q25" s="108">
        <f t="shared" ref="Q25:Q33" si="6">D25-SUM(F25:P25)</f>
        <v>54000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272000</v>
      </c>
      <c r="E27" s="37" t="s">
        <v>525</v>
      </c>
      <c r="F27" s="37">
        <f t="shared" ref="F27:P33" si="8">ROUND($D27/12,0)</f>
        <v>22667</v>
      </c>
      <c r="G27" s="37">
        <f t="shared" si="8"/>
        <v>22667</v>
      </c>
      <c r="H27" s="37">
        <f t="shared" si="8"/>
        <v>22667</v>
      </c>
      <c r="I27" s="37">
        <f t="shared" si="8"/>
        <v>22667</v>
      </c>
      <c r="J27" s="37">
        <f t="shared" si="8"/>
        <v>22667</v>
      </c>
      <c r="K27" s="37">
        <f t="shared" si="8"/>
        <v>22667</v>
      </c>
      <c r="L27" s="37">
        <f t="shared" si="8"/>
        <v>22667</v>
      </c>
      <c r="M27" s="37">
        <f t="shared" si="8"/>
        <v>22667</v>
      </c>
      <c r="N27" s="37">
        <f t="shared" si="8"/>
        <v>22667</v>
      </c>
      <c r="O27" s="37">
        <f t="shared" si="8"/>
        <v>22667</v>
      </c>
      <c r="P27" s="37">
        <f t="shared" si="8"/>
        <v>22667</v>
      </c>
      <c r="Q27" s="37">
        <f t="shared" si="6"/>
        <v>22663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23000</v>
      </c>
      <c r="E29" s="37" t="s">
        <v>525</v>
      </c>
      <c r="F29" s="37">
        <f t="shared" si="8"/>
        <v>1917</v>
      </c>
      <c r="G29" s="37">
        <f t="shared" si="8"/>
        <v>1917</v>
      </c>
      <c r="H29" s="37">
        <f t="shared" si="8"/>
        <v>1917</v>
      </c>
      <c r="I29" s="37">
        <f t="shared" si="8"/>
        <v>1917</v>
      </c>
      <c r="J29" s="37">
        <f t="shared" si="8"/>
        <v>1917</v>
      </c>
      <c r="K29" s="37">
        <f t="shared" si="8"/>
        <v>1917</v>
      </c>
      <c r="L29" s="37">
        <f t="shared" si="8"/>
        <v>1917</v>
      </c>
      <c r="M29" s="37">
        <f t="shared" si="8"/>
        <v>1917</v>
      </c>
      <c r="N29" s="37">
        <f t="shared" si="8"/>
        <v>1917</v>
      </c>
      <c r="O29" s="37">
        <f t="shared" si="8"/>
        <v>1917</v>
      </c>
      <c r="P29" s="37">
        <f t="shared" si="8"/>
        <v>1917</v>
      </c>
      <c r="Q29" s="37">
        <f t="shared" si="6"/>
        <v>1913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23000</v>
      </c>
      <c r="E30" s="37" t="s">
        <v>525</v>
      </c>
      <c r="F30" s="37">
        <f t="shared" si="8"/>
        <v>1917</v>
      </c>
      <c r="G30" s="37">
        <f t="shared" si="8"/>
        <v>1917</v>
      </c>
      <c r="H30" s="37">
        <f t="shared" si="8"/>
        <v>1917</v>
      </c>
      <c r="I30" s="37">
        <f t="shared" si="8"/>
        <v>1917</v>
      </c>
      <c r="J30" s="37">
        <f t="shared" si="8"/>
        <v>1917</v>
      </c>
      <c r="K30" s="37">
        <f t="shared" si="8"/>
        <v>1917</v>
      </c>
      <c r="L30" s="37">
        <f t="shared" si="8"/>
        <v>1917</v>
      </c>
      <c r="M30" s="37">
        <f t="shared" si="8"/>
        <v>1917</v>
      </c>
      <c r="N30" s="37">
        <f t="shared" si="8"/>
        <v>1917</v>
      </c>
      <c r="O30" s="37">
        <f t="shared" si="8"/>
        <v>1917</v>
      </c>
      <c r="P30" s="37">
        <f t="shared" si="8"/>
        <v>1917</v>
      </c>
      <c r="Q30" s="37">
        <f t="shared" si="6"/>
        <v>1913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12000</v>
      </c>
      <c r="E31" s="37" t="s">
        <v>525</v>
      </c>
      <c r="F31" s="37">
        <f t="shared" si="8"/>
        <v>1000</v>
      </c>
      <c r="G31" s="37">
        <f t="shared" si="8"/>
        <v>1000</v>
      </c>
      <c r="H31" s="37">
        <f t="shared" si="8"/>
        <v>1000</v>
      </c>
      <c r="I31" s="37">
        <f t="shared" si="8"/>
        <v>1000</v>
      </c>
      <c r="J31" s="37">
        <f t="shared" si="8"/>
        <v>1000</v>
      </c>
      <c r="K31" s="37">
        <f t="shared" si="8"/>
        <v>1000</v>
      </c>
      <c r="L31" s="37">
        <f t="shared" si="8"/>
        <v>1000</v>
      </c>
      <c r="M31" s="37">
        <f t="shared" si="8"/>
        <v>1000</v>
      </c>
      <c r="N31" s="37">
        <f t="shared" si="8"/>
        <v>1000</v>
      </c>
      <c r="O31" s="37">
        <f t="shared" si="8"/>
        <v>1000</v>
      </c>
      <c r="P31" s="37">
        <f t="shared" si="8"/>
        <v>1000</v>
      </c>
      <c r="Q31" s="37">
        <f t="shared" si="6"/>
        <v>1000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24000</v>
      </c>
      <c r="E32" s="37" t="s">
        <v>525</v>
      </c>
      <c r="F32" s="37">
        <f t="shared" si="8"/>
        <v>2000</v>
      </c>
      <c r="G32" s="37">
        <f t="shared" si="8"/>
        <v>2000</v>
      </c>
      <c r="H32" s="37">
        <f t="shared" si="8"/>
        <v>2000</v>
      </c>
      <c r="I32" s="37">
        <f t="shared" si="8"/>
        <v>2000</v>
      </c>
      <c r="J32" s="37">
        <f t="shared" si="8"/>
        <v>2000</v>
      </c>
      <c r="K32" s="37">
        <f t="shared" si="8"/>
        <v>2000</v>
      </c>
      <c r="L32" s="37">
        <f t="shared" si="8"/>
        <v>2000</v>
      </c>
      <c r="M32" s="37">
        <f t="shared" si="8"/>
        <v>2000</v>
      </c>
      <c r="N32" s="37">
        <f t="shared" si="8"/>
        <v>2000</v>
      </c>
      <c r="O32" s="37">
        <f t="shared" si="8"/>
        <v>2000</v>
      </c>
      <c r="P32" s="37">
        <f t="shared" si="8"/>
        <v>2000</v>
      </c>
      <c r="Q32" s="37">
        <f t="shared" si="6"/>
        <v>2000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15000</v>
      </c>
      <c r="E33" s="37" t="s">
        <v>525</v>
      </c>
      <c r="F33" s="37">
        <f t="shared" si="8"/>
        <v>1250</v>
      </c>
      <c r="G33" s="37">
        <f t="shared" si="8"/>
        <v>1250</v>
      </c>
      <c r="H33" s="37">
        <f t="shared" si="8"/>
        <v>1250</v>
      </c>
      <c r="I33" s="37">
        <f t="shared" si="8"/>
        <v>1250</v>
      </c>
      <c r="J33" s="37">
        <f t="shared" si="8"/>
        <v>1250</v>
      </c>
      <c r="K33" s="37">
        <f t="shared" si="8"/>
        <v>1250</v>
      </c>
      <c r="L33" s="37">
        <f t="shared" si="8"/>
        <v>1250</v>
      </c>
      <c r="M33" s="37">
        <f t="shared" si="8"/>
        <v>1250</v>
      </c>
      <c r="N33" s="37">
        <f t="shared" si="8"/>
        <v>1250</v>
      </c>
      <c r="O33" s="37">
        <f t="shared" si="8"/>
        <v>1250</v>
      </c>
      <c r="P33" s="37">
        <f t="shared" si="8"/>
        <v>1250</v>
      </c>
      <c r="Q33" s="37">
        <f t="shared" si="6"/>
        <v>1250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50000</v>
      </c>
      <c r="E36" s="37" t="s">
        <v>193</v>
      </c>
      <c r="F36" s="37">
        <f>ROUND($D36/2,-3)</f>
        <v>25000</v>
      </c>
      <c r="G36" s="37"/>
      <c r="H36" s="37"/>
      <c r="I36" s="37"/>
      <c r="J36" s="37"/>
      <c r="K36" s="37"/>
      <c r="L36" s="37">
        <f>D36-F36</f>
        <v>25000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419000</v>
      </c>
      <c r="E37" s="108"/>
      <c r="F37" s="108">
        <f t="shared" ref="F37:P37" si="9">ROUND(SUM(F26:F36),-3)</f>
        <v>56000</v>
      </c>
      <c r="G37" s="108">
        <f t="shared" si="9"/>
        <v>31000</v>
      </c>
      <c r="H37" s="108">
        <f t="shared" si="9"/>
        <v>31000</v>
      </c>
      <c r="I37" s="108">
        <f t="shared" si="9"/>
        <v>31000</v>
      </c>
      <c r="J37" s="108">
        <f t="shared" si="9"/>
        <v>31000</v>
      </c>
      <c r="K37" s="108">
        <f t="shared" si="9"/>
        <v>31000</v>
      </c>
      <c r="L37" s="108">
        <f t="shared" si="9"/>
        <v>56000</v>
      </c>
      <c r="M37" s="108">
        <f t="shared" si="9"/>
        <v>31000</v>
      </c>
      <c r="N37" s="108">
        <f t="shared" si="9"/>
        <v>31000</v>
      </c>
      <c r="O37" s="108">
        <f t="shared" si="9"/>
        <v>31000</v>
      </c>
      <c r="P37" s="108">
        <f t="shared" si="9"/>
        <v>31000</v>
      </c>
      <c r="Q37" s="108">
        <f>D37-SUM(F37:P37)</f>
        <v>28000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1265000</v>
      </c>
      <c r="E48" s="37"/>
      <c r="F48" s="115">
        <f>F25+F37+F45+F47</f>
        <v>208000</v>
      </c>
      <c r="G48" s="115">
        <f t="shared" ref="G48:R48" si="14">G25+G37+G45+G47</f>
        <v>85000</v>
      </c>
      <c r="H48" s="115">
        <f t="shared" si="14"/>
        <v>85000</v>
      </c>
      <c r="I48" s="115">
        <f t="shared" si="14"/>
        <v>85000</v>
      </c>
      <c r="J48" s="115">
        <f t="shared" si="14"/>
        <v>85000</v>
      </c>
      <c r="K48" s="115">
        <f t="shared" si="14"/>
        <v>87000</v>
      </c>
      <c r="L48" s="115">
        <f t="shared" si="14"/>
        <v>206000</v>
      </c>
      <c r="M48" s="115">
        <f t="shared" si="14"/>
        <v>85000</v>
      </c>
      <c r="N48" s="115">
        <f t="shared" si="14"/>
        <v>87000</v>
      </c>
      <c r="O48" s="115">
        <f t="shared" si="14"/>
        <v>85000</v>
      </c>
      <c r="P48" s="115">
        <f t="shared" si="14"/>
        <v>85000</v>
      </c>
      <c r="Q48" s="115">
        <f t="shared" si="14"/>
        <v>82000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18697000</v>
      </c>
      <c r="E49" s="114" t="s">
        <v>202</v>
      </c>
      <c r="F49" s="37">
        <f>ROUND($D49/12*3,-3)</f>
        <v>4674000</v>
      </c>
      <c r="G49" s="37">
        <f>ROUND($D49/12,-3)</f>
        <v>1558000</v>
      </c>
      <c r="H49" s="37">
        <f t="shared" ref="H49:N53" si="15">ROUND($D49/12,-3)</f>
        <v>1558000</v>
      </c>
      <c r="I49" s="37">
        <f t="shared" si="15"/>
        <v>1558000</v>
      </c>
      <c r="J49" s="37">
        <f t="shared" si="15"/>
        <v>1558000</v>
      </c>
      <c r="K49" s="37">
        <f t="shared" si="15"/>
        <v>1558000</v>
      </c>
      <c r="L49" s="37">
        <f t="shared" si="15"/>
        <v>1558000</v>
      </c>
      <c r="M49" s="37">
        <f t="shared" si="15"/>
        <v>1558000</v>
      </c>
      <c r="N49" s="37">
        <f t="shared" si="15"/>
        <v>1558000</v>
      </c>
      <c r="O49" s="37">
        <f>D49-SUM(F49:N49)</f>
        <v>1559000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738000</v>
      </c>
      <c r="E51" s="114" t="s">
        <v>202</v>
      </c>
      <c r="F51" s="37">
        <f t="shared" si="16"/>
        <v>185000</v>
      </c>
      <c r="G51" s="37">
        <f t="shared" si="17"/>
        <v>62000</v>
      </c>
      <c r="H51" s="37">
        <f t="shared" si="15"/>
        <v>62000</v>
      </c>
      <c r="I51" s="37">
        <f t="shared" si="15"/>
        <v>62000</v>
      </c>
      <c r="J51" s="37">
        <f t="shared" si="15"/>
        <v>62000</v>
      </c>
      <c r="K51" s="37">
        <f t="shared" si="15"/>
        <v>62000</v>
      </c>
      <c r="L51" s="37">
        <f t="shared" si="15"/>
        <v>62000</v>
      </c>
      <c r="M51" s="37">
        <f t="shared" si="15"/>
        <v>62000</v>
      </c>
      <c r="N51" s="37">
        <f t="shared" si="15"/>
        <v>62000</v>
      </c>
      <c r="O51" s="37">
        <f t="shared" si="18"/>
        <v>57000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49000</v>
      </c>
      <c r="E54" s="37" t="s">
        <v>525</v>
      </c>
      <c r="F54" s="37">
        <f t="shared" ref="F54:P61" si="19">ROUND($D54/12,0)</f>
        <v>4083</v>
      </c>
      <c r="G54" s="37">
        <f t="shared" si="19"/>
        <v>4083</v>
      </c>
      <c r="H54" s="37">
        <f t="shared" si="19"/>
        <v>4083</v>
      </c>
      <c r="I54" s="37">
        <f t="shared" si="19"/>
        <v>4083</v>
      </c>
      <c r="J54" s="37">
        <f t="shared" si="19"/>
        <v>4083</v>
      </c>
      <c r="K54" s="37">
        <f t="shared" si="19"/>
        <v>4083</v>
      </c>
      <c r="L54" s="37">
        <f t="shared" si="19"/>
        <v>4083</v>
      </c>
      <c r="M54" s="37">
        <f t="shared" si="19"/>
        <v>4083</v>
      </c>
      <c r="N54" s="37">
        <f t="shared" si="19"/>
        <v>4083</v>
      </c>
      <c r="O54" s="37">
        <f t="shared" si="19"/>
        <v>4083</v>
      </c>
      <c r="P54" s="37">
        <f t="shared" si="19"/>
        <v>4083</v>
      </c>
      <c r="Q54" s="37">
        <f t="shared" ref="Q54:Q61" si="20">D54-SUM(F54:P54)</f>
        <v>4087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503000</v>
      </c>
      <c r="E60" s="37" t="s">
        <v>195</v>
      </c>
      <c r="F60" s="37">
        <f>D60</f>
        <v>503000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2522000</v>
      </c>
      <c r="E62" s="37" t="s">
        <v>197</v>
      </c>
      <c r="F62" s="37"/>
      <c r="G62" s="37"/>
      <c r="H62" s="37"/>
      <c r="I62" s="37">
        <f>ROUND($D62/5,-3)</f>
        <v>504000</v>
      </c>
      <c r="J62" s="37"/>
      <c r="K62" s="37"/>
      <c r="L62" s="37"/>
      <c r="M62" s="37"/>
      <c r="N62" s="37">
        <f>D62-I62</f>
        <v>2018000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2268000</v>
      </c>
      <c r="E63" s="37" t="s">
        <v>195</v>
      </c>
      <c r="F63" s="37">
        <f>D63</f>
        <v>2268000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2084000</v>
      </c>
      <c r="E64" s="114" t="s">
        <v>202</v>
      </c>
      <c r="F64" s="37">
        <f>ROUND($D64/12*3,-3)</f>
        <v>521000</v>
      </c>
      <c r="G64" s="37">
        <f>ROUND($D64/12,-3)</f>
        <v>174000</v>
      </c>
      <c r="H64" s="37">
        <f t="shared" ref="H64:N66" si="21">ROUND($D64/12,-3)</f>
        <v>174000</v>
      </c>
      <c r="I64" s="37">
        <f t="shared" si="21"/>
        <v>174000</v>
      </c>
      <c r="J64" s="37">
        <f t="shared" si="21"/>
        <v>174000</v>
      </c>
      <c r="K64" s="37">
        <f t="shared" si="21"/>
        <v>174000</v>
      </c>
      <c r="L64" s="37">
        <f t="shared" si="21"/>
        <v>174000</v>
      </c>
      <c r="M64" s="37">
        <f t="shared" si="21"/>
        <v>174000</v>
      </c>
      <c r="N64" s="37">
        <f t="shared" si="21"/>
        <v>174000</v>
      </c>
      <c r="O64" s="37">
        <f>D64-SUM(F64:N64)</f>
        <v>171000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525000</v>
      </c>
      <c r="E65" s="114" t="s">
        <v>202</v>
      </c>
      <c r="F65" s="37">
        <f t="shared" ref="F65:F66" si="22">ROUND($D65/12*3,-3)</f>
        <v>131000</v>
      </c>
      <c r="G65" s="37">
        <f t="shared" ref="G65:G66" si="23">ROUND($D65/12,-3)</f>
        <v>44000</v>
      </c>
      <c r="H65" s="37">
        <f t="shared" si="21"/>
        <v>44000</v>
      </c>
      <c r="I65" s="37">
        <f t="shared" si="21"/>
        <v>44000</v>
      </c>
      <c r="J65" s="37">
        <f t="shared" si="21"/>
        <v>44000</v>
      </c>
      <c r="K65" s="37">
        <f t="shared" si="21"/>
        <v>44000</v>
      </c>
      <c r="L65" s="37">
        <f t="shared" si="21"/>
        <v>44000</v>
      </c>
      <c r="M65" s="37">
        <f t="shared" si="21"/>
        <v>44000</v>
      </c>
      <c r="N65" s="37">
        <f t="shared" si="21"/>
        <v>44000</v>
      </c>
      <c r="O65" s="37">
        <f t="shared" ref="O65:O66" si="24">D65-SUM(F65:N65)</f>
        <v>42000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1185000</v>
      </c>
      <c r="E66" s="114" t="s">
        <v>202</v>
      </c>
      <c r="F66" s="37">
        <f t="shared" si="22"/>
        <v>296000</v>
      </c>
      <c r="G66" s="37">
        <f t="shared" si="23"/>
        <v>99000</v>
      </c>
      <c r="H66" s="37">
        <f t="shared" si="21"/>
        <v>99000</v>
      </c>
      <c r="I66" s="37">
        <f t="shared" si="21"/>
        <v>99000</v>
      </c>
      <c r="J66" s="37">
        <f t="shared" si="21"/>
        <v>99000</v>
      </c>
      <c r="K66" s="37">
        <f t="shared" si="21"/>
        <v>99000</v>
      </c>
      <c r="L66" s="37">
        <f t="shared" si="21"/>
        <v>99000</v>
      </c>
      <c r="M66" s="37">
        <f t="shared" si="21"/>
        <v>99000</v>
      </c>
      <c r="N66" s="37">
        <f t="shared" si="21"/>
        <v>99000</v>
      </c>
      <c r="O66" s="37">
        <f t="shared" si="24"/>
        <v>97000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36000</v>
      </c>
      <c r="E67" s="37" t="s">
        <v>196</v>
      </c>
      <c r="F67" s="37"/>
      <c r="G67" s="37"/>
      <c r="H67" s="37">
        <f>D67</f>
        <v>36000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144000</v>
      </c>
      <c r="E68" s="37" t="s">
        <v>195</v>
      </c>
      <c r="F68" s="37">
        <f>D68</f>
        <v>144000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29040000</v>
      </c>
      <c r="E70" s="108"/>
      <c r="F70" s="108">
        <f t="shared" ref="F70:P70" si="25">ROUND(SUM(F49:F69),-3)</f>
        <v>8794000</v>
      </c>
      <c r="G70" s="108">
        <f t="shared" si="25"/>
        <v>1965000</v>
      </c>
      <c r="H70" s="108">
        <f t="shared" si="25"/>
        <v>2001000</v>
      </c>
      <c r="I70" s="108">
        <f t="shared" si="25"/>
        <v>2469000</v>
      </c>
      <c r="J70" s="108">
        <f t="shared" si="25"/>
        <v>1965000</v>
      </c>
      <c r="K70" s="108">
        <f t="shared" si="25"/>
        <v>1965000</v>
      </c>
      <c r="L70" s="108">
        <f t="shared" si="25"/>
        <v>1965000</v>
      </c>
      <c r="M70" s="108">
        <f t="shared" si="25"/>
        <v>1965000</v>
      </c>
      <c r="N70" s="108">
        <f t="shared" si="25"/>
        <v>3983000</v>
      </c>
      <c r="O70" s="108">
        <f t="shared" si="25"/>
        <v>1955000</v>
      </c>
      <c r="P70" s="108">
        <f t="shared" si="25"/>
        <v>6000</v>
      </c>
      <c r="Q70" s="108">
        <f>D70-SUM(F70:P70)</f>
        <v>7000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3731000</v>
      </c>
      <c r="E72" s="114" t="s">
        <v>202</v>
      </c>
      <c r="F72" s="37">
        <f>ROUND($D72/12*3,-3)</f>
        <v>933000</v>
      </c>
      <c r="G72" s="37">
        <f>ROUND($D72/12,-3)</f>
        <v>311000</v>
      </c>
      <c r="H72" s="37">
        <f t="shared" ref="H72:N75" si="26">ROUND($D72/12,-3)</f>
        <v>311000</v>
      </c>
      <c r="I72" s="37">
        <f t="shared" si="26"/>
        <v>311000</v>
      </c>
      <c r="J72" s="37">
        <f t="shared" si="26"/>
        <v>311000</v>
      </c>
      <c r="K72" s="37">
        <f t="shared" si="26"/>
        <v>311000</v>
      </c>
      <c r="L72" s="37">
        <f t="shared" si="26"/>
        <v>311000</v>
      </c>
      <c r="M72" s="37">
        <f t="shared" si="26"/>
        <v>311000</v>
      </c>
      <c r="N72" s="37">
        <f t="shared" si="26"/>
        <v>311000</v>
      </c>
      <c r="O72" s="37">
        <f>D72-SUM(F72:N72)</f>
        <v>310000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3731000</v>
      </c>
      <c r="E76" s="108"/>
      <c r="F76" s="108">
        <f>ROUND(SUM(F71:F75),-3)</f>
        <v>933000</v>
      </c>
      <c r="G76" s="108">
        <f t="shared" ref="G76:N76" si="27">ROUND(SUM(G71:G75),-3)</f>
        <v>311000</v>
      </c>
      <c r="H76" s="108">
        <f t="shared" si="27"/>
        <v>311000</v>
      </c>
      <c r="I76" s="108">
        <f t="shared" si="27"/>
        <v>311000</v>
      </c>
      <c r="J76" s="108">
        <f t="shared" si="27"/>
        <v>311000</v>
      </c>
      <c r="K76" s="108">
        <f t="shared" si="27"/>
        <v>311000</v>
      </c>
      <c r="L76" s="108">
        <f t="shared" si="27"/>
        <v>311000</v>
      </c>
      <c r="M76" s="108">
        <f t="shared" si="27"/>
        <v>311000</v>
      </c>
      <c r="N76" s="108">
        <f t="shared" si="27"/>
        <v>311000</v>
      </c>
      <c r="O76" s="108">
        <f>D76-SUM(F76:N76)</f>
        <v>310000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538000</v>
      </c>
      <c r="E77" s="37" t="s">
        <v>681</v>
      </c>
      <c r="F77" s="224"/>
      <c r="G77" s="224"/>
      <c r="H77" s="224">
        <f>ROUND($D77/2,-3)</f>
        <v>269000</v>
      </c>
      <c r="I77" s="224"/>
      <c r="J77" s="224"/>
      <c r="K77" s="224"/>
      <c r="L77" s="224"/>
      <c r="M77" s="224"/>
      <c r="N77" s="224">
        <f>D77-H77</f>
        <v>269000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33309000</v>
      </c>
      <c r="E78" s="227"/>
      <c r="F78" s="227">
        <f>F76+F70+F77</f>
        <v>9727000</v>
      </c>
      <c r="G78" s="227">
        <f t="shared" ref="G78:Q78" si="29">G76+G70+G77</f>
        <v>2276000</v>
      </c>
      <c r="H78" s="227">
        <f t="shared" si="29"/>
        <v>2581000</v>
      </c>
      <c r="I78" s="227">
        <f t="shared" si="29"/>
        <v>2780000</v>
      </c>
      <c r="J78" s="227">
        <f t="shared" si="29"/>
        <v>2276000</v>
      </c>
      <c r="K78" s="227">
        <f t="shared" si="29"/>
        <v>2276000</v>
      </c>
      <c r="L78" s="227">
        <f t="shared" si="29"/>
        <v>2276000</v>
      </c>
      <c r="M78" s="227">
        <f t="shared" si="29"/>
        <v>2276000</v>
      </c>
      <c r="N78" s="227">
        <f t="shared" si="29"/>
        <v>4563000</v>
      </c>
      <c r="O78" s="227">
        <f t="shared" si="29"/>
        <v>2265000</v>
      </c>
      <c r="P78" s="227">
        <f t="shared" si="29"/>
        <v>6000</v>
      </c>
      <c r="Q78" s="227">
        <f t="shared" si="29"/>
        <v>7000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100000</v>
      </c>
      <c r="E80" s="108" t="s">
        <v>195</v>
      </c>
      <c r="F80" s="108">
        <f t="shared" ref="F80:F82" si="30">D80</f>
        <v>100000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10000</v>
      </c>
      <c r="E82" s="108" t="s">
        <v>195</v>
      </c>
      <c r="F82" s="108">
        <f t="shared" si="30"/>
        <v>10000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110000</v>
      </c>
      <c r="E83" s="116"/>
      <c r="F83" s="116">
        <f>SUM(F79:F82)</f>
        <v>110000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-110000</v>
      </c>
      <c r="E86" s="37"/>
      <c r="F86" s="37">
        <f>D86</f>
        <v>-110000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34574000</v>
      </c>
      <c r="E87" s="37"/>
      <c r="F87" s="37">
        <f>F88+F89+F90+F91</f>
        <v>9935000</v>
      </c>
      <c r="G87" s="37">
        <f t="shared" ref="G87:Q87" si="32">G88+G89+G90+G91</f>
        <v>2361000</v>
      </c>
      <c r="H87" s="37">
        <f t="shared" si="32"/>
        <v>2666000</v>
      </c>
      <c r="I87" s="37">
        <f t="shared" si="32"/>
        <v>2865000</v>
      </c>
      <c r="J87" s="37">
        <f t="shared" si="32"/>
        <v>2361000</v>
      </c>
      <c r="K87" s="37">
        <f t="shared" si="32"/>
        <v>2363000</v>
      </c>
      <c r="L87" s="37">
        <f t="shared" si="32"/>
        <v>2482000</v>
      </c>
      <c r="M87" s="37">
        <f t="shared" si="32"/>
        <v>2361000</v>
      </c>
      <c r="N87" s="37">
        <f t="shared" si="32"/>
        <v>4650000</v>
      </c>
      <c r="O87" s="37">
        <f t="shared" si="32"/>
        <v>2350000</v>
      </c>
      <c r="P87" s="37">
        <f t="shared" si="32"/>
        <v>91000</v>
      </c>
      <c r="Q87" s="37">
        <f t="shared" si="32"/>
        <v>89000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200000</v>
      </c>
      <c r="E88" s="108" t="s">
        <v>193</v>
      </c>
      <c r="F88" s="108">
        <f>ROUND($D88/2,-3)</f>
        <v>100000</v>
      </c>
      <c r="G88" s="108"/>
      <c r="H88" s="108"/>
      <c r="I88" s="108"/>
      <c r="J88" s="108"/>
      <c r="K88" s="108"/>
      <c r="L88" s="108">
        <f>D88-F88</f>
        <v>100000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34374000</v>
      </c>
      <c r="E91" s="108"/>
      <c r="F91" s="108">
        <f>F92+F93+F94+F95</f>
        <v>9835000</v>
      </c>
      <c r="G91" s="108">
        <f t="shared" ref="G91:Q91" si="34">G92+G93+G94+G95</f>
        <v>2361000</v>
      </c>
      <c r="H91" s="108">
        <f t="shared" si="34"/>
        <v>2666000</v>
      </c>
      <c r="I91" s="108">
        <f t="shared" si="34"/>
        <v>2865000</v>
      </c>
      <c r="J91" s="108">
        <f t="shared" si="34"/>
        <v>2361000</v>
      </c>
      <c r="K91" s="108">
        <f t="shared" si="34"/>
        <v>2363000</v>
      </c>
      <c r="L91" s="108">
        <f t="shared" si="34"/>
        <v>2382000</v>
      </c>
      <c r="M91" s="108">
        <f t="shared" si="34"/>
        <v>2361000</v>
      </c>
      <c r="N91" s="108">
        <f t="shared" si="34"/>
        <v>4650000</v>
      </c>
      <c r="O91" s="108">
        <f t="shared" si="34"/>
        <v>2350000</v>
      </c>
      <c r="P91" s="108">
        <f t="shared" si="34"/>
        <v>91000</v>
      </c>
      <c r="Q91" s="108">
        <f t="shared" si="34"/>
        <v>89000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1604000</v>
      </c>
      <c r="E92" s="114" t="s">
        <v>537</v>
      </c>
      <c r="F92" s="37">
        <f>ROUND($D92/12*5,-3)</f>
        <v>668000</v>
      </c>
      <c r="G92" s="37">
        <f>ROUND($D92/12,-3)</f>
        <v>134000</v>
      </c>
      <c r="H92" s="37">
        <f t="shared" ref="H92:L92" si="35">ROUND($D92/12,-3)</f>
        <v>134000</v>
      </c>
      <c r="I92" s="37">
        <f t="shared" si="35"/>
        <v>134000</v>
      </c>
      <c r="J92" s="37">
        <f t="shared" si="35"/>
        <v>134000</v>
      </c>
      <c r="K92" s="37">
        <f t="shared" si="35"/>
        <v>134000</v>
      </c>
      <c r="L92" s="37">
        <f t="shared" si="35"/>
        <v>134000</v>
      </c>
      <c r="M92" s="37">
        <f>D92-SUM(F92:L92)</f>
        <v>132000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152000</v>
      </c>
      <c r="E93" s="109" t="s">
        <v>227</v>
      </c>
      <c r="F93" s="37">
        <f>ROUND($D93/12,-3)</f>
        <v>13000</v>
      </c>
      <c r="G93" s="37">
        <f t="shared" ref="G93:P93" si="36">ROUND($D93/12,-3)</f>
        <v>13000</v>
      </c>
      <c r="H93" s="37">
        <f t="shared" si="36"/>
        <v>13000</v>
      </c>
      <c r="I93" s="37">
        <f t="shared" si="36"/>
        <v>13000</v>
      </c>
      <c r="J93" s="37">
        <f t="shared" si="36"/>
        <v>13000</v>
      </c>
      <c r="K93" s="37">
        <f t="shared" si="36"/>
        <v>13000</v>
      </c>
      <c r="L93" s="37">
        <f t="shared" si="36"/>
        <v>13000</v>
      </c>
      <c r="M93" s="37">
        <f t="shared" si="36"/>
        <v>13000</v>
      </c>
      <c r="N93" s="37">
        <f t="shared" si="36"/>
        <v>13000</v>
      </c>
      <c r="O93" s="37">
        <f t="shared" si="36"/>
        <v>13000</v>
      </c>
      <c r="P93" s="37">
        <f t="shared" si="36"/>
        <v>13000</v>
      </c>
      <c r="Q93" s="37">
        <f>D93-SUM(F93:P93)</f>
        <v>9000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322000</v>
      </c>
      <c r="E94" s="110" t="s">
        <v>229</v>
      </c>
      <c r="F94" s="37"/>
      <c r="G94" s="37"/>
      <c r="H94" s="37">
        <f>ROUND($D94/2,-3)</f>
        <v>161000</v>
      </c>
      <c r="I94" s="37"/>
      <c r="J94" s="37"/>
      <c r="K94" s="37"/>
      <c r="L94" s="37"/>
      <c r="M94" s="37"/>
      <c r="N94" s="37"/>
      <c r="O94" s="37">
        <f>D94-H94</f>
        <v>161000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32296000</v>
      </c>
      <c r="E95" s="37"/>
      <c r="F95" s="37">
        <f>F2+F86-F88-F89-F90-F92-F93-F94</f>
        <v>9154000</v>
      </c>
      <c r="G95" s="37">
        <f t="shared" ref="G95:Q95" si="37">G2-G88-G89-G90-G92-G93-G94</f>
        <v>2214000</v>
      </c>
      <c r="H95" s="37">
        <f t="shared" si="37"/>
        <v>2358000</v>
      </c>
      <c r="I95" s="37">
        <f t="shared" si="37"/>
        <v>2718000</v>
      </c>
      <c r="J95" s="37">
        <f t="shared" si="37"/>
        <v>2214000</v>
      </c>
      <c r="K95" s="37">
        <f t="shared" si="37"/>
        <v>2216000</v>
      </c>
      <c r="L95" s="37">
        <f t="shared" si="37"/>
        <v>2235000</v>
      </c>
      <c r="M95" s="37">
        <f t="shared" si="37"/>
        <v>2216000</v>
      </c>
      <c r="N95" s="37">
        <f t="shared" si="37"/>
        <v>4637000</v>
      </c>
      <c r="O95" s="37">
        <f t="shared" si="37"/>
        <v>2176000</v>
      </c>
      <c r="P95" s="37">
        <f t="shared" si="37"/>
        <v>78000</v>
      </c>
      <c r="Q95" s="37">
        <f t="shared" si="37"/>
        <v>80000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0</v>
      </c>
    </row>
    <row r="99" spans="2:17" ht="32.4">
      <c r="B99" s="72" t="s">
        <v>235</v>
      </c>
      <c r="D99" s="30">
        <f>HLOOKUP(D1,縣庫撥款收入明細表!H:DD,5,FALSE)</f>
        <v>600000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1004000</v>
      </c>
    </row>
    <row r="102" spans="2:17" ht="32.4">
      <c r="B102" s="71" t="s">
        <v>238</v>
      </c>
      <c r="D102" s="30">
        <f>HLOOKUP(D1,縣庫撥款收入明細表!H:DD,16,FALSE)</f>
        <v>143000</v>
      </c>
    </row>
    <row r="103" spans="2:17" ht="32.4">
      <c r="B103" s="72" t="s">
        <v>239</v>
      </c>
      <c r="D103" s="30">
        <f>HLOOKUP(D1,縣庫撥款收入明細表!H:DD,17,FALSE)</f>
        <v>0</v>
      </c>
    </row>
    <row r="104" spans="2:17" ht="32.4">
      <c r="B104" s="76" t="s">
        <v>240</v>
      </c>
      <c r="D104" s="30">
        <f>HLOOKUP(D1,縣庫撥款收入明細表!H:DD,18,FALSE)</f>
        <v>322000</v>
      </c>
    </row>
    <row r="105" spans="2:17" ht="32.4">
      <c r="B105" s="72" t="s">
        <v>380</v>
      </c>
      <c r="D105" s="30">
        <f>HLOOKUP(D1,縣庫撥款收入明細表!H:DD,19,FALSE)</f>
        <v>0</v>
      </c>
    </row>
    <row r="106" spans="2:17" ht="32.4">
      <c r="B106" s="71" t="s">
        <v>241</v>
      </c>
      <c r="D106" s="30">
        <f>HLOOKUP(D1,縣庫撥款收入明細表!H:DD,20,FALSE)</f>
        <v>9000</v>
      </c>
    </row>
    <row r="107" spans="2:17" ht="32.4">
      <c r="B107" s="77" t="s">
        <v>242</v>
      </c>
      <c r="D107" s="30">
        <f>HLOOKUP(D1,縣庫撥款收入明細表!H:DD,21,FALSE)</f>
        <v>32296000</v>
      </c>
    </row>
    <row r="108" spans="2:17" ht="16.5" customHeight="1"/>
    <row r="109" spans="2:17" ht="16.5" customHeight="1">
      <c r="B109" s="4" t="s">
        <v>682</v>
      </c>
      <c r="D109" s="30">
        <f>D91-D76</f>
        <v>30643000</v>
      </c>
      <c r="F109" s="30">
        <f>F91-F76</f>
        <v>8902000</v>
      </c>
      <c r="G109" s="30">
        <f t="shared" ref="G109:Q109" si="38">G91-G76</f>
        <v>2050000</v>
      </c>
      <c r="H109" s="30">
        <f t="shared" si="38"/>
        <v>2355000</v>
      </c>
      <c r="I109" s="30">
        <f t="shared" si="38"/>
        <v>2554000</v>
      </c>
      <c r="J109" s="30">
        <f t="shared" si="38"/>
        <v>2050000</v>
      </c>
      <c r="K109" s="30">
        <f t="shared" si="38"/>
        <v>2052000</v>
      </c>
      <c r="L109" s="30">
        <f t="shared" si="38"/>
        <v>2071000</v>
      </c>
      <c r="M109" s="30">
        <f t="shared" si="38"/>
        <v>2050000</v>
      </c>
      <c r="N109" s="30">
        <f t="shared" si="38"/>
        <v>4339000</v>
      </c>
      <c r="O109" s="30">
        <f t="shared" si="38"/>
        <v>2040000</v>
      </c>
      <c r="P109" s="30">
        <f t="shared" si="38"/>
        <v>91000</v>
      </c>
      <c r="Q109" s="30">
        <f t="shared" si="38"/>
        <v>89000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52" priority="1" operator="less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topLeftCell="A103"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627</v>
      </c>
      <c r="D1" s="240" t="str">
        <f>VLOOKUP(C1,學校編號!A:B,2,FALSE)</f>
        <v>627豐裡國小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23016000</v>
      </c>
      <c r="E2" s="37"/>
      <c r="F2" s="37">
        <f>F48+F70+F76+F77+F83</f>
        <v>6708000</v>
      </c>
      <c r="G2" s="37">
        <f t="shared" ref="G2:Q2" si="0">G48+G70+G76+G77+G83</f>
        <v>1549000</v>
      </c>
      <c r="H2" s="37">
        <f t="shared" si="0"/>
        <v>1726000</v>
      </c>
      <c r="I2" s="37">
        <f t="shared" si="0"/>
        <v>1926000</v>
      </c>
      <c r="J2" s="37">
        <f t="shared" si="0"/>
        <v>1549000</v>
      </c>
      <c r="K2" s="37">
        <f t="shared" si="0"/>
        <v>1549000</v>
      </c>
      <c r="L2" s="37">
        <f t="shared" si="0"/>
        <v>1574000</v>
      </c>
      <c r="M2" s="37">
        <f t="shared" si="0"/>
        <v>1549000</v>
      </c>
      <c r="N2" s="37">
        <f t="shared" si="0"/>
        <v>3203000</v>
      </c>
      <c r="O2" s="37">
        <f t="shared" si="0"/>
        <v>1540000</v>
      </c>
      <c r="P2" s="37">
        <f t="shared" si="0"/>
        <v>71000</v>
      </c>
      <c r="Q2" s="37">
        <f t="shared" si="0"/>
        <v>72000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120000</v>
      </c>
      <c r="E3" s="37" t="s">
        <v>525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51000</v>
      </c>
      <c r="E4" s="37" t="s">
        <v>525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63000</v>
      </c>
      <c r="E7" s="37" t="s">
        <v>525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80000</v>
      </c>
      <c r="E14" s="37" t="s">
        <v>525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30000</v>
      </c>
      <c r="E15" s="37" t="s">
        <v>193</v>
      </c>
      <c r="F15" s="37">
        <f>ROUND($D15/2,-3)</f>
        <v>15000</v>
      </c>
      <c r="G15" s="37"/>
      <c r="H15" s="37"/>
      <c r="I15" s="37"/>
      <c r="J15" s="37"/>
      <c r="K15" s="37"/>
      <c r="L15" s="37">
        <f>D15-F15</f>
        <v>15000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42000</v>
      </c>
      <c r="E17" s="37" t="s">
        <v>525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550000</v>
      </c>
      <c r="E25" s="108"/>
      <c r="F25" s="108">
        <f>ROUND(SUM(F3:F24),-3)</f>
        <v>58000</v>
      </c>
      <c r="G25" s="108">
        <f t="shared" ref="G25:P25" si="5">ROUND(SUM(G3:G24),-3)</f>
        <v>43000</v>
      </c>
      <c r="H25" s="108">
        <f t="shared" si="5"/>
        <v>43000</v>
      </c>
      <c r="I25" s="108">
        <f t="shared" si="5"/>
        <v>43000</v>
      </c>
      <c r="J25" s="108">
        <f t="shared" si="5"/>
        <v>43000</v>
      </c>
      <c r="K25" s="108">
        <f t="shared" si="5"/>
        <v>43000</v>
      </c>
      <c r="L25" s="108">
        <f t="shared" si="5"/>
        <v>58000</v>
      </c>
      <c r="M25" s="108">
        <f t="shared" si="5"/>
        <v>43000</v>
      </c>
      <c r="N25" s="108">
        <f t="shared" si="5"/>
        <v>43000</v>
      </c>
      <c r="O25" s="108">
        <f t="shared" si="5"/>
        <v>43000</v>
      </c>
      <c r="P25" s="108">
        <f t="shared" si="5"/>
        <v>43000</v>
      </c>
      <c r="Q25" s="108">
        <f t="shared" ref="Q25:Q33" si="6">D25-SUM(F25:P25)</f>
        <v>47000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241000</v>
      </c>
      <c r="E27" s="37" t="s">
        <v>525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18000</v>
      </c>
      <c r="E29" s="37" t="s">
        <v>525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16000</v>
      </c>
      <c r="E30" s="37" t="s">
        <v>525</v>
      </c>
      <c r="F30" s="37">
        <f t="shared" si="8"/>
        <v>1333</v>
      </c>
      <c r="G30" s="37">
        <f t="shared" si="8"/>
        <v>1333</v>
      </c>
      <c r="H30" s="37">
        <f t="shared" si="8"/>
        <v>1333</v>
      </c>
      <c r="I30" s="37">
        <f t="shared" si="8"/>
        <v>1333</v>
      </c>
      <c r="J30" s="37">
        <f t="shared" si="8"/>
        <v>1333</v>
      </c>
      <c r="K30" s="37">
        <f t="shared" si="8"/>
        <v>1333</v>
      </c>
      <c r="L30" s="37">
        <f t="shared" si="8"/>
        <v>1333</v>
      </c>
      <c r="M30" s="37">
        <f t="shared" si="8"/>
        <v>1333</v>
      </c>
      <c r="N30" s="37">
        <f t="shared" si="8"/>
        <v>1333</v>
      </c>
      <c r="O30" s="37">
        <f t="shared" si="8"/>
        <v>1333</v>
      </c>
      <c r="P30" s="37">
        <f t="shared" si="8"/>
        <v>1333</v>
      </c>
      <c r="Q30" s="37">
        <f t="shared" si="6"/>
        <v>1337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8000</v>
      </c>
      <c r="E31" s="37" t="s">
        <v>525</v>
      </c>
      <c r="F31" s="37">
        <f t="shared" si="8"/>
        <v>667</v>
      </c>
      <c r="G31" s="37">
        <f t="shared" si="8"/>
        <v>667</v>
      </c>
      <c r="H31" s="37">
        <f t="shared" si="8"/>
        <v>667</v>
      </c>
      <c r="I31" s="37">
        <f t="shared" si="8"/>
        <v>667</v>
      </c>
      <c r="J31" s="37">
        <f t="shared" si="8"/>
        <v>667</v>
      </c>
      <c r="K31" s="37">
        <f t="shared" si="8"/>
        <v>667</v>
      </c>
      <c r="L31" s="37">
        <f t="shared" si="8"/>
        <v>667</v>
      </c>
      <c r="M31" s="37">
        <f t="shared" si="8"/>
        <v>667</v>
      </c>
      <c r="N31" s="37">
        <f t="shared" si="8"/>
        <v>667</v>
      </c>
      <c r="O31" s="37">
        <f t="shared" si="8"/>
        <v>667</v>
      </c>
      <c r="P31" s="37">
        <f t="shared" si="8"/>
        <v>667</v>
      </c>
      <c r="Q31" s="37">
        <f t="shared" si="6"/>
        <v>663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20000</v>
      </c>
      <c r="E36" s="37" t="s">
        <v>193</v>
      </c>
      <c r="F36" s="37">
        <f>ROUND($D36/2,-3)</f>
        <v>10000</v>
      </c>
      <c r="G36" s="37"/>
      <c r="H36" s="37"/>
      <c r="I36" s="37"/>
      <c r="J36" s="37"/>
      <c r="K36" s="37"/>
      <c r="L36" s="37">
        <f>D36-F36</f>
        <v>10000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303000</v>
      </c>
      <c r="E37" s="108"/>
      <c r="F37" s="108">
        <f t="shared" ref="F37:P37" si="9">ROUND(SUM(F26:F36),-3)</f>
        <v>34000</v>
      </c>
      <c r="G37" s="108">
        <f t="shared" si="9"/>
        <v>24000</v>
      </c>
      <c r="H37" s="108">
        <f t="shared" si="9"/>
        <v>24000</v>
      </c>
      <c r="I37" s="108">
        <f t="shared" si="9"/>
        <v>24000</v>
      </c>
      <c r="J37" s="108">
        <f t="shared" si="9"/>
        <v>24000</v>
      </c>
      <c r="K37" s="108">
        <f t="shared" si="9"/>
        <v>24000</v>
      </c>
      <c r="L37" s="108">
        <f t="shared" si="9"/>
        <v>34000</v>
      </c>
      <c r="M37" s="108">
        <f t="shared" si="9"/>
        <v>24000</v>
      </c>
      <c r="N37" s="108">
        <f t="shared" si="9"/>
        <v>24000</v>
      </c>
      <c r="O37" s="108">
        <f t="shared" si="9"/>
        <v>24000</v>
      </c>
      <c r="P37" s="108">
        <f t="shared" si="9"/>
        <v>24000</v>
      </c>
      <c r="Q37" s="108">
        <f>D37-SUM(F37:P37)</f>
        <v>19000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853000</v>
      </c>
      <c r="E48" s="37"/>
      <c r="F48" s="115">
        <f>F25+F37+F45+F47</f>
        <v>92000</v>
      </c>
      <c r="G48" s="115">
        <f t="shared" ref="G48:R48" si="14">G25+G37+G45+G47</f>
        <v>67000</v>
      </c>
      <c r="H48" s="115">
        <f t="shared" si="14"/>
        <v>67000</v>
      </c>
      <c r="I48" s="115">
        <f t="shared" si="14"/>
        <v>67000</v>
      </c>
      <c r="J48" s="115">
        <f t="shared" si="14"/>
        <v>67000</v>
      </c>
      <c r="K48" s="115">
        <f t="shared" si="14"/>
        <v>67000</v>
      </c>
      <c r="L48" s="115">
        <f t="shared" si="14"/>
        <v>92000</v>
      </c>
      <c r="M48" s="115">
        <f t="shared" si="14"/>
        <v>67000</v>
      </c>
      <c r="N48" s="115">
        <f t="shared" si="14"/>
        <v>67000</v>
      </c>
      <c r="O48" s="115">
        <f t="shared" si="14"/>
        <v>67000</v>
      </c>
      <c r="P48" s="115">
        <f t="shared" si="14"/>
        <v>67000</v>
      </c>
      <c r="Q48" s="115">
        <f t="shared" si="14"/>
        <v>66000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13676000</v>
      </c>
      <c r="E49" s="114" t="s">
        <v>202</v>
      </c>
      <c r="F49" s="37">
        <f>ROUND($D49/12*3,-3)</f>
        <v>3419000</v>
      </c>
      <c r="G49" s="37">
        <f>ROUND($D49/12,-3)</f>
        <v>1140000</v>
      </c>
      <c r="H49" s="37">
        <f t="shared" ref="H49:N53" si="15">ROUND($D49/12,-3)</f>
        <v>1140000</v>
      </c>
      <c r="I49" s="37">
        <f t="shared" si="15"/>
        <v>1140000</v>
      </c>
      <c r="J49" s="37">
        <f t="shared" si="15"/>
        <v>1140000</v>
      </c>
      <c r="K49" s="37">
        <f t="shared" si="15"/>
        <v>1140000</v>
      </c>
      <c r="L49" s="37">
        <f t="shared" si="15"/>
        <v>1140000</v>
      </c>
      <c r="M49" s="37">
        <f t="shared" si="15"/>
        <v>1140000</v>
      </c>
      <c r="N49" s="37">
        <f t="shared" si="15"/>
        <v>1140000</v>
      </c>
      <c r="O49" s="37">
        <f>D49-SUM(F49:N49)</f>
        <v>1137000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0</v>
      </c>
      <c r="E51" s="114" t="s">
        <v>202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5"/>
        <v>0</v>
      </c>
      <c r="N51" s="37">
        <f t="shared" si="15"/>
        <v>0</v>
      </c>
      <c r="O51" s="37">
        <f t="shared" si="18"/>
        <v>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0</v>
      </c>
      <c r="E52" s="114" t="s">
        <v>202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5"/>
        <v>0</v>
      </c>
      <c r="N52" s="37">
        <f t="shared" si="15"/>
        <v>0</v>
      </c>
      <c r="O52" s="37">
        <f t="shared" si="18"/>
        <v>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26000</v>
      </c>
      <c r="E54" s="37" t="s">
        <v>525</v>
      </c>
      <c r="F54" s="37">
        <f t="shared" ref="F54:P61" si="19">ROUND($D54/12,0)</f>
        <v>2167</v>
      </c>
      <c r="G54" s="37">
        <f t="shared" si="19"/>
        <v>2167</v>
      </c>
      <c r="H54" s="37">
        <f t="shared" si="19"/>
        <v>2167</v>
      </c>
      <c r="I54" s="37">
        <f t="shared" si="19"/>
        <v>2167</v>
      </c>
      <c r="J54" s="37">
        <f t="shared" si="19"/>
        <v>2167</v>
      </c>
      <c r="K54" s="37">
        <f t="shared" si="19"/>
        <v>2167</v>
      </c>
      <c r="L54" s="37">
        <f t="shared" si="19"/>
        <v>2167</v>
      </c>
      <c r="M54" s="37">
        <f t="shared" si="19"/>
        <v>2167</v>
      </c>
      <c r="N54" s="37">
        <f t="shared" si="19"/>
        <v>2167</v>
      </c>
      <c r="O54" s="37">
        <f t="shared" si="19"/>
        <v>2167</v>
      </c>
      <c r="P54" s="37">
        <f t="shared" si="19"/>
        <v>2167</v>
      </c>
      <c r="Q54" s="37">
        <f t="shared" ref="Q54:Q61" si="20">D54-SUM(F54:P54)</f>
        <v>2163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383000</v>
      </c>
      <c r="E60" s="37" t="s">
        <v>195</v>
      </c>
      <c r="F60" s="37">
        <f>D60</f>
        <v>383000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1885000</v>
      </c>
      <c r="E62" s="37" t="s">
        <v>197</v>
      </c>
      <c r="F62" s="37"/>
      <c r="G62" s="37"/>
      <c r="H62" s="37"/>
      <c r="I62" s="37">
        <f>ROUND($D62/5,-3)</f>
        <v>377000</v>
      </c>
      <c r="J62" s="37"/>
      <c r="K62" s="37"/>
      <c r="L62" s="37"/>
      <c r="M62" s="37"/>
      <c r="N62" s="37">
        <f>D62-I62</f>
        <v>1508000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1684000</v>
      </c>
      <c r="E63" s="37" t="s">
        <v>195</v>
      </c>
      <c r="F63" s="37">
        <f>D63</f>
        <v>1684000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1498000</v>
      </c>
      <c r="E64" s="114" t="s">
        <v>202</v>
      </c>
      <c r="F64" s="37">
        <f>ROUND($D64/12*3,-3)</f>
        <v>375000</v>
      </c>
      <c r="G64" s="37">
        <f>ROUND($D64/12,-3)</f>
        <v>125000</v>
      </c>
      <c r="H64" s="37">
        <f t="shared" ref="H64:N66" si="21">ROUND($D64/12,-3)</f>
        <v>125000</v>
      </c>
      <c r="I64" s="37">
        <f t="shared" si="21"/>
        <v>125000</v>
      </c>
      <c r="J64" s="37">
        <f t="shared" si="21"/>
        <v>125000</v>
      </c>
      <c r="K64" s="37">
        <f t="shared" si="21"/>
        <v>125000</v>
      </c>
      <c r="L64" s="37">
        <f t="shared" si="21"/>
        <v>125000</v>
      </c>
      <c r="M64" s="37">
        <f t="shared" si="21"/>
        <v>125000</v>
      </c>
      <c r="N64" s="37">
        <f t="shared" si="21"/>
        <v>125000</v>
      </c>
      <c r="O64" s="37">
        <f>D64-SUM(F64:N64)</f>
        <v>123000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362000</v>
      </c>
      <c r="E65" s="114" t="s">
        <v>202</v>
      </c>
      <c r="F65" s="37">
        <f t="shared" ref="F65:F66" si="22">ROUND($D65/12*3,-3)</f>
        <v>91000</v>
      </c>
      <c r="G65" s="37">
        <f t="shared" ref="G65:G66" si="23">ROUND($D65/12,-3)</f>
        <v>30000</v>
      </c>
      <c r="H65" s="37">
        <f t="shared" si="21"/>
        <v>30000</v>
      </c>
      <c r="I65" s="37">
        <f t="shared" si="21"/>
        <v>30000</v>
      </c>
      <c r="J65" s="37">
        <f t="shared" si="21"/>
        <v>30000</v>
      </c>
      <c r="K65" s="37">
        <f t="shared" si="21"/>
        <v>30000</v>
      </c>
      <c r="L65" s="37">
        <f t="shared" si="21"/>
        <v>30000</v>
      </c>
      <c r="M65" s="37">
        <f t="shared" si="21"/>
        <v>30000</v>
      </c>
      <c r="N65" s="37">
        <f t="shared" si="21"/>
        <v>30000</v>
      </c>
      <c r="O65" s="37">
        <f t="shared" ref="O65:O66" si="24">D65-SUM(F65:N65)</f>
        <v>31000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937000</v>
      </c>
      <c r="E66" s="114" t="s">
        <v>202</v>
      </c>
      <c r="F66" s="37">
        <f t="shared" si="22"/>
        <v>234000</v>
      </c>
      <c r="G66" s="37">
        <f t="shared" si="23"/>
        <v>78000</v>
      </c>
      <c r="H66" s="37">
        <f t="shared" si="21"/>
        <v>78000</v>
      </c>
      <c r="I66" s="37">
        <f t="shared" si="21"/>
        <v>78000</v>
      </c>
      <c r="J66" s="37">
        <f t="shared" si="21"/>
        <v>78000</v>
      </c>
      <c r="K66" s="37">
        <f t="shared" si="21"/>
        <v>78000</v>
      </c>
      <c r="L66" s="37">
        <f t="shared" si="21"/>
        <v>78000</v>
      </c>
      <c r="M66" s="37">
        <f t="shared" si="21"/>
        <v>78000</v>
      </c>
      <c r="N66" s="37">
        <f t="shared" si="21"/>
        <v>78000</v>
      </c>
      <c r="O66" s="37">
        <f t="shared" si="24"/>
        <v>79000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31000</v>
      </c>
      <c r="E67" s="37" t="s">
        <v>196</v>
      </c>
      <c r="F67" s="37"/>
      <c r="G67" s="37"/>
      <c r="H67" s="37">
        <f>D67</f>
        <v>31000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112000</v>
      </c>
      <c r="E68" s="37" t="s">
        <v>195</v>
      </c>
      <c r="F68" s="37">
        <f>D68</f>
        <v>112000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20618000</v>
      </c>
      <c r="E70" s="108"/>
      <c r="F70" s="108">
        <f t="shared" ref="F70:P70" si="25">ROUND(SUM(F49:F69),-3)</f>
        <v>6302000</v>
      </c>
      <c r="G70" s="108">
        <f t="shared" si="25"/>
        <v>1377000</v>
      </c>
      <c r="H70" s="108">
        <f t="shared" si="25"/>
        <v>1408000</v>
      </c>
      <c r="I70" s="108">
        <f t="shared" si="25"/>
        <v>1754000</v>
      </c>
      <c r="J70" s="108">
        <f t="shared" si="25"/>
        <v>1377000</v>
      </c>
      <c r="K70" s="108">
        <f t="shared" si="25"/>
        <v>1377000</v>
      </c>
      <c r="L70" s="108">
        <f t="shared" si="25"/>
        <v>1377000</v>
      </c>
      <c r="M70" s="108">
        <f t="shared" si="25"/>
        <v>1377000</v>
      </c>
      <c r="N70" s="108">
        <f t="shared" si="25"/>
        <v>2885000</v>
      </c>
      <c r="O70" s="108">
        <f t="shared" si="25"/>
        <v>1374000</v>
      </c>
      <c r="P70" s="108">
        <f t="shared" si="25"/>
        <v>4000</v>
      </c>
      <c r="Q70" s="108">
        <f>D70-SUM(F70:P70)</f>
        <v>6000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787000</v>
      </c>
      <c r="E72" s="114" t="s">
        <v>202</v>
      </c>
      <c r="F72" s="37">
        <f>ROUND($D72/12*3,-3)</f>
        <v>197000</v>
      </c>
      <c r="G72" s="37">
        <f>ROUND($D72/12,-3)</f>
        <v>66000</v>
      </c>
      <c r="H72" s="37">
        <f t="shared" ref="H72:N75" si="26">ROUND($D72/12,-3)</f>
        <v>66000</v>
      </c>
      <c r="I72" s="37">
        <f t="shared" si="26"/>
        <v>66000</v>
      </c>
      <c r="J72" s="37">
        <f t="shared" si="26"/>
        <v>66000</v>
      </c>
      <c r="K72" s="37">
        <f t="shared" si="26"/>
        <v>66000</v>
      </c>
      <c r="L72" s="37">
        <f t="shared" si="26"/>
        <v>66000</v>
      </c>
      <c r="M72" s="37">
        <f t="shared" si="26"/>
        <v>66000</v>
      </c>
      <c r="N72" s="37">
        <f t="shared" si="26"/>
        <v>66000</v>
      </c>
      <c r="O72" s="37">
        <f>D72-SUM(F72:N72)</f>
        <v>62000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466000</v>
      </c>
      <c r="E75" s="114" t="s">
        <v>202</v>
      </c>
      <c r="F75" s="37">
        <f>ROUND($D75/12*3,-3)</f>
        <v>117000</v>
      </c>
      <c r="G75" s="37">
        <f>ROUND($D75/12,-3)</f>
        <v>39000</v>
      </c>
      <c r="H75" s="37">
        <f t="shared" si="26"/>
        <v>39000</v>
      </c>
      <c r="I75" s="37">
        <f t="shared" si="26"/>
        <v>39000</v>
      </c>
      <c r="J75" s="37">
        <f t="shared" si="26"/>
        <v>39000</v>
      </c>
      <c r="K75" s="37">
        <f t="shared" si="26"/>
        <v>39000</v>
      </c>
      <c r="L75" s="37">
        <f t="shared" si="26"/>
        <v>39000</v>
      </c>
      <c r="M75" s="37">
        <f t="shared" si="26"/>
        <v>39000</v>
      </c>
      <c r="N75" s="37">
        <f t="shared" si="26"/>
        <v>39000</v>
      </c>
      <c r="O75" s="37">
        <f>D75-SUM(F75:N75)</f>
        <v>37000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1253000</v>
      </c>
      <c r="E76" s="108"/>
      <c r="F76" s="108">
        <f>ROUND(SUM(F71:F75),-3)</f>
        <v>314000</v>
      </c>
      <c r="G76" s="108">
        <f t="shared" ref="G76:N76" si="27">ROUND(SUM(G71:G75),-3)</f>
        <v>105000</v>
      </c>
      <c r="H76" s="108">
        <f t="shared" si="27"/>
        <v>105000</v>
      </c>
      <c r="I76" s="108">
        <f t="shared" si="27"/>
        <v>105000</v>
      </c>
      <c r="J76" s="108">
        <f t="shared" si="27"/>
        <v>105000</v>
      </c>
      <c r="K76" s="108">
        <f t="shared" si="27"/>
        <v>105000</v>
      </c>
      <c r="L76" s="108">
        <f t="shared" si="27"/>
        <v>105000</v>
      </c>
      <c r="M76" s="108">
        <f t="shared" si="27"/>
        <v>105000</v>
      </c>
      <c r="N76" s="108">
        <f t="shared" si="27"/>
        <v>105000</v>
      </c>
      <c r="O76" s="108">
        <f>D76-SUM(F76:N76)</f>
        <v>99000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292000</v>
      </c>
      <c r="E77" s="37" t="s">
        <v>681</v>
      </c>
      <c r="F77" s="224"/>
      <c r="G77" s="224"/>
      <c r="H77" s="224">
        <f>ROUND($D77/2,-3)</f>
        <v>146000</v>
      </c>
      <c r="I77" s="224"/>
      <c r="J77" s="224"/>
      <c r="K77" s="224"/>
      <c r="L77" s="224"/>
      <c r="M77" s="224"/>
      <c r="N77" s="224">
        <f>D77-H77</f>
        <v>146000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22163000</v>
      </c>
      <c r="E78" s="227"/>
      <c r="F78" s="227">
        <f>F76+F70+F77</f>
        <v>6616000</v>
      </c>
      <c r="G78" s="227">
        <f t="shared" ref="G78:Q78" si="29">G76+G70+G77</f>
        <v>1482000</v>
      </c>
      <c r="H78" s="227">
        <f t="shared" si="29"/>
        <v>1659000</v>
      </c>
      <c r="I78" s="227">
        <f t="shared" si="29"/>
        <v>1859000</v>
      </c>
      <c r="J78" s="227">
        <f t="shared" si="29"/>
        <v>1482000</v>
      </c>
      <c r="K78" s="227">
        <f t="shared" si="29"/>
        <v>1482000</v>
      </c>
      <c r="L78" s="227">
        <f t="shared" si="29"/>
        <v>1482000</v>
      </c>
      <c r="M78" s="227">
        <f t="shared" si="29"/>
        <v>1482000</v>
      </c>
      <c r="N78" s="227">
        <f t="shared" si="29"/>
        <v>3136000</v>
      </c>
      <c r="O78" s="227">
        <f t="shared" si="29"/>
        <v>1473000</v>
      </c>
      <c r="P78" s="227">
        <f t="shared" si="29"/>
        <v>4000</v>
      </c>
      <c r="Q78" s="227">
        <f t="shared" si="29"/>
        <v>6000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23016000</v>
      </c>
      <c r="E87" s="37"/>
      <c r="F87" s="37">
        <f>F88+F89+F90+F91</f>
        <v>6708000</v>
      </c>
      <c r="G87" s="37">
        <f t="shared" ref="G87:Q87" si="32">G88+G89+G90+G91</f>
        <v>1549000</v>
      </c>
      <c r="H87" s="37">
        <f t="shared" si="32"/>
        <v>1726000</v>
      </c>
      <c r="I87" s="37">
        <f t="shared" si="32"/>
        <v>1926000</v>
      </c>
      <c r="J87" s="37">
        <f t="shared" si="32"/>
        <v>1549000</v>
      </c>
      <c r="K87" s="37">
        <f t="shared" si="32"/>
        <v>1549000</v>
      </c>
      <c r="L87" s="37">
        <f t="shared" si="32"/>
        <v>1574000</v>
      </c>
      <c r="M87" s="37">
        <f t="shared" si="32"/>
        <v>1549000</v>
      </c>
      <c r="N87" s="37">
        <f t="shared" si="32"/>
        <v>3203000</v>
      </c>
      <c r="O87" s="37">
        <f t="shared" si="32"/>
        <v>1540000</v>
      </c>
      <c r="P87" s="37">
        <f t="shared" si="32"/>
        <v>71000</v>
      </c>
      <c r="Q87" s="37">
        <f t="shared" si="32"/>
        <v>72000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20000</v>
      </c>
      <c r="E88" s="108" t="s">
        <v>193</v>
      </c>
      <c r="F88" s="108">
        <f>ROUND($D88/2,-3)</f>
        <v>10000</v>
      </c>
      <c r="G88" s="108"/>
      <c r="H88" s="108"/>
      <c r="I88" s="108"/>
      <c r="J88" s="108"/>
      <c r="K88" s="108"/>
      <c r="L88" s="108">
        <f>D88-F88</f>
        <v>10000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22996000</v>
      </c>
      <c r="E91" s="108"/>
      <c r="F91" s="108">
        <f>F92+F93+F94+F95</f>
        <v>6698000</v>
      </c>
      <c r="G91" s="108">
        <f t="shared" ref="G91:Q91" si="34">G92+G93+G94+G95</f>
        <v>1549000</v>
      </c>
      <c r="H91" s="108">
        <f t="shared" si="34"/>
        <v>1726000</v>
      </c>
      <c r="I91" s="108">
        <f t="shared" si="34"/>
        <v>1926000</v>
      </c>
      <c r="J91" s="108">
        <f t="shared" si="34"/>
        <v>1549000</v>
      </c>
      <c r="K91" s="108">
        <f t="shared" si="34"/>
        <v>1549000</v>
      </c>
      <c r="L91" s="108">
        <f t="shared" si="34"/>
        <v>1564000</v>
      </c>
      <c r="M91" s="108">
        <f t="shared" si="34"/>
        <v>1549000</v>
      </c>
      <c r="N91" s="108">
        <f t="shared" si="34"/>
        <v>3203000</v>
      </c>
      <c r="O91" s="108">
        <f t="shared" si="34"/>
        <v>1540000</v>
      </c>
      <c r="P91" s="108">
        <f t="shared" si="34"/>
        <v>71000</v>
      </c>
      <c r="Q91" s="108">
        <f t="shared" si="34"/>
        <v>72000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1300000</v>
      </c>
      <c r="E92" s="114" t="s">
        <v>537</v>
      </c>
      <c r="F92" s="37">
        <f>ROUND($D92/12*5,-3)</f>
        <v>542000</v>
      </c>
      <c r="G92" s="37">
        <f>ROUND($D92/12,-3)</f>
        <v>108000</v>
      </c>
      <c r="H92" s="37">
        <f t="shared" ref="H92:L92" si="35">ROUND($D92/12,-3)</f>
        <v>108000</v>
      </c>
      <c r="I92" s="37">
        <f t="shared" si="35"/>
        <v>108000</v>
      </c>
      <c r="J92" s="37">
        <f t="shared" si="35"/>
        <v>108000</v>
      </c>
      <c r="K92" s="37">
        <f t="shared" si="35"/>
        <v>108000</v>
      </c>
      <c r="L92" s="37">
        <f t="shared" si="35"/>
        <v>108000</v>
      </c>
      <c r="M92" s="37">
        <f>D92-SUM(F92:L92)</f>
        <v>110000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77000</v>
      </c>
      <c r="E93" s="109" t="s">
        <v>227</v>
      </c>
      <c r="F93" s="37">
        <f>ROUND($D93/12,-3)</f>
        <v>6000</v>
      </c>
      <c r="G93" s="37">
        <f t="shared" ref="G93:P93" si="36">ROUND($D93/12,-3)</f>
        <v>6000</v>
      </c>
      <c r="H93" s="37">
        <f t="shared" si="36"/>
        <v>6000</v>
      </c>
      <c r="I93" s="37">
        <f t="shared" si="36"/>
        <v>6000</v>
      </c>
      <c r="J93" s="37">
        <f t="shared" si="36"/>
        <v>6000</v>
      </c>
      <c r="K93" s="37">
        <f t="shared" si="36"/>
        <v>6000</v>
      </c>
      <c r="L93" s="37">
        <f t="shared" si="36"/>
        <v>6000</v>
      </c>
      <c r="M93" s="37">
        <f t="shared" si="36"/>
        <v>6000</v>
      </c>
      <c r="N93" s="37">
        <f t="shared" si="36"/>
        <v>6000</v>
      </c>
      <c r="O93" s="37">
        <f t="shared" si="36"/>
        <v>6000</v>
      </c>
      <c r="P93" s="37">
        <f t="shared" si="36"/>
        <v>6000</v>
      </c>
      <c r="Q93" s="37">
        <f>D93-SUM(F93:P93)</f>
        <v>11000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1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21619000</v>
      </c>
      <c r="E95" s="37"/>
      <c r="F95" s="37">
        <f>F2+F86-F88-F89-F90-F92-F93-F94</f>
        <v>6150000</v>
      </c>
      <c r="G95" s="37">
        <f t="shared" ref="G95:Q95" si="37">G2-G88-G89-G90-G92-G93-G94</f>
        <v>1435000</v>
      </c>
      <c r="H95" s="37">
        <f t="shared" si="37"/>
        <v>1612000</v>
      </c>
      <c r="I95" s="37">
        <f t="shared" si="37"/>
        <v>1812000</v>
      </c>
      <c r="J95" s="37">
        <f t="shared" si="37"/>
        <v>1435000</v>
      </c>
      <c r="K95" s="37">
        <f t="shared" si="37"/>
        <v>1435000</v>
      </c>
      <c r="L95" s="37">
        <f t="shared" si="37"/>
        <v>1450000</v>
      </c>
      <c r="M95" s="37">
        <f t="shared" si="37"/>
        <v>1433000</v>
      </c>
      <c r="N95" s="37">
        <f t="shared" si="37"/>
        <v>3197000</v>
      </c>
      <c r="O95" s="37">
        <f t="shared" si="37"/>
        <v>1534000</v>
      </c>
      <c r="P95" s="37">
        <f t="shared" si="37"/>
        <v>65000</v>
      </c>
      <c r="Q95" s="37">
        <f t="shared" si="37"/>
        <v>61000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0</v>
      </c>
    </row>
    <row r="99" spans="2:17" ht="32.4">
      <c r="B99" s="72" t="s">
        <v>235</v>
      </c>
      <c r="D99" s="30">
        <f>HLOOKUP(D1,縣庫撥款收入明細表!H:DD,5,FALSE)</f>
        <v>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0</v>
      </c>
    </row>
    <row r="102" spans="2:17" ht="32.4">
      <c r="B102" s="71" t="s">
        <v>238</v>
      </c>
      <c r="D102" s="30">
        <f>HLOOKUP(D1,縣庫撥款收入明細表!H:DD,16,FALSE)</f>
        <v>72000</v>
      </c>
    </row>
    <row r="103" spans="2:17" ht="32.4">
      <c r="B103" s="72" t="s">
        <v>239</v>
      </c>
      <c r="D103" s="30">
        <f>HLOOKUP(D1,縣庫撥款收入明細表!H:DD,17,FALSE)</f>
        <v>0</v>
      </c>
    </row>
    <row r="104" spans="2:17" ht="32.4">
      <c r="B104" s="76" t="s">
        <v>240</v>
      </c>
      <c r="D104" s="30">
        <f>HLOOKUP(D1,縣庫撥款收入明細表!H:DD,18,FALSE)</f>
        <v>0</v>
      </c>
    </row>
    <row r="105" spans="2:17" ht="32.4">
      <c r="B105" s="72" t="s">
        <v>380</v>
      </c>
      <c r="D105" s="30">
        <f>HLOOKUP(D1,縣庫撥款收入明細表!H:DD,19,FALSE)</f>
        <v>1300000</v>
      </c>
    </row>
    <row r="106" spans="2:17" ht="32.4">
      <c r="B106" s="71" t="s">
        <v>241</v>
      </c>
      <c r="D106" s="30">
        <f>HLOOKUP(D1,縣庫撥款收入明細表!H:DD,20,FALSE)</f>
        <v>5000</v>
      </c>
    </row>
    <row r="107" spans="2:17" ht="32.4">
      <c r="B107" s="77" t="s">
        <v>242</v>
      </c>
      <c r="D107" s="30">
        <f>HLOOKUP(D1,縣庫撥款收入明細表!H:DD,21,FALSE)</f>
        <v>21619000</v>
      </c>
    </row>
    <row r="108" spans="2:17" ht="16.5" customHeight="1"/>
    <row r="109" spans="2:17" ht="16.5" customHeight="1">
      <c r="B109" s="4" t="s">
        <v>682</v>
      </c>
      <c r="D109" s="30">
        <f>D91-D76</f>
        <v>21743000</v>
      </c>
      <c r="F109" s="30">
        <f>F91-F76</f>
        <v>6384000</v>
      </c>
      <c r="G109" s="30">
        <f t="shared" ref="G109:Q109" si="38">G91-G76</f>
        <v>1444000</v>
      </c>
      <c r="H109" s="30">
        <f t="shared" si="38"/>
        <v>1621000</v>
      </c>
      <c r="I109" s="30">
        <f t="shared" si="38"/>
        <v>1821000</v>
      </c>
      <c r="J109" s="30">
        <f t="shared" si="38"/>
        <v>1444000</v>
      </c>
      <c r="K109" s="30">
        <f t="shared" si="38"/>
        <v>1444000</v>
      </c>
      <c r="L109" s="30">
        <f t="shared" si="38"/>
        <v>1459000</v>
      </c>
      <c r="M109" s="30">
        <f t="shared" si="38"/>
        <v>1444000</v>
      </c>
      <c r="N109" s="30">
        <f t="shared" si="38"/>
        <v>3098000</v>
      </c>
      <c r="O109" s="30">
        <f t="shared" si="38"/>
        <v>1441000</v>
      </c>
      <c r="P109" s="30">
        <f t="shared" si="38"/>
        <v>71000</v>
      </c>
      <c r="Q109" s="30">
        <f t="shared" si="38"/>
        <v>72000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50" priority="1" operator="less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topLeftCell="A100"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628</v>
      </c>
      <c r="D1" s="240" t="str">
        <f>VLOOKUP(C1,學校編號!A:B,2,FALSE)</f>
        <v>628豐山國小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26554000</v>
      </c>
      <c r="E2" s="37"/>
      <c r="F2" s="37">
        <f>F48+F70+F76+F77+F83</f>
        <v>7693000</v>
      </c>
      <c r="G2" s="37">
        <f t="shared" ref="G2:Q2" si="0">G48+G70+G76+G77+G83</f>
        <v>1899000</v>
      </c>
      <c r="H2" s="37">
        <f t="shared" si="0"/>
        <v>1926000</v>
      </c>
      <c r="I2" s="37">
        <f t="shared" si="0"/>
        <v>2209000</v>
      </c>
      <c r="J2" s="37">
        <f t="shared" si="0"/>
        <v>1899000</v>
      </c>
      <c r="K2" s="37">
        <f t="shared" si="0"/>
        <v>1901000</v>
      </c>
      <c r="L2" s="37">
        <f t="shared" si="0"/>
        <v>1917000</v>
      </c>
      <c r="M2" s="37">
        <f t="shared" si="0"/>
        <v>1899000</v>
      </c>
      <c r="N2" s="37">
        <f t="shared" si="0"/>
        <v>3140000</v>
      </c>
      <c r="O2" s="37">
        <f t="shared" si="0"/>
        <v>1907000</v>
      </c>
      <c r="P2" s="37">
        <f t="shared" si="0"/>
        <v>81000</v>
      </c>
      <c r="Q2" s="37">
        <f t="shared" si="0"/>
        <v>83000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170000</v>
      </c>
      <c r="E3" s="37" t="s">
        <v>525</v>
      </c>
      <c r="F3" s="37">
        <f t="shared" ref="F3:P17" si="1">ROUND($D3/12,0)</f>
        <v>14167</v>
      </c>
      <c r="G3" s="37">
        <f t="shared" si="1"/>
        <v>14167</v>
      </c>
      <c r="H3" s="37">
        <f t="shared" si="1"/>
        <v>14167</v>
      </c>
      <c r="I3" s="37">
        <f t="shared" si="1"/>
        <v>14167</v>
      </c>
      <c r="J3" s="37">
        <f t="shared" si="1"/>
        <v>14167</v>
      </c>
      <c r="K3" s="37">
        <f t="shared" si="1"/>
        <v>14167</v>
      </c>
      <c r="L3" s="37">
        <f t="shared" si="1"/>
        <v>14167</v>
      </c>
      <c r="M3" s="37">
        <f t="shared" si="1"/>
        <v>14167</v>
      </c>
      <c r="N3" s="37">
        <f t="shared" si="1"/>
        <v>14167</v>
      </c>
      <c r="O3" s="37">
        <f t="shared" si="1"/>
        <v>14167</v>
      </c>
      <c r="P3" s="37">
        <f t="shared" si="1"/>
        <v>14167</v>
      </c>
      <c r="Q3" s="37">
        <f t="shared" ref="Q3:Q10" si="2">D3-SUM(F3:P3)</f>
        <v>14163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73000</v>
      </c>
      <c r="E4" s="37" t="s">
        <v>525</v>
      </c>
      <c r="F4" s="37">
        <f t="shared" si="1"/>
        <v>6083</v>
      </c>
      <c r="G4" s="37">
        <f t="shared" si="1"/>
        <v>6083</v>
      </c>
      <c r="H4" s="37">
        <f t="shared" si="1"/>
        <v>6083</v>
      </c>
      <c r="I4" s="37">
        <f t="shared" si="1"/>
        <v>6083</v>
      </c>
      <c r="J4" s="37">
        <f t="shared" si="1"/>
        <v>6083</v>
      </c>
      <c r="K4" s="37">
        <f t="shared" si="1"/>
        <v>6083</v>
      </c>
      <c r="L4" s="37">
        <f t="shared" si="1"/>
        <v>6083</v>
      </c>
      <c r="M4" s="37">
        <f t="shared" si="1"/>
        <v>6083</v>
      </c>
      <c r="N4" s="37">
        <f t="shared" si="1"/>
        <v>6083</v>
      </c>
      <c r="O4" s="37">
        <f t="shared" si="1"/>
        <v>6083</v>
      </c>
      <c r="P4" s="37">
        <f t="shared" si="1"/>
        <v>6083</v>
      </c>
      <c r="Q4" s="37">
        <f t="shared" si="2"/>
        <v>6087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65000</v>
      </c>
      <c r="E7" s="37" t="s">
        <v>525</v>
      </c>
      <c r="F7" s="37">
        <f t="shared" si="1"/>
        <v>5417</v>
      </c>
      <c r="G7" s="37">
        <f t="shared" si="1"/>
        <v>5417</v>
      </c>
      <c r="H7" s="37">
        <f t="shared" si="1"/>
        <v>5417</v>
      </c>
      <c r="I7" s="37">
        <f t="shared" si="1"/>
        <v>5417</v>
      </c>
      <c r="J7" s="37">
        <f t="shared" si="1"/>
        <v>5417</v>
      </c>
      <c r="K7" s="37">
        <f t="shared" si="1"/>
        <v>5417</v>
      </c>
      <c r="L7" s="37">
        <f t="shared" si="1"/>
        <v>5417</v>
      </c>
      <c r="M7" s="37">
        <f t="shared" si="1"/>
        <v>5417</v>
      </c>
      <c r="N7" s="37">
        <f t="shared" si="1"/>
        <v>5417</v>
      </c>
      <c r="O7" s="37">
        <f t="shared" si="1"/>
        <v>5417</v>
      </c>
      <c r="P7" s="37">
        <f t="shared" si="1"/>
        <v>5417</v>
      </c>
      <c r="Q7" s="37">
        <f t="shared" si="2"/>
        <v>5413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80000</v>
      </c>
      <c r="E14" s="37" t="s">
        <v>525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36000</v>
      </c>
      <c r="E15" s="37" t="s">
        <v>193</v>
      </c>
      <c r="F15" s="37">
        <f>ROUND($D15/2,-3)</f>
        <v>18000</v>
      </c>
      <c r="G15" s="37"/>
      <c r="H15" s="37"/>
      <c r="I15" s="37"/>
      <c r="J15" s="37"/>
      <c r="K15" s="37"/>
      <c r="L15" s="37">
        <f>D15-F15</f>
        <v>18000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45000</v>
      </c>
      <c r="E17" s="37" t="s">
        <v>525</v>
      </c>
      <c r="F17" s="37">
        <f>ROUND($D17/12,0)</f>
        <v>3750</v>
      </c>
      <c r="G17" s="37">
        <f t="shared" si="1"/>
        <v>3750</v>
      </c>
      <c r="H17" s="37">
        <f t="shared" si="1"/>
        <v>3750</v>
      </c>
      <c r="I17" s="37">
        <f t="shared" si="1"/>
        <v>3750</v>
      </c>
      <c r="J17" s="37">
        <f t="shared" si="1"/>
        <v>3750</v>
      </c>
      <c r="K17" s="37">
        <f t="shared" si="1"/>
        <v>3750</v>
      </c>
      <c r="L17" s="37">
        <f t="shared" si="1"/>
        <v>3750</v>
      </c>
      <c r="M17" s="37">
        <f t="shared" si="1"/>
        <v>3750</v>
      </c>
      <c r="N17" s="37">
        <f t="shared" si="1"/>
        <v>3750</v>
      </c>
      <c r="O17" s="37">
        <f t="shared" si="1"/>
        <v>3750</v>
      </c>
      <c r="P17" s="37">
        <f t="shared" si="1"/>
        <v>3750</v>
      </c>
      <c r="Q17" s="37">
        <f>D17-SUM(F17:P17)</f>
        <v>3750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633000</v>
      </c>
      <c r="E25" s="108"/>
      <c r="F25" s="108">
        <f>ROUND(SUM(F3:F24),-3)</f>
        <v>68000</v>
      </c>
      <c r="G25" s="108">
        <f t="shared" ref="G25:P25" si="5">ROUND(SUM(G3:G24),-3)</f>
        <v>50000</v>
      </c>
      <c r="H25" s="108">
        <f t="shared" si="5"/>
        <v>50000</v>
      </c>
      <c r="I25" s="108">
        <f t="shared" si="5"/>
        <v>50000</v>
      </c>
      <c r="J25" s="108">
        <f t="shared" si="5"/>
        <v>50000</v>
      </c>
      <c r="K25" s="108">
        <f t="shared" si="5"/>
        <v>50000</v>
      </c>
      <c r="L25" s="108">
        <f t="shared" si="5"/>
        <v>68000</v>
      </c>
      <c r="M25" s="108">
        <f t="shared" si="5"/>
        <v>50000</v>
      </c>
      <c r="N25" s="108">
        <f t="shared" si="5"/>
        <v>50000</v>
      </c>
      <c r="O25" s="108">
        <f t="shared" si="5"/>
        <v>50000</v>
      </c>
      <c r="P25" s="108">
        <f t="shared" si="5"/>
        <v>50000</v>
      </c>
      <c r="Q25" s="108">
        <f t="shared" ref="Q25:Q33" si="6">D25-SUM(F25:P25)</f>
        <v>47000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259000</v>
      </c>
      <c r="E27" s="37" t="s">
        <v>525</v>
      </c>
      <c r="F27" s="37">
        <f t="shared" ref="F27:P33" si="8">ROUND($D27/12,0)</f>
        <v>21583</v>
      </c>
      <c r="G27" s="37">
        <f t="shared" si="8"/>
        <v>21583</v>
      </c>
      <c r="H27" s="37">
        <f t="shared" si="8"/>
        <v>21583</v>
      </c>
      <c r="I27" s="37">
        <f t="shared" si="8"/>
        <v>21583</v>
      </c>
      <c r="J27" s="37">
        <f t="shared" si="8"/>
        <v>21583</v>
      </c>
      <c r="K27" s="37">
        <f t="shared" si="8"/>
        <v>21583</v>
      </c>
      <c r="L27" s="37">
        <f t="shared" si="8"/>
        <v>21583</v>
      </c>
      <c r="M27" s="37">
        <f t="shared" si="8"/>
        <v>21583</v>
      </c>
      <c r="N27" s="37">
        <f t="shared" si="8"/>
        <v>21583</v>
      </c>
      <c r="O27" s="37">
        <f t="shared" si="8"/>
        <v>21583</v>
      </c>
      <c r="P27" s="37">
        <f t="shared" si="8"/>
        <v>21583</v>
      </c>
      <c r="Q27" s="37">
        <f t="shared" si="6"/>
        <v>21587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21000</v>
      </c>
      <c r="E29" s="37" t="s">
        <v>525</v>
      </c>
      <c r="F29" s="37">
        <f t="shared" si="8"/>
        <v>1750</v>
      </c>
      <c r="G29" s="37">
        <f t="shared" si="8"/>
        <v>1750</v>
      </c>
      <c r="H29" s="37">
        <f t="shared" si="8"/>
        <v>1750</v>
      </c>
      <c r="I29" s="37">
        <f t="shared" si="8"/>
        <v>1750</v>
      </c>
      <c r="J29" s="37">
        <f t="shared" si="8"/>
        <v>1750</v>
      </c>
      <c r="K29" s="37">
        <f t="shared" si="8"/>
        <v>1750</v>
      </c>
      <c r="L29" s="37">
        <f t="shared" si="8"/>
        <v>1750</v>
      </c>
      <c r="M29" s="37">
        <f t="shared" si="8"/>
        <v>1750</v>
      </c>
      <c r="N29" s="37">
        <f t="shared" si="8"/>
        <v>1750</v>
      </c>
      <c r="O29" s="37">
        <f t="shared" si="8"/>
        <v>1750</v>
      </c>
      <c r="P29" s="37">
        <f t="shared" si="8"/>
        <v>1750</v>
      </c>
      <c r="Q29" s="37">
        <f t="shared" si="6"/>
        <v>1750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22000</v>
      </c>
      <c r="E30" s="37" t="s">
        <v>525</v>
      </c>
      <c r="F30" s="37">
        <f t="shared" si="8"/>
        <v>1833</v>
      </c>
      <c r="G30" s="37">
        <f t="shared" si="8"/>
        <v>1833</v>
      </c>
      <c r="H30" s="37">
        <f t="shared" si="8"/>
        <v>1833</v>
      </c>
      <c r="I30" s="37">
        <f t="shared" si="8"/>
        <v>1833</v>
      </c>
      <c r="J30" s="37">
        <f t="shared" si="8"/>
        <v>1833</v>
      </c>
      <c r="K30" s="37">
        <f t="shared" si="8"/>
        <v>1833</v>
      </c>
      <c r="L30" s="37">
        <f t="shared" si="8"/>
        <v>1833</v>
      </c>
      <c r="M30" s="37">
        <f t="shared" si="8"/>
        <v>1833</v>
      </c>
      <c r="N30" s="37">
        <f t="shared" si="8"/>
        <v>1833</v>
      </c>
      <c r="O30" s="37">
        <f t="shared" si="8"/>
        <v>1833</v>
      </c>
      <c r="P30" s="37">
        <f t="shared" si="8"/>
        <v>1833</v>
      </c>
      <c r="Q30" s="37">
        <f t="shared" si="6"/>
        <v>1837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11000</v>
      </c>
      <c r="E31" s="37" t="s">
        <v>525</v>
      </c>
      <c r="F31" s="37">
        <f t="shared" si="8"/>
        <v>917</v>
      </c>
      <c r="G31" s="37">
        <f t="shared" si="8"/>
        <v>917</v>
      </c>
      <c r="H31" s="37">
        <f t="shared" si="8"/>
        <v>917</v>
      </c>
      <c r="I31" s="37">
        <f t="shared" si="8"/>
        <v>917</v>
      </c>
      <c r="J31" s="37">
        <f t="shared" si="8"/>
        <v>917</v>
      </c>
      <c r="K31" s="37">
        <f t="shared" si="8"/>
        <v>917</v>
      </c>
      <c r="L31" s="37">
        <f t="shared" si="8"/>
        <v>917</v>
      </c>
      <c r="M31" s="37">
        <f t="shared" si="8"/>
        <v>917</v>
      </c>
      <c r="N31" s="37">
        <f t="shared" si="8"/>
        <v>917</v>
      </c>
      <c r="O31" s="37">
        <f t="shared" si="8"/>
        <v>917</v>
      </c>
      <c r="P31" s="37">
        <f t="shared" si="8"/>
        <v>917</v>
      </c>
      <c r="Q31" s="37">
        <f t="shared" si="6"/>
        <v>913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313000</v>
      </c>
      <c r="E37" s="108"/>
      <c r="F37" s="108">
        <f t="shared" ref="F37:P37" si="9">ROUND(SUM(F26:F36),-3)</f>
        <v>26000</v>
      </c>
      <c r="G37" s="108">
        <f t="shared" si="9"/>
        <v>26000</v>
      </c>
      <c r="H37" s="108">
        <f t="shared" si="9"/>
        <v>26000</v>
      </c>
      <c r="I37" s="108">
        <f t="shared" si="9"/>
        <v>26000</v>
      </c>
      <c r="J37" s="108">
        <f t="shared" si="9"/>
        <v>26000</v>
      </c>
      <c r="K37" s="108">
        <f t="shared" si="9"/>
        <v>26000</v>
      </c>
      <c r="L37" s="108">
        <f t="shared" si="9"/>
        <v>26000</v>
      </c>
      <c r="M37" s="108">
        <f t="shared" si="9"/>
        <v>26000</v>
      </c>
      <c r="N37" s="108">
        <f t="shared" si="9"/>
        <v>26000</v>
      </c>
      <c r="O37" s="108">
        <f t="shared" si="9"/>
        <v>26000</v>
      </c>
      <c r="P37" s="108">
        <f t="shared" si="9"/>
        <v>26000</v>
      </c>
      <c r="Q37" s="108">
        <f>D37-SUM(F37:P37)</f>
        <v>27000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952000</v>
      </c>
      <c r="E48" s="37"/>
      <c r="F48" s="115">
        <f>F25+F37+F45+F47</f>
        <v>96000</v>
      </c>
      <c r="G48" s="115">
        <f t="shared" ref="G48:R48" si="14">G25+G37+G45+G47</f>
        <v>76000</v>
      </c>
      <c r="H48" s="115">
        <f t="shared" si="14"/>
        <v>76000</v>
      </c>
      <c r="I48" s="115">
        <f t="shared" si="14"/>
        <v>76000</v>
      </c>
      <c r="J48" s="115">
        <f t="shared" si="14"/>
        <v>76000</v>
      </c>
      <c r="K48" s="115">
        <f t="shared" si="14"/>
        <v>78000</v>
      </c>
      <c r="L48" s="115">
        <f t="shared" si="14"/>
        <v>94000</v>
      </c>
      <c r="M48" s="115">
        <f t="shared" si="14"/>
        <v>76000</v>
      </c>
      <c r="N48" s="115">
        <f t="shared" si="14"/>
        <v>78000</v>
      </c>
      <c r="O48" s="115">
        <f t="shared" si="14"/>
        <v>76000</v>
      </c>
      <c r="P48" s="115">
        <f t="shared" si="14"/>
        <v>76000</v>
      </c>
      <c r="Q48" s="115">
        <f t="shared" si="14"/>
        <v>74000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13322000</v>
      </c>
      <c r="E49" s="114" t="s">
        <v>202</v>
      </c>
      <c r="F49" s="37">
        <f>ROUND($D49/12*3,-3)</f>
        <v>3331000</v>
      </c>
      <c r="G49" s="37">
        <f>ROUND($D49/12,-3)</f>
        <v>1110000</v>
      </c>
      <c r="H49" s="37">
        <f t="shared" ref="H49:N53" si="15">ROUND($D49/12,-3)</f>
        <v>1110000</v>
      </c>
      <c r="I49" s="37">
        <f t="shared" si="15"/>
        <v>1110000</v>
      </c>
      <c r="J49" s="37">
        <f t="shared" si="15"/>
        <v>1110000</v>
      </c>
      <c r="K49" s="37">
        <f t="shared" si="15"/>
        <v>1110000</v>
      </c>
      <c r="L49" s="37">
        <f t="shared" si="15"/>
        <v>1110000</v>
      </c>
      <c r="M49" s="37">
        <f t="shared" si="15"/>
        <v>1110000</v>
      </c>
      <c r="N49" s="37">
        <f t="shared" si="15"/>
        <v>1110000</v>
      </c>
      <c r="O49" s="37">
        <f>D49-SUM(F49:N49)</f>
        <v>1111000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1960000</v>
      </c>
      <c r="E51" s="114" t="s">
        <v>202</v>
      </c>
      <c r="F51" s="37">
        <f t="shared" si="16"/>
        <v>490000</v>
      </c>
      <c r="G51" s="37">
        <f t="shared" si="17"/>
        <v>163000</v>
      </c>
      <c r="H51" s="37">
        <f t="shared" si="15"/>
        <v>163000</v>
      </c>
      <c r="I51" s="37">
        <f t="shared" si="15"/>
        <v>163000</v>
      </c>
      <c r="J51" s="37">
        <f t="shared" si="15"/>
        <v>163000</v>
      </c>
      <c r="K51" s="37">
        <f t="shared" si="15"/>
        <v>163000</v>
      </c>
      <c r="L51" s="37">
        <f t="shared" si="15"/>
        <v>163000</v>
      </c>
      <c r="M51" s="37">
        <f t="shared" si="15"/>
        <v>163000</v>
      </c>
      <c r="N51" s="37">
        <f t="shared" si="15"/>
        <v>163000</v>
      </c>
      <c r="O51" s="37">
        <f t="shared" si="18"/>
        <v>166000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40000</v>
      </c>
      <c r="E54" s="37" t="s">
        <v>525</v>
      </c>
      <c r="F54" s="37">
        <f t="shared" ref="F54:P61" si="19">ROUND($D54/12,0)</f>
        <v>3333</v>
      </c>
      <c r="G54" s="37">
        <f t="shared" si="19"/>
        <v>3333</v>
      </c>
      <c r="H54" s="37">
        <f t="shared" si="19"/>
        <v>3333</v>
      </c>
      <c r="I54" s="37">
        <f t="shared" si="19"/>
        <v>3333</v>
      </c>
      <c r="J54" s="37">
        <f t="shared" si="19"/>
        <v>3333</v>
      </c>
      <c r="K54" s="37">
        <f t="shared" si="19"/>
        <v>3333</v>
      </c>
      <c r="L54" s="37">
        <f t="shared" si="19"/>
        <v>3333</v>
      </c>
      <c r="M54" s="37">
        <f t="shared" si="19"/>
        <v>3333</v>
      </c>
      <c r="N54" s="37">
        <f t="shared" si="19"/>
        <v>3333</v>
      </c>
      <c r="O54" s="37">
        <f t="shared" si="19"/>
        <v>3333</v>
      </c>
      <c r="P54" s="37">
        <f t="shared" si="19"/>
        <v>3333</v>
      </c>
      <c r="Q54" s="37">
        <f t="shared" ref="Q54:Q61" si="20">D54-SUM(F54:P54)</f>
        <v>3337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383000</v>
      </c>
      <c r="E60" s="37" t="s">
        <v>195</v>
      </c>
      <c r="F60" s="37">
        <f>D60</f>
        <v>383000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1549000</v>
      </c>
      <c r="E62" s="37" t="s">
        <v>197</v>
      </c>
      <c r="F62" s="37"/>
      <c r="G62" s="37"/>
      <c r="H62" s="37"/>
      <c r="I62" s="37">
        <f>ROUND($D62/5,-3)</f>
        <v>310000</v>
      </c>
      <c r="J62" s="37"/>
      <c r="K62" s="37"/>
      <c r="L62" s="37"/>
      <c r="M62" s="37"/>
      <c r="N62" s="37">
        <f>D62-I62</f>
        <v>1239000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1638000</v>
      </c>
      <c r="E63" s="37" t="s">
        <v>195</v>
      </c>
      <c r="F63" s="37">
        <f>D63</f>
        <v>1638000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1418000</v>
      </c>
      <c r="E64" s="114" t="s">
        <v>202</v>
      </c>
      <c r="F64" s="37">
        <f>ROUND($D64/12*3,-3)</f>
        <v>355000</v>
      </c>
      <c r="G64" s="37">
        <f>ROUND($D64/12,-3)</f>
        <v>118000</v>
      </c>
      <c r="H64" s="37">
        <f t="shared" ref="H64:N66" si="21">ROUND($D64/12,-3)</f>
        <v>118000</v>
      </c>
      <c r="I64" s="37">
        <f t="shared" si="21"/>
        <v>118000</v>
      </c>
      <c r="J64" s="37">
        <f t="shared" si="21"/>
        <v>118000</v>
      </c>
      <c r="K64" s="37">
        <f t="shared" si="21"/>
        <v>118000</v>
      </c>
      <c r="L64" s="37">
        <f t="shared" si="21"/>
        <v>118000</v>
      </c>
      <c r="M64" s="37">
        <f t="shared" si="21"/>
        <v>118000</v>
      </c>
      <c r="N64" s="37">
        <f t="shared" si="21"/>
        <v>118000</v>
      </c>
      <c r="O64" s="37">
        <f>D64-SUM(F64:N64)</f>
        <v>119000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331000</v>
      </c>
      <c r="E65" s="114" t="s">
        <v>202</v>
      </c>
      <c r="F65" s="37">
        <f t="shared" ref="F65:F66" si="22">ROUND($D65/12*3,-3)</f>
        <v>83000</v>
      </c>
      <c r="G65" s="37">
        <f t="shared" ref="G65:G66" si="23">ROUND($D65/12,-3)</f>
        <v>28000</v>
      </c>
      <c r="H65" s="37">
        <f t="shared" si="21"/>
        <v>28000</v>
      </c>
      <c r="I65" s="37">
        <f t="shared" si="21"/>
        <v>28000</v>
      </c>
      <c r="J65" s="37">
        <f t="shared" si="21"/>
        <v>28000</v>
      </c>
      <c r="K65" s="37">
        <f t="shared" si="21"/>
        <v>28000</v>
      </c>
      <c r="L65" s="37">
        <f t="shared" si="21"/>
        <v>28000</v>
      </c>
      <c r="M65" s="37">
        <f t="shared" si="21"/>
        <v>28000</v>
      </c>
      <c r="N65" s="37">
        <f t="shared" si="21"/>
        <v>28000</v>
      </c>
      <c r="O65" s="37">
        <f t="shared" ref="O65:O66" si="24">D65-SUM(F65:N65)</f>
        <v>24000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962000</v>
      </c>
      <c r="E66" s="114" t="s">
        <v>202</v>
      </c>
      <c r="F66" s="37">
        <f t="shared" si="22"/>
        <v>241000</v>
      </c>
      <c r="G66" s="37">
        <f t="shared" si="23"/>
        <v>80000</v>
      </c>
      <c r="H66" s="37">
        <f t="shared" si="21"/>
        <v>80000</v>
      </c>
      <c r="I66" s="37">
        <f t="shared" si="21"/>
        <v>80000</v>
      </c>
      <c r="J66" s="37">
        <f t="shared" si="21"/>
        <v>80000</v>
      </c>
      <c r="K66" s="37">
        <f t="shared" si="21"/>
        <v>80000</v>
      </c>
      <c r="L66" s="37">
        <f t="shared" si="21"/>
        <v>80000</v>
      </c>
      <c r="M66" s="37">
        <f t="shared" si="21"/>
        <v>80000</v>
      </c>
      <c r="N66" s="37">
        <f t="shared" si="21"/>
        <v>80000</v>
      </c>
      <c r="O66" s="37">
        <f t="shared" si="24"/>
        <v>81000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27000</v>
      </c>
      <c r="E67" s="37" t="s">
        <v>196</v>
      </c>
      <c r="F67" s="37"/>
      <c r="G67" s="37"/>
      <c r="H67" s="37">
        <f>D67</f>
        <v>27000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112000</v>
      </c>
      <c r="E68" s="37" t="s">
        <v>195</v>
      </c>
      <c r="F68" s="37">
        <f>D68</f>
        <v>112000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22031000</v>
      </c>
      <c r="E70" s="108"/>
      <c r="F70" s="108">
        <f t="shared" ref="F70:P70" si="25">ROUND(SUM(F49:F69),-3)</f>
        <v>6704000</v>
      </c>
      <c r="G70" s="108">
        <f t="shared" si="25"/>
        <v>1526000</v>
      </c>
      <c r="H70" s="108">
        <f t="shared" si="25"/>
        <v>1553000</v>
      </c>
      <c r="I70" s="108">
        <f t="shared" si="25"/>
        <v>1836000</v>
      </c>
      <c r="J70" s="108">
        <f t="shared" si="25"/>
        <v>1526000</v>
      </c>
      <c r="K70" s="108">
        <f t="shared" si="25"/>
        <v>1526000</v>
      </c>
      <c r="L70" s="108">
        <f t="shared" si="25"/>
        <v>1526000</v>
      </c>
      <c r="M70" s="108">
        <f t="shared" si="25"/>
        <v>1526000</v>
      </c>
      <c r="N70" s="108">
        <f t="shared" si="25"/>
        <v>2765000</v>
      </c>
      <c r="O70" s="108">
        <f t="shared" si="25"/>
        <v>1529000</v>
      </c>
      <c r="P70" s="108">
        <f t="shared" si="25"/>
        <v>5000</v>
      </c>
      <c r="Q70" s="108">
        <f>D70-SUM(F70:P70)</f>
        <v>9000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3098000</v>
      </c>
      <c r="E72" s="114" t="s">
        <v>202</v>
      </c>
      <c r="F72" s="37">
        <f>ROUND($D72/12*3,-3)</f>
        <v>775000</v>
      </c>
      <c r="G72" s="37">
        <f>ROUND($D72/12,-3)</f>
        <v>258000</v>
      </c>
      <c r="H72" s="37">
        <f t="shared" ref="H72:N75" si="26">ROUND($D72/12,-3)</f>
        <v>258000</v>
      </c>
      <c r="I72" s="37">
        <f t="shared" si="26"/>
        <v>258000</v>
      </c>
      <c r="J72" s="37">
        <f t="shared" si="26"/>
        <v>258000</v>
      </c>
      <c r="K72" s="37">
        <f t="shared" si="26"/>
        <v>258000</v>
      </c>
      <c r="L72" s="37">
        <f t="shared" si="26"/>
        <v>258000</v>
      </c>
      <c r="M72" s="37">
        <f t="shared" si="26"/>
        <v>258000</v>
      </c>
      <c r="N72" s="37">
        <f t="shared" si="26"/>
        <v>258000</v>
      </c>
      <c r="O72" s="37">
        <f>D72-SUM(F72:N72)</f>
        <v>259000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473000</v>
      </c>
      <c r="E75" s="114" t="s">
        <v>202</v>
      </c>
      <c r="F75" s="37">
        <f>ROUND($D75/12*3,-3)</f>
        <v>118000</v>
      </c>
      <c r="G75" s="37">
        <f>ROUND($D75/12,-3)</f>
        <v>39000</v>
      </c>
      <c r="H75" s="37">
        <f t="shared" si="26"/>
        <v>39000</v>
      </c>
      <c r="I75" s="37">
        <f t="shared" si="26"/>
        <v>39000</v>
      </c>
      <c r="J75" s="37">
        <f t="shared" si="26"/>
        <v>39000</v>
      </c>
      <c r="K75" s="37">
        <f t="shared" si="26"/>
        <v>39000</v>
      </c>
      <c r="L75" s="37">
        <f t="shared" si="26"/>
        <v>39000</v>
      </c>
      <c r="M75" s="37">
        <f t="shared" si="26"/>
        <v>39000</v>
      </c>
      <c r="N75" s="37">
        <f t="shared" si="26"/>
        <v>39000</v>
      </c>
      <c r="O75" s="37">
        <f>D75-SUM(F75:N75)</f>
        <v>43000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3571000</v>
      </c>
      <c r="E76" s="108"/>
      <c r="F76" s="108">
        <f>ROUND(SUM(F71:F75),-3)</f>
        <v>893000</v>
      </c>
      <c r="G76" s="108">
        <f t="shared" ref="G76:N76" si="27">ROUND(SUM(G71:G75),-3)</f>
        <v>297000</v>
      </c>
      <c r="H76" s="108">
        <f t="shared" si="27"/>
        <v>297000</v>
      </c>
      <c r="I76" s="108">
        <f t="shared" si="27"/>
        <v>297000</v>
      </c>
      <c r="J76" s="108">
        <f t="shared" si="27"/>
        <v>297000</v>
      </c>
      <c r="K76" s="108">
        <f t="shared" si="27"/>
        <v>297000</v>
      </c>
      <c r="L76" s="108">
        <f t="shared" si="27"/>
        <v>297000</v>
      </c>
      <c r="M76" s="108">
        <f t="shared" si="27"/>
        <v>297000</v>
      </c>
      <c r="N76" s="108">
        <f t="shared" si="27"/>
        <v>297000</v>
      </c>
      <c r="O76" s="108">
        <f>D76-SUM(F76:N76)</f>
        <v>302000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0</v>
      </c>
      <c r="E77" s="37" t="s">
        <v>681</v>
      </c>
      <c r="F77" s="224"/>
      <c r="G77" s="224"/>
      <c r="H77" s="224">
        <f>ROUND($D77/2,-3)</f>
        <v>0</v>
      </c>
      <c r="I77" s="224"/>
      <c r="J77" s="224"/>
      <c r="K77" s="224"/>
      <c r="L77" s="224"/>
      <c r="M77" s="224"/>
      <c r="N77" s="224">
        <f>D77-H77</f>
        <v>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25602000</v>
      </c>
      <c r="E78" s="227"/>
      <c r="F78" s="227">
        <f>F76+F70+F77</f>
        <v>7597000</v>
      </c>
      <c r="G78" s="227">
        <f t="shared" ref="G78:Q78" si="29">G76+G70+G77</f>
        <v>1823000</v>
      </c>
      <c r="H78" s="227">
        <f t="shared" si="29"/>
        <v>1850000</v>
      </c>
      <c r="I78" s="227">
        <f t="shared" si="29"/>
        <v>2133000</v>
      </c>
      <c r="J78" s="227">
        <f t="shared" si="29"/>
        <v>1823000</v>
      </c>
      <c r="K78" s="227">
        <f t="shared" si="29"/>
        <v>1823000</v>
      </c>
      <c r="L78" s="227">
        <f t="shared" si="29"/>
        <v>1823000</v>
      </c>
      <c r="M78" s="227">
        <f t="shared" si="29"/>
        <v>1823000</v>
      </c>
      <c r="N78" s="227">
        <f t="shared" si="29"/>
        <v>3062000</v>
      </c>
      <c r="O78" s="227">
        <f t="shared" si="29"/>
        <v>1831000</v>
      </c>
      <c r="P78" s="227">
        <f t="shared" si="29"/>
        <v>5000</v>
      </c>
      <c r="Q78" s="227">
        <f t="shared" si="29"/>
        <v>9000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26554000</v>
      </c>
      <c r="E87" s="37"/>
      <c r="F87" s="37">
        <f>F88+F89+F90+F91</f>
        <v>7693000</v>
      </c>
      <c r="G87" s="37">
        <f t="shared" ref="G87:Q87" si="32">G88+G89+G90+G91</f>
        <v>1899000</v>
      </c>
      <c r="H87" s="37">
        <f t="shared" si="32"/>
        <v>1926000</v>
      </c>
      <c r="I87" s="37">
        <f t="shared" si="32"/>
        <v>2209000</v>
      </c>
      <c r="J87" s="37">
        <f t="shared" si="32"/>
        <v>1899000</v>
      </c>
      <c r="K87" s="37">
        <f t="shared" si="32"/>
        <v>1901000</v>
      </c>
      <c r="L87" s="37">
        <f t="shared" si="32"/>
        <v>1917000</v>
      </c>
      <c r="M87" s="37">
        <f t="shared" si="32"/>
        <v>1899000</v>
      </c>
      <c r="N87" s="37">
        <f t="shared" si="32"/>
        <v>3140000</v>
      </c>
      <c r="O87" s="37">
        <f t="shared" si="32"/>
        <v>1907000</v>
      </c>
      <c r="P87" s="37">
        <f t="shared" si="32"/>
        <v>81000</v>
      </c>
      <c r="Q87" s="37">
        <f t="shared" si="32"/>
        <v>83000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0</v>
      </c>
      <c r="E88" s="108" t="s">
        <v>193</v>
      </c>
      <c r="F88" s="108">
        <f>ROUND($D88/2,-3)</f>
        <v>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2000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1000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26552000</v>
      </c>
      <c r="E91" s="108"/>
      <c r="F91" s="108">
        <f>F92+F93+F94+F95</f>
        <v>7693000</v>
      </c>
      <c r="G91" s="108">
        <f t="shared" ref="G91:Q91" si="34">G92+G93+G94+G95</f>
        <v>1899000</v>
      </c>
      <c r="H91" s="108">
        <f t="shared" si="34"/>
        <v>1926000</v>
      </c>
      <c r="I91" s="108">
        <f t="shared" si="34"/>
        <v>2209000</v>
      </c>
      <c r="J91" s="108">
        <f t="shared" si="34"/>
        <v>1899000</v>
      </c>
      <c r="K91" s="108">
        <f t="shared" si="34"/>
        <v>1901000</v>
      </c>
      <c r="L91" s="108">
        <f t="shared" si="34"/>
        <v>1916000</v>
      </c>
      <c r="M91" s="108">
        <f t="shared" si="34"/>
        <v>1899000</v>
      </c>
      <c r="N91" s="108">
        <f t="shared" si="34"/>
        <v>3140000</v>
      </c>
      <c r="O91" s="108">
        <f t="shared" si="34"/>
        <v>1907000</v>
      </c>
      <c r="P91" s="108">
        <f t="shared" si="34"/>
        <v>81000</v>
      </c>
      <c r="Q91" s="108">
        <f t="shared" si="34"/>
        <v>82000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4225000</v>
      </c>
      <c r="E92" s="114" t="s">
        <v>537</v>
      </c>
      <c r="F92" s="37">
        <f>ROUND($D92/12*5,-3)</f>
        <v>1760000</v>
      </c>
      <c r="G92" s="37">
        <f>ROUND($D92/12,-3)</f>
        <v>352000</v>
      </c>
      <c r="H92" s="37">
        <f t="shared" ref="H92:L92" si="35">ROUND($D92/12,-3)</f>
        <v>352000</v>
      </c>
      <c r="I92" s="37">
        <f t="shared" si="35"/>
        <v>352000</v>
      </c>
      <c r="J92" s="37">
        <f t="shared" si="35"/>
        <v>352000</v>
      </c>
      <c r="K92" s="37">
        <f t="shared" si="35"/>
        <v>352000</v>
      </c>
      <c r="L92" s="37">
        <f t="shared" si="35"/>
        <v>352000</v>
      </c>
      <c r="M92" s="37">
        <f>D92-SUM(F92:L92)</f>
        <v>353000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104000</v>
      </c>
      <c r="E93" s="109" t="s">
        <v>227</v>
      </c>
      <c r="F93" s="37">
        <f>ROUND($D93/12,-3)</f>
        <v>9000</v>
      </c>
      <c r="G93" s="37">
        <f t="shared" ref="G93:P93" si="36">ROUND($D93/12,-3)</f>
        <v>9000</v>
      </c>
      <c r="H93" s="37">
        <f t="shared" si="36"/>
        <v>9000</v>
      </c>
      <c r="I93" s="37">
        <f t="shared" si="36"/>
        <v>9000</v>
      </c>
      <c r="J93" s="37">
        <f t="shared" si="36"/>
        <v>9000</v>
      </c>
      <c r="K93" s="37">
        <f t="shared" si="36"/>
        <v>9000</v>
      </c>
      <c r="L93" s="37">
        <f t="shared" si="36"/>
        <v>9000</v>
      </c>
      <c r="M93" s="37">
        <f t="shared" si="36"/>
        <v>9000</v>
      </c>
      <c r="N93" s="37">
        <f t="shared" si="36"/>
        <v>9000</v>
      </c>
      <c r="O93" s="37">
        <f t="shared" si="36"/>
        <v>9000</v>
      </c>
      <c r="P93" s="37">
        <f t="shared" si="36"/>
        <v>9000</v>
      </c>
      <c r="Q93" s="37">
        <f>D93-SUM(F93:P93)</f>
        <v>5000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1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22223000</v>
      </c>
      <c r="E95" s="37"/>
      <c r="F95" s="37">
        <f>F2+F86-F88-F89-F90-F92-F93-F94</f>
        <v>5924000</v>
      </c>
      <c r="G95" s="37">
        <f t="shared" ref="G95:Q95" si="37">G2-G88-G89-G90-G92-G93-G94</f>
        <v>1538000</v>
      </c>
      <c r="H95" s="37">
        <f t="shared" si="37"/>
        <v>1565000</v>
      </c>
      <c r="I95" s="37">
        <f t="shared" si="37"/>
        <v>1848000</v>
      </c>
      <c r="J95" s="37">
        <f t="shared" si="37"/>
        <v>1538000</v>
      </c>
      <c r="K95" s="37">
        <f t="shared" si="37"/>
        <v>1540000</v>
      </c>
      <c r="L95" s="37">
        <f t="shared" si="37"/>
        <v>1555000</v>
      </c>
      <c r="M95" s="37">
        <f t="shared" si="37"/>
        <v>1537000</v>
      </c>
      <c r="N95" s="37">
        <f t="shared" si="37"/>
        <v>3131000</v>
      </c>
      <c r="O95" s="37">
        <f t="shared" si="37"/>
        <v>1898000</v>
      </c>
      <c r="P95" s="37">
        <f t="shared" si="37"/>
        <v>72000</v>
      </c>
      <c r="Q95" s="37">
        <f t="shared" si="37"/>
        <v>77000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0</v>
      </c>
    </row>
    <row r="99" spans="2:17" ht="32.4">
      <c r="B99" s="72" t="s">
        <v>235</v>
      </c>
      <c r="D99" s="30">
        <f>HLOOKUP(D1,縣庫撥款收入明細表!H:DD,5,FALSE)</f>
        <v>1900000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1025000</v>
      </c>
    </row>
    <row r="102" spans="2:17" ht="32.4">
      <c r="B102" s="71" t="s">
        <v>238</v>
      </c>
      <c r="D102" s="30">
        <f>HLOOKUP(D1,縣庫撥款收入明細表!H:DD,16,FALSE)</f>
        <v>96000</v>
      </c>
    </row>
    <row r="103" spans="2:17" ht="32.4">
      <c r="B103" s="72" t="s">
        <v>239</v>
      </c>
      <c r="D103" s="30">
        <f>HLOOKUP(D1,縣庫撥款收入明細表!H:DD,17,FALSE)</f>
        <v>0</v>
      </c>
    </row>
    <row r="104" spans="2:17" ht="32.4">
      <c r="B104" s="76" t="s">
        <v>240</v>
      </c>
      <c r="D104" s="30">
        <f>HLOOKUP(D1,縣庫撥款收入明細表!H:DD,18,FALSE)</f>
        <v>0</v>
      </c>
    </row>
    <row r="105" spans="2:17" ht="32.4">
      <c r="B105" s="72" t="s">
        <v>380</v>
      </c>
      <c r="D105" s="30">
        <f>HLOOKUP(D1,縣庫撥款收入明細表!H:DD,19,FALSE)</f>
        <v>1300000</v>
      </c>
    </row>
    <row r="106" spans="2:17" ht="32.4">
      <c r="B106" s="71" t="s">
        <v>241</v>
      </c>
      <c r="D106" s="30">
        <f>HLOOKUP(D1,縣庫撥款收入明細表!H:DD,20,FALSE)</f>
        <v>8000</v>
      </c>
    </row>
    <row r="107" spans="2:17" ht="32.4">
      <c r="B107" s="77" t="s">
        <v>242</v>
      </c>
      <c r="D107" s="30">
        <f>HLOOKUP(D1,縣庫撥款收入明細表!H:DD,21,FALSE)</f>
        <v>22223000</v>
      </c>
    </row>
    <row r="108" spans="2:17" ht="16.5" customHeight="1"/>
    <row r="109" spans="2:17" ht="16.5" customHeight="1">
      <c r="B109" s="4" t="s">
        <v>682</v>
      </c>
      <c r="D109" s="30">
        <f>D91-D76</f>
        <v>22981000</v>
      </c>
      <c r="F109" s="30">
        <f>F91-F76</f>
        <v>6800000</v>
      </c>
      <c r="G109" s="30">
        <f t="shared" ref="G109:Q109" si="38">G91-G76</f>
        <v>1602000</v>
      </c>
      <c r="H109" s="30">
        <f t="shared" si="38"/>
        <v>1629000</v>
      </c>
      <c r="I109" s="30">
        <f t="shared" si="38"/>
        <v>1912000</v>
      </c>
      <c r="J109" s="30">
        <f t="shared" si="38"/>
        <v>1602000</v>
      </c>
      <c r="K109" s="30">
        <f t="shared" si="38"/>
        <v>1604000</v>
      </c>
      <c r="L109" s="30">
        <f t="shared" si="38"/>
        <v>1619000</v>
      </c>
      <c r="M109" s="30">
        <f t="shared" si="38"/>
        <v>1602000</v>
      </c>
      <c r="N109" s="30">
        <f t="shared" si="38"/>
        <v>2843000</v>
      </c>
      <c r="O109" s="30">
        <f t="shared" si="38"/>
        <v>1605000</v>
      </c>
      <c r="P109" s="30">
        <f t="shared" si="38"/>
        <v>81000</v>
      </c>
      <c r="Q109" s="30">
        <f t="shared" si="38"/>
        <v>82000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48" priority="1" operator="lessThan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629</v>
      </c>
      <c r="D1" s="240" t="str">
        <f>VLOOKUP(C1,學校編號!A:B,2,FALSE)</f>
        <v>629志學國小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29661000</v>
      </c>
      <c r="E2" s="37"/>
      <c r="F2" s="37">
        <f>F48+F70+F76+F77+F83</f>
        <v>8448000</v>
      </c>
      <c r="G2" s="37">
        <f t="shared" ref="G2:Q2" si="0">G48+G70+G76+G77+G83</f>
        <v>2068000</v>
      </c>
      <c r="H2" s="37">
        <f t="shared" si="0"/>
        <v>2305000</v>
      </c>
      <c r="I2" s="37">
        <f t="shared" si="0"/>
        <v>2460000</v>
      </c>
      <c r="J2" s="37">
        <f t="shared" si="0"/>
        <v>2068000</v>
      </c>
      <c r="K2" s="37">
        <f t="shared" si="0"/>
        <v>2072000</v>
      </c>
      <c r="L2" s="37">
        <f t="shared" si="0"/>
        <v>2086000</v>
      </c>
      <c r="M2" s="37">
        <f t="shared" si="0"/>
        <v>2068000</v>
      </c>
      <c r="N2" s="37">
        <f t="shared" si="0"/>
        <v>3843000</v>
      </c>
      <c r="O2" s="37">
        <f t="shared" si="0"/>
        <v>2071000</v>
      </c>
      <c r="P2" s="37">
        <f t="shared" si="0"/>
        <v>87000</v>
      </c>
      <c r="Q2" s="37">
        <f t="shared" si="0"/>
        <v>85000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170000</v>
      </c>
      <c r="E3" s="37" t="s">
        <v>525</v>
      </c>
      <c r="F3" s="37">
        <f t="shared" ref="F3:P17" si="1">ROUND($D3/12,0)</f>
        <v>14167</v>
      </c>
      <c r="G3" s="37">
        <f t="shared" si="1"/>
        <v>14167</v>
      </c>
      <c r="H3" s="37">
        <f t="shared" si="1"/>
        <v>14167</v>
      </c>
      <c r="I3" s="37">
        <f t="shared" si="1"/>
        <v>14167</v>
      </c>
      <c r="J3" s="37">
        <f t="shared" si="1"/>
        <v>14167</v>
      </c>
      <c r="K3" s="37">
        <f t="shared" si="1"/>
        <v>14167</v>
      </c>
      <c r="L3" s="37">
        <f t="shared" si="1"/>
        <v>14167</v>
      </c>
      <c r="M3" s="37">
        <f t="shared" si="1"/>
        <v>14167</v>
      </c>
      <c r="N3" s="37">
        <f t="shared" si="1"/>
        <v>14167</v>
      </c>
      <c r="O3" s="37">
        <f t="shared" si="1"/>
        <v>14167</v>
      </c>
      <c r="P3" s="37">
        <f t="shared" si="1"/>
        <v>14167</v>
      </c>
      <c r="Q3" s="37">
        <f t="shared" ref="Q3:Q10" si="2">D3-SUM(F3:P3)</f>
        <v>14163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73000</v>
      </c>
      <c r="E4" s="37" t="s">
        <v>525</v>
      </c>
      <c r="F4" s="37">
        <f t="shared" si="1"/>
        <v>6083</v>
      </c>
      <c r="G4" s="37">
        <f t="shared" si="1"/>
        <v>6083</v>
      </c>
      <c r="H4" s="37">
        <f t="shared" si="1"/>
        <v>6083</v>
      </c>
      <c r="I4" s="37">
        <f t="shared" si="1"/>
        <v>6083</v>
      </c>
      <c r="J4" s="37">
        <f t="shared" si="1"/>
        <v>6083</v>
      </c>
      <c r="K4" s="37">
        <f t="shared" si="1"/>
        <v>6083</v>
      </c>
      <c r="L4" s="37">
        <f t="shared" si="1"/>
        <v>6083</v>
      </c>
      <c r="M4" s="37">
        <f t="shared" si="1"/>
        <v>6083</v>
      </c>
      <c r="N4" s="37">
        <f t="shared" si="1"/>
        <v>6083</v>
      </c>
      <c r="O4" s="37">
        <f t="shared" si="1"/>
        <v>6083</v>
      </c>
      <c r="P4" s="37">
        <f t="shared" si="1"/>
        <v>6083</v>
      </c>
      <c r="Q4" s="37">
        <f t="shared" si="2"/>
        <v>6087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65000</v>
      </c>
      <c r="E7" s="37" t="s">
        <v>525</v>
      </c>
      <c r="F7" s="37">
        <f t="shared" si="1"/>
        <v>5417</v>
      </c>
      <c r="G7" s="37">
        <f t="shared" si="1"/>
        <v>5417</v>
      </c>
      <c r="H7" s="37">
        <f t="shared" si="1"/>
        <v>5417</v>
      </c>
      <c r="I7" s="37">
        <f t="shared" si="1"/>
        <v>5417</v>
      </c>
      <c r="J7" s="37">
        <f t="shared" si="1"/>
        <v>5417</v>
      </c>
      <c r="K7" s="37">
        <f t="shared" si="1"/>
        <v>5417</v>
      </c>
      <c r="L7" s="37">
        <f t="shared" si="1"/>
        <v>5417</v>
      </c>
      <c r="M7" s="37">
        <f t="shared" si="1"/>
        <v>5417</v>
      </c>
      <c r="N7" s="37">
        <f t="shared" si="1"/>
        <v>5417</v>
      </c>
      <c r="O7" s="37">
        <f t="shared" si="1"/>
        <v>5417</v>
      </c>
      <c r="P7" s="37">
        <f t="shared" si="1"/>
        <v>5417</v>
      </c>
      <c r="Q7" s="37">
        <f t="shared" si="2"/>
        <v>5413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30000</v>
      </c>
      <c r="E8" s="37" t="s">
        <v>525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6000</v>
      </c>
      <c r="E9" s="37" t="s">
        <v>525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80000</v>
      </c>
      <c r="E14" s="37" t="s">
        <v>525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36000</v>
      </c>
      <c r="E15" s="37" t="s">
        <v>193</v>
      </c>
      <c r="F15" s="37">
        <f>ROUND($D15/2,-3)</f>
        <v>18000</v>
      </c>
      <c r="G15" s="37"/>
      <c r="H15" s="37"/>
      <c r="I15" s="37"/>
      <c r="J15" s="37"/>
      <c r="K15" s="37"/>
      <c r="L15" s="37">
        <f>D15-F15</f>
        <v>18000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45000</v>
      </c>
      <c r="E17" s="37" t="s">
        <v>525</v>
      </c>
      <c r="F17" s="37">
        <f>ROUND($D17/12,0)</f>
        <v>3750</v>
      </c>
      <c r="G17" s="37">
        <f t="shared" si="1"/>
        <v>3750</v>
      </c>
      <c r="H17" s="37">
        <f t="shared" si="1"/>
        <v>3750</v>
      </c>
      <c r="I17" s="37">
        <f t="shared" si="1"/>
        <v>3750</v>
      </c>
      <c r="J17" s="37">
        <f t="shared" si="1"/>
        <v>3750</v>
      </c>
      <c r="K17" s="37">
        <f t="shared" si="1"/>
        <v>3750</v>
      </c>
      <c r="L17" s="37">
        <f t="shared" si="1"/>
        <v>3750</v>
      </c>
      <c r="M17" s="37">
        <f t="shared" si="1"/>
        <v>3750</v>
      </c>
      <c r="N17" s="37">
        <f t="shared" si="1"/>
        <v>3750</v>
      </c>
      <c r="O17" s="37">
        <f t="shared" si="1"/>
        <v>3750</v>
      </c>
      <c r="P17" s="37">
        <f t="shared" si="1"/>
        <v>3750</v>
      </c>
      <c r="Q17" s="37">
        <f>D17-SUM(F17:P17)</f>
        <v>3750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669000</v>
      </c>
      <c r="E25" s="108"/>
      <c r="F25" s="108">
        <f>ROUND(SUM(F3:F24),-3)</f>
        <v>71000</v>
      </c>
      <c r="G25" s="108">
        <f t="shared" ref="G25:P25" si="5">ROUND(SUM(G3:G24),-3)</f>
        <v>53000</v>
      </c>
      <c r="H25" s="108">
        <f t="shared" si="5"/>
        <v>53000</v>
      </c>
      <c r="I25" s="108">
        <f t="shared" si="5"/>
        <v>53000</v>
      </c>
      <c r="J25" s="108">
        <f t="shared" si="5"/>
        <v>53000</v>
      </c>
      <c r="K25" s="108">
        <f t="shared" si="5"/>
        <v>53000</v>
      </c>
      <c r="L25" s="108">
        <f t="shared" si="5"/>
        <v>71000</v>
      </c>
      <c r="M25" s="108">
        <f t="shared" si="5"/>
        <v>53000</v>
      </c>
      <c r="N25" s="108">
        <f t="shared" si="5"/>
        <v>53000</v>
      </c>
      <c r="O25" s="108">
        <f t="shared" si="5"/>
        <v>53000</v>
      </c>
      <c r="P25" s="108">
        <f t="shared" si="5"/>
        <v>53000</v>
      </c>
      <c r="Q25" s="108">
        <f t="shared" ref="Q25:Q33" si="6">D25-SUM(F25:P25)</f>
        <v>50000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259000</v>
      </c>
      <c r="E27" s="37" t="s">
        <v>525</v>
      </c>
      <c r="F27" s="37">
        <f t="shared" ref="F27:P33" si="8">ROUND($D27/12,0)</f>
        <v>21583</v>
      </c>
      <c r="G27" s="37">
        <f t="shared" si="8"/>
        <v>21583</v>
      </c>
      <c r="H27" s="37">
        <f t="shared" si="8"/>
        <v>21583</v>
      </c>
      <c r="I27" s="37">
        <f t="shared" si="8"/>
        <v>21583</v>
      </c>
      <c r="J27" s="37">
        <f t="shared" si="8"/>
        <v>21583</v>
      </c>
      <c r="K27" s="37">
        <f t="shared" si="8"/>
        <v>21583</v>
      </c>
      <c r="L27" s="37">
        <f t="shared" si="8"/>
        <v>21583</v>
      </c>
      <c r="M27" s="37">
        <f t="shared" si="8"/>
        <v>21583</v>
      </c>
      <c r="N27" s="37">
        <f t="shared" si="8"/>
        <v>21583</v>
      </c>
      <c r="O27" s="37">
        <f t="shared" si="8"/>
        <v>21583</v>
      </c>
      <c r="P27" s="37">
        <f t="shared" si="8"/>
        <v>21583</v>
      </c>
      <c r="Q27" s="37">
        <f t="shared" si="6"/>
        <v>21587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21000</v>
      </c>
      <c r="E29" s="37" t="s">
        <v>525</v>
      </c>
      <c r="F29" s="37">
        <f t="shared" si="8"/>
        <v>1750</v>
      </c>
      <c r="G29" s="37">
        <f t="shared" si="8"/>
        <v>1750</v>
      </c>
      <c r="H29" s="37">
        <f t="shared" si="8"/>
        <v>1750</v>
      </c>
      <c r="I29" s="37">
        <f t="shared" si="8"/>
        <v>1750</v>
      </c>
      <c r="J29" s="37">
        <f t="shared" si="8"/>
        <v>1750</v>
      </c>
      <c r="K29" s="37">
        <f t="shared" si="8"/>
        <v>1750</v>
      </c>
      <c r="L29" s="37">
        <f t="shared" si="8"/>
        <v>1750</v>
      </c>
      <c r="M29" s="37">
        <f t="shared" si="8"/>
        <v>1750</v>
      </c>
      <c r="N29" s="37">
        <f t="shared" si="8"/>
        <v>1750</v>
      </c>
      <c r="O29" s="37">
        <f t="shared" si="8"/>
        <v>1750</v>
      </c>
      <c r="P29" s="37">
        <f t="shared" si="8"/>
        <v>1750</v>
      </c>
      <c r="Q29" s="37">
        <f t="shared" si="6"/>
        <v>1750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30000</v>
      </c>
      <c r="E30" s="37" t="s">
        <v>525</v>
      </c>
      <c r="F30" s="37">
        <f t="shared" si="8"/>
        <v>2500</v>
      </c>
      <c r="G30" s="37">
        <f t="shared" si="8"/>
        <v>2500</v>
      </c>
      <c r="H30" s="37">
        <f t="shared" si="8"/>
        <v>2500</v>
      </c>
      <c r="I30" s="37">
        <f t="shared" si="8"/>
        <v>2500</v>
      </c>
      <c r="J30" s="37">
        <f t="shared" si="8"/>
        <v>2500</v>
      </c>
      <c r="K30" s="37">
        <f t="shared" si="8"/>
        <v>2500</v>
      </c>
      <c r="L30" s="37">
        <f t="shared" si="8"/>
        <v>2500</v>
      </c>
      <c r="M30" s="37">
        <f t="shared" si="8"/>
        <v>2500</v>
      </c>
      <c r="N30" s="37">
        <f t="shared" si="8"/>
        <v>2500</v>
      </c>
      <c r="O30" s="37">
        <f t="shared" si="8"/>
        <v>2500</v>
      </c>
      <c r="P30" s="37">
        <f t="shared" si="8"/>
        <v>2500</v>
      </c>
      <c r="Q30" s="37">
        <f t="shared" si="6"/>
        <v>2500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15000</v>
      </c>
      <c r="E31" s="37" t="s">
        <v>525</v>
      </c>
      <c r="F31" s="37">
        <f t="shared" si="8"/>
        <v>1250</v>
      </c>
      <c r="G31" s="37">
        <f t="shared" si="8"/>
        <v>1250</v>
      </c>
      <c r="H31" s="37">
        <f t="shared" si="8"/>
        <v>1250</v>
      </c>
      <c r="I31" s="37">
        <f t="shared" si="8"/>
        <v>1250</v>
      </c>
      <c r="J31" s="37">
        <f t="shared" si="8"/>
        <v>1250</v>
      </c>
      <c r="K31" s="37">
        <f t="shared" si="8"/>
        <v>1250</v>
      </c>
      <c r="L31" s="37">
        <f t="shared" si="8"/>
        <v>1250</v>
      </c>
      <c r="M31" s="37">
        <f t="shared" si="8"/>
        <v>1250</v>
      </c>
      <c r="N31" s="37">
        <f t="shared" si="8"/>
        <v>1250</v>
      </c>
      <c r="O31" s="37">
        <f t="shared" si="8"/>
        <v>1250</v>
      </c>
      <c r="P31" s="37">
        <f t="shared" si="8"/>
        <v>1250</v>
      </c>
      <c r="Q31" s="37">
        <f t="shared" si="6"/>
        <v>1250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12000</v>
      </c>
      <c r="E32" s="37" t="s">
        <v>525</v>
      </c>
      <c r="F32" s="37">
        <f t="shared" si="8"/>
        <v>1000</v>
      </c>
      <c r="G32" s="37">
        <f t="shared" si="8"/>
        <v>1000</v>
      </c>
      <c r="H32" s="37">
        <f t="shared" si="8"/>
        <v>1000</v>
      </c>
      <c r="I32" s="37">
        <f t="shared" si="8"/>
        <v>1000</v>
      </c>
      <c r="J32" s="37">
        <f t="shared" si="8"/>
        <v>1000</v>
      </c>
      <c r="K32" s="37">
        <f t="shared" si="8"/>
        <v>1000</v>
      </c>
      <c r="L32" s="37">
        <f t="shared" si="8"/>
        <v>1000</v>
      </c>
      <c r="M32" s="37">
        <f t="shared" si="8"/>
        <v>1000</v>
      </c>
      <c r="N32" s="37">
        <f t="shared" si="8"/>
        <v>1000</v>
      </c>
      <c r="O32" s="37">
        <f t="shared" si="8"/>
        <v>1000</v>
      </c>
      <c r="P32" s="37">
        <f t="shared" si="8"/>
        <v>1000</v>
      </c>
      <c r="Q32" s="37">
        <f t="shared" si="6"/>
        <v>1000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8000</v>
      </c>
      <c r="E33" s="37" t="s">
        <v>525</v>
      </c>
      <c r="F33" s="37">
        <f t="shared" si="8"/>
        <v>667</v>
      </c>
      <c r="G33" s="37">
        <f t="shared" si="8"/>
        <v>667</v>
      </c>
      <c r="H33" s="37">
        <f t="shared" si="8"/>
        <v>667</v>
      </c>
      <c r="I33" s="37">
        <f t="shared" si="8"/>
        <v>667</v>
      </c>
      <c r="J33" s="37">
        <f t="shared" si="8"/>
        <v>667</v>
      </c>
      <c r="K33" s="37">
        <f t="shared" si="8"/>
        <v>667</v>
      </c>
      <c r="L33" s="37">
        <f t="shared" si="8"/>
        <v>667</v>
      </c>
      <c r="M33" s="37">
        <f t="shared" si="8"/>
        <v>667</v>
      </c>
      <c r="N33" s="37">
        <f t="shared" si="8"/>
        <v>667</v>
      </c>
      <c r="O33" s="37">
        <f t="shared" si="8"/>
        <v>667</v>
      </c>
      <c r="P33" s="37">
        <f t="shared" si="8"/>
        <v>667</v>
      </c>
      <c r="Q33" s="37">
        <f t="shared" si="6"/>
        <v>663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345000</v>
      </c>
      <c r="E37" s="108"/>
      <c r="F37" s="108">
        <f t="shared" ref="F37:P37" si="9">ROUND(SUM(F26:F36),-3)</f>
        <v>29000</v>
      </c>
      <c r="G37" s="108">
        <f t="shared" si="9"/>
        <v>29000</v>
      </c>
      <c r="H37" s="108">
        <f t="shared" si="9"/>
        <v>29000</v>
      </c>
      <c r="I37" s="108">
        <f t="shared" si="9"/>
        <v>29000</v>
      </c>
      <c r="J37" s="108">
        <f t="shared" si="9"/>
        <v>29000</v>
      </c>
      <c r="K37" s="108">
        <f t="shared" si="9"/>
        <v>29000</v>
      </c>
      <c r="L37" s="108">
        <f t="shared" si="9"/>
        <v>29000</v>
      </c>
      <c r="M37" s="108">
        <f t="shared" si="9"/>
        <v>29000</v>
      </c>
      <c r="N37" s="108">
        <f t="shared" si="9"/>
        <v>29000</v>
      </c>
      <c r="O37" s="108">
        <f t="shared" si="9"/>
        <v>29000</v>
      </c>
      <c r="P37" s="108">
        <f t="shared" si="9"/>
        <v>29000</v>
      </c>
      <c r="Q37" s="108">
        <f>D37-SUM(F37:P37)</f>
        <v>26000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1026000</v>
      </c>
      <c r="E48" s="37"/>
      <c r="F48" s="115">
        <f>F25+F37+F45+F47</f>
        <v>104000</v>
      </c>
      <c r="G48" s="115">
        <f t="shared" ref="G48:R48" si="14">G25+G37+G45+G47</f>
        <v>82000</v>
      </c>
      <c r="H48" s="115">
        <f t="shared" si="14"/>
        <v>82000</v>
      </c>
      <c r="I48" s="115">
        <f t="shared" si="14"/>
        <v>82000</v>
      </c>
      <c r="J48" s="115">
        <f t="shared" si="14"/>
        <v>82000</v>
      </c>
      <c r="K48" s="115">
        <f t="shared" si="14"/>
        <v>86000</v>
      </c>
      <c r="L48" s="115">
        <f t="shared" si="14"/>
        <v>100000</v>
      </c>
      <c r="M48" s="115">
        <f t="shared" si="14"/>
        <v>82000</v>
      </c>
      <c r="N48" s="115">
        <f t="shared" si="14"/>
        <v>86000</v>
      </c>
      <c r="O48" s="115">
        <f t="shared" si="14"/>
        <v>82000</v>
      </c>
      <c r="P48" s="115">
        <f t="shared" si="14"/>
        <v>82000</v>
      </c>
      <c r="Q48" s="115">
        <f t="shared" si="14"/>
        <v>76000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14986000</v>
      </c>
      <c r="E49" s="114" t="s">
        <v>202</v>
      </c>
      <c r="F49" s="37">
        <f>ROUND($D49/12*3,-3)</f>
        <v>3747000</v>
      </c>
      <c r="G49" s="37">
        <f>ROUND($D49/12,-3)</f>
        <v>1249000</v>
      </c>
      <c r="H49" s="37">
        <f t="shared" ref="H49:N53" si="15">ROUND($D49/12,-3)</f>
        <v>1249000</v>
      </c>
      <c r="I49" s="37">
        <f t="shared" si="15"/>
        <v>1249000</v>
      </c>
      <c r="J49" s="37">
        <f t="shared" si="15"/>
        <v>1249000</v>
      </c>
      <c r="K49" s="37">
        <f t="shared" si="15"/>
        <v>1249000</v>
      </c>
      <c r="L49" s="37">
        <f t="shared" si="15"/>
        <v>1249000</v>
      </c>
      <c r="M49" s="37">
        <f t="shared" si="15"/>
        <v>1249000</v>
      </c>
      <c r="N49" s="37">
        <f t="shared" si="15"/>
        <v>1249000</v>
      </c>
      <c r="O49" s="37">
        <f>D49-SUM(F49:N49)</f>
        <v>1247000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1349000</v>
      </c>
      <c r="E51" s="114" t="s">
        <v>202</v>
      </c>
      <c r="F51" s="37">
        <f t="shared" si="16"/>
        <v>337000</v>
      </c>
      <c r="G51" s="37">
        <f t="shared" si="17"/>
        <v>112000</v>
      </c>
      <c r="H51" s="37">
        <f t="shared" si="15"/>
        <v>112000</v>
      </c>
      <c r="I51" s="37">
        <f t="shared" si="15"/>
        <v>112000</v>
      </c>
      <c r="J51" s="37">
        <f t="shared" si="15"/>
        <v>112000</v>
      </c>
      <c r="K51" s="37">
        <f t="shared" si="15"/>
        <v>112000</v>
      </c>
      <c r="L51" s="37">
        <f t="shared" si="15"/>
        <v>112000</v>
      </c>
      <c r="M51" s="37">
        <f t="shared" si="15"/>
        <v>112000</v>
      </c>
      <c r="N51" s="37">
        <f t="shared" si="15"/>
        <v>112000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40000</v>
      </c>
      <c r="E54" s="37" t="s">
        <v>525</v>
      </c>
      <c r="F54" s="37">
        <f t="shared" ref="F54:P61" si="19">ROUND($D54/12,0)</f>
        <v>3333</v>
      </c>
      <c r="G54" s="37">
        <f t="shared" si="19"/>
        <v>3333</v>
      </c>
      <c r="H54" s="37">
        <f t="shared" si="19"/>
        <v>3333</v>
      </c>
      <c r="I54" s="37">
        <f t="shared" si="19"/>
        <v>3333</v>
      </c>
      <c r="J54" s="37">
        <f t="shared" si="19"/>
        <v>3333</v>
      </c>
      <c r="K54" s="37">
        <f t="shared" si="19"/>
        <v>3333</v>
      </c>
      <c r="L54" s="37">
        <f t="shared" si="19"/>
        <v>3333</v>
      </c>
      <c r="M54" s="37">
        <f t="shared" si="19"/>
        <v>3333</v>
      </c>
      <c r="N54" s="37">
        <f t="shared" si="19"/>
        <v>3333</v>
      </c>
      <c r="O54" s="37">
        <f t="shared" si="19"/>
        <v>3333</v>
      </c>
      <c r="P54" s="37">
        <f t="shared" si="19"/>
        <v>3333</v>
      </c>
      <c r="Q54" s="37">
        <f t="shared" ref="Q54:Q61" si="20">D54-SUM(F54:P54)</f>
        <v>3337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440000</v>
      </c>
      <c r="E60" s="37" t="s">
        <v>195</v>
      </c>
      <c r="F60" s="37">
        <f>D60</f>
        <v>440000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1962000</v>
      </c>
      <c r="E62" s="37" t="s">
        <v>197</v>
      </c>
      <c r="F62" s="37"/>
      <c r="G62" s="37"/>
      <c r="H62" s="37"/>
      <c r="I62" s="37">
        <f>ROUND($D62/5,-3)</f>
        <v>392000</v>
      </c>
      <c r="J62" s="37"/>
      <c r="K62" s="37"/>
      <c r="L62" s="37"/>
      <c r="M62" s="37"/>
      <c r="N62" s="37">
        <f>D62-I62</f>
        <v>1570000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1826000</v>
      </c>
      <c r="E63" s="37" t="s">
        <v>195</v>
      </c>
      <c r="F63" s="37">
        <f>D63</f>
        <v>1826000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1634000</v>
      </c>
      <c r="E64" s="114" t="s">
        <v>202</v>
      </c>
      <c r="F64" s="37">
        <f>ROUND($D64/12*3,-3)</f>
        <v>409000</v>
      </c>
      <c r="G64" s="37">
        <f>ROUND($D64/12,-3)</f>
        <v>136000</v>
      </c>
      <c r="H64" s="37">
        <f t="shared" ref="H64:N66" si="21">ROUND($D64/12,-3)</f>
        <v>136000</v>
      </c>
      <c r="I64" s="37">
        <f t="shared" si="21"/>
        <v>136000</v>
      </c>
      <c r="J64" s="37">
        <f t="shared" si="21"/>
        <v>136000</v>
      </c>
      <c r="K64" s="37">
        <f t="shared" si="21"/>
        <v>136000</v>
      </c>
      <c r="L64" s="37">
        <f t="shared" si="21"/>
        <v>136000</v>
      </c>
      <c r="M64" s="37">
        <f t="shared" si="21"/>
        <v>136000</v>
      </c>
      <c r="N64" s="37">
        <f t="shared" si="21"/>
        <v>136000</v>
      </c>
      <c r="O64" s="37">
        <f>D64-SUM(F64:N64)</f>
        <v>137000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408000</v>
      </c>
      <c r="E65" s="114" t="s">
        <v>202</v>
      </c>
      <c r="F65" s="37">
        <f t="shared" ref="F65:F66" si="22">ROUND($D65/12*3,-3)</f>
        <v>102000</v>
      </c>
      <c r="G65" s="37">
        <f t="shared" ref="G65:G66" si="23">ROUND($D65/12,-3)</f>
        <v>34000</v>
      </c>
      <c r="H65" s="37">
        <f t="shared" si="21"/>
        <v>34000</v>
      </c>
      <c r="I65" s="37">
        <f t="shared" si="21"/>
        <v>34000</v>
      </c>
      <c r="J65" s="37">
        <f t="shared" si="21"/>
        <v>34000</v>
      </c>
      <c r="K65" s="37">
        <f t="shared" si="21"/>
        <v>34000</v>
      </c>
      <c r="L65" s="37">
        <f t="shared" si="21"/>
        <v>34000</v>
      </c>
      <c r="M65" s="37">
        <f t="shared" si="21"/>
        <v>34000</v>
      </c>
      <c r="N65" s="37">
        <f t="shared" si="21"/>
        <v>34000</v>
      </c>
      <c r="O65" s="37">
        <f t="shared" ref="O65:O66" si="24">D65-SUM(F65:N65)</f>
        <v>34000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967000</v>
      </c>
      <c r="E66" s="114" t="s">
        <v>202</v>
      </c>
      <c r="F66" s="37">
        <f t="shared" si="22"/>
        <v>242000</v>
      </c>
      <c r="G66" s="37">
        <f t="shared" si="23"/>
        <v>81000</v>
      </c>
      <c r="H66" s="37">
        <f t="shared" si="21"/>
        <v>81000</v>
      </c>
      <c r="I66" s="37">
        <f t="shared" si="21"/>
        <v>81000</v>
      </c>
      <c r="J66" s="37">
        <f t="shared" si="21"/>
        <v>81000</v>
      </c>
      <c r="K66" s="37">
        <f t="shared" si="21"/>
        <v>81000</v>
      </c>
      <c r="L66" s="37">
        <f t="shared" si="21"/>
        <v>81000</v>
      </c>
      <c r="M66" s="37">
        <f t="shared" si="21"/>
        <v>81000</v>
      </c>
      <c r="N66" s="37">
        <f t="shared" si="21"/>
        <v>81000</v>
      </c>
      <c r="O66" s="37">
        <f t="shared" si="24"/>
        <v>77000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36000</v>
      </c>
      <c r="E67" s="37" t="s">
        <v>196</v>
      </c>
      <c r="F67" s="37"/>
      <c r="G67" s="37"/>
      <c r="H67" s="37">
        <f>D67</f>
        <v>36000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128000</v>
      </c>
      <c r="E68" s="37" t="s">
        <v>195</v>
      </c>
      <c r="F68" s="37">
        <f>D68</f>
        <v>128000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24065000</v>
      </c>
      <c r="E70" s="108"/>
      <c r="F70" s="108">
        <f t="shared" ref="F70:P70" si="25">ROUND(SUM(F49:F69),-3)</f>
        <v>7302000</v>
      </c>
      <c r="G70" s="108">
        <f t="shared" si="25"/>
        <v>1639000</v>
      </c>
      <c r="H70" s="108">
        <f t="shared" si="25"/>
        <v>1675000</v>
      </c>
      <c r="I70" s="108">
        <f t="shared" si="25"/>
        <v>2031000</v>
      </c>
      <c r="J70" s="108">
        <f t="shared" si="25"/>
        <v>1639000</v>
      </c>
      <c r="K70" s="108">
        <f t="shared" si="25"/>
        <v>1639000</v>
      </c>
      <c r="L70" s="108">
        <f t="shared" si="25"/>
        <v>1639000</v>
      </c>
      <c r="M70" s="108">
        <f t="shared" si="25"/>
        <v>1639000</v>
      </c>
      <c r="N70" s="108">
        <f t="shared" si="25"/>
        <v>3209000</v>
      </c>
      <c r="O70" s="108">
        <f t="shared" si="25"/>
        <v>1639000</v>
      </c>
      <c r="P70" s="108">
        <f t="shared" si="25"/>
        <v>5000</v>
      </c>
      <c r="Q70" s="108">
        <f>D70-SUM(F70:P70)</f>
        <v>9000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3687000</v>
      </c>
      <c r="E72" s="114" t="s">
        <v>202</v>
      </c>
      <c r="F72" s="37">
        <f>ROUND($D72/12*3,-3)</f>
        <v>922000</v>
      </c>
      <c r="G72" s="37">
        <f>ROUND($D72/12,-3)</f>
        <v>307000</v>
      </c>
      <c r="H72" s="37">
        <f t="shared" ref="H72:N75" si="26">ROUND($D72/12,-3)</f>
        <v>307000</v>
      </c>
      <c r="I72" s="37">
        <f t="shared" si="26"/>
        <v>307000</v>
      </c>
      <c r="J72" s="37">
        <f t="shared" si="26"/>
        <v>307000</v>
      </c>
      <c r="K72" s="37">
        <f t="shared" si="26"/>
        <v>307000</v>
      </c>
      <c r="L72" s="37">
        <f t="shared" si="26"/>
        <v>307000</v>
      </c>
      <c r="M72" s="37">
        <f t="shared" si="26"/>
        <v>307000</v>
      </c>
      <c r="N72" s="37">
        <f t="shared" si="26"/>
        <v>307000</v>
      </c>
      <c r="O72" s="37">
        <f>D72-SUM(F72:N72)</f>
        <v>309000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481000</v>
      </c>
      <c r="E75" s="114" t="s">
        <v>202</v>
      </c>
      <c r="F75" s="37">
        <f>ROUND($D75/12*3,-3)</f>
        <v>120000</v>
      </c>
      <c r="G75" s="37">
        <f>ROUND($D75/12,-3)</f>
        <v>40000</v>
      </c>
      <c r="H75" s="37">
        <f t="shared" si="26"/>
        <v>40000</v>
      </c>
      <c r="I75" s="37">
        <f t="shared" si="26"/>
        <v>40000</v>
      </c>
      <c r="J75" s="37">
        <f t="shared" si="26"/>
        <v>40000</v>
      </c>
      <c r="K75" s="37">
        <f t="shared" si="26"/>
        <v>40000</v>
      </c>
      <c r="L75" s="37">
        <f t="shared" si="26"/>
        <v>40000</v>
      </c>
      <c r="M75" s="37">
        <f t="shared" si="26"/>
        <v>40000</v>
      </c>
      <c r="N75" s="37">
        <f t="shared" si="26"/>
        <v>40000</v>
      </c>
      <c r="O75" s="37">
        <f>D75-SUM(F75:N75)</f>
        <v>41000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4168000</v>
      </c>
      <c r="E76" s="108"/>
      <c r="F76" s="108">
        <f>ROUND(SUM(F71:F75),-3)</f>
        <v>1042000</v>
      </c>
      <c r="G76" s="108">
        <f t="shared" ref="G76:N76" si="27">ROUND(SUM(G71:G75),-3)</f>
        <v>347000</v>
      </c>
      <c r="H76" s="108">
        <f t="shared" si="27"/>
        <v>347000</v>
      </c>
      <c r="I76" s="108">
        <f t="shared" si="27"/>
        <v>347000</v>
      </c>
      <c r="J76" s="108">
        <f t="shared" si="27"/>
        <v>347000</v>
      </c>
      <c r="K76" s="108">
        <f t="shared" si="27"/>
        <v>347000</v>
      </c>
      <c r="L76" s="108">
        <f t="shared" si="27"/>
        <v>347000</v>
      </c>
      <c r="M76" s="108">
        <f t="shared" si="27"/>
        <v>347000</v>
      </c>
      <c r="N76" s="108">
        <f t="shared" si="27"/>
        <v>347000</v>
      </c>
      <c r="O76" s="108">
        <f>D76-SUM(F76:N76)</f>
        <v>350000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402000</v>
      </c>
      <c r="E77" s="37" t="s">
        <v>681</v>
      </c>
      <c r="F77" s="224"/>
      <c r="G77" s="224"/>
      <c r="H77" s="224">
        <f>ROUND($D77/2,-3)</f>
        <v>201000</v>
      </c>
      <c r="I77" s="224"/>
      <c r="J77" s="224"/>
      <c r="K77" s="224"/>
      <c r="L77" s="224"/>
      <c r="M77" s="224"/>
      <c r="N77" s="224">
        <f>D77-H77</f>
        <v>201000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28635000</v>
      </c>
      <c r="E78" s="227"/>
      <c r="F78" s="227">
        <f>F76+F70+F77</f>
        <v>8344000</v>
      </c>
      <c r="G78" s="227">
        <f t="shared" ref="G78:Q78" si="29">G76+G70+G77</f>
        <v>1986000</v>
      </c>
      <c r="H78" s="227">
        <f t="shared" si="29"/>
        <v>2223000</v>
      </c>
      <c r="I78" s="227">
        <f t="shared" si="29"/>
        <v>2378000</v>
      </c>
      <c r="J78" s="227">
        <f t="shared" si="29"/>
        <v>1986000</v>
      </c>
      <c r="K78" s="227">
        <f t="shared" si="29"/>
        <v>1986000</v>
      </c>
      <c r="L78" s="227">
        <f t="shared" si="29"/>
        <v>1986000</v>
      </c>
      <c r="M78" s="227">
        <f t="shared" si="29"/>
        <v>1986000</v>
      </c>
      <c r="N78" s="227">
        <f t="shared" si="29"/>
        <v>3757000</v>
      </c>
      <c r="O78" s="227">
        <f t="shared" si="29"/>
        <v>1989000</v>
      </c>
      <c r="P78" s="227">
        <f t="shared" si="29"/>
        <v>5000</v>
      </c>
      <c r="Q78" s="227">
        <f t="shared" si="29"/>
        <v>9000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29661000</v>
      </c>
      <c r="E87" s="37"/>
      <c r="F87" s="37">
        <f>F88+F89+F90+F91</f>
        <v>8448000</v>
      </c>
      <c r="G87" s="37">
        <f t="shared" ref="G87:Q87" si="32">G88+G89+G90+G91</f>
        <v>2068000</v>
      </c>
      <c r="H87" s="37">
        <f t="shared" si="32"/>
        <v>2305000</v>
      </c>
      <c r="I87" s="37">
        <f t="shared" si="32"/>
        <v>2460000</v>
      </c>
      <c r="J87" s="37">
        <f t="shared" si="32"/>
        <v>2068000</v>
      </c>
      <c r="K87" s="37">
        <f t="shared" si="32"/>
        <v>2072000</v>
      </c>
      <c r="L87" s="37">
        <f t="shared" si="32"/>
        <v>2086000</v>
      </c>
      <c r="M87" s="37">
        <f t="shared" si="32"/>
        <v>2068000</v>
      </c>
      <c r="N87" s="37">
        <f t="shared" si="32"/>
        <v>3843000</v>
      </c>
      <c r="O87" s="37">
        <f t="shared" si="32"/>
        <v>2071000</v>
      </c>
      <c r="P87" s="37">
        <f t="shared" si="32"/>
        <v>87000</v>
      </c>
      <c r="Q87" s="37">
        <f t="shared" si="32"/>
        <v>85000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0</v>
      </c>
      <c r="E88" s="108" t="s">
        <v>193</v>
      </c>
      <c r="F88" s="108">
        <f>ROUND($D88/2,-3)</f>
        <v>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2000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1000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29659000</v>
      </c>
      <c r="E91" s="108"/>
      <c r="F91" s="108">
        <f>F92+F93+F94+F95</f>
        <v>8448000</v>
      </c>
      <c r="G91" s="108">
        <f t="shared" ref="G91:Q91" si="34">G92+G93+G94+G95</f>
        <v>2068000</v>
      </c>
      <c r="H91" s="108">
        <f t="shared" si="34"/>
        <v>2305000</v>
      </c>
      <c r="I91" s="108">
        <f t="shared" si="34"/>
        <v>2460000</v>
      </c>
      <c r="J91" s="108">
        <f t="shared" si="34"/>
        <v>2068000</v>
      </c>
      <c r="K91" s="108">
        <f t="shared" si="34"/>
        <v>2072000</v>
      </c>
      <c r="L91" s="108">
        <f t="shared" si="34"/>
        <v>2085000</v>
      </c>
      <c r="M91" s="108">
        <f t="shared" si="34"/>
        <v>2068000</v>
      </c>
      <c r="N91" s="108">
        <f t="shared" si="34"/>
        <v>3843000</v>
      </c>
      <c r="O91" s="108">
        <f t="shared" si="34"/>
        <v>2071000</v>
      </c>
      <c r="P91" s="108">
        <f t="shared" si="34"/>
        <v>87000</v>
      </c>
      <c r="Q91" s="108">
        <f t="shared" si="34"/>
        <v>84000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1615000</v>
      </c>
      <c r="E92" s="114" t="s">
        <v>537</v>
      </c>
      <c r="F92" s="37">
        <f>ROUND($D92/12*5,-3)</f>
        <v>673000</v>
      </c>
      <c r="G92" s="37">
        <f>ROUND($D92/12,-3)</f>
        <v>135000</v>
      </c>
      <c r="H92" s="37">
        <f t="shared" ref="H92:L92" si="35">ROUND($D92/12,-3)</f>
        <v>135000</v>
      </c>
      <c r="I92" s="37">
        <f t="shared" si="35"/>
        <v>135000</v>
      </c>
      <c r="J92" s="37">
        <f t="shared" si="35"/>
        <v>135000</v>
      </c>
      <c r="K92" s="37">
        <f t="shared" si="35"/>
        <v>135000</v>
      </c>
      <c r="L92" s="37">
        <f t="shared" si="35"/>
        <v>135000</v>
      </c>
      <c r="M92" s="37">
        <f>D92-SUM(F92:L92)</f>
        <v>132000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116000</v>
      </c>
      <c r="E93" s="109" t="s">
        <v>227</v>
      </c>
      <c r="F93" s="37">
        <f>ROUND($D93/12,-3)</f>
        <v>10000</v>
      </c>
      <c r="G93" s="37">
        <f t="shared" ref="G93:P93" si="36">ROUND($D93/12,-3)</f>
        <v>10000</v>
      </c>
      <c r="H93" s="37">
        <f t="shared" si="36"/>
        <v>10000</v>
      </c>
      <c r="I93" s="37">
        <f t="shared" si="36"/>
        <v>10000</v>
      </c>
      <c r="J93" s="37">
        <f t="shared" si="36"/>
        <v>10000</v>
      </c>
      <c r="K93" s="37">
        <f t="shared" si="36"/>
        <v>10000</v>
      </c>
      <c r="L93" s="37">
        <f t="shared" si="36"/>
        <v>10000</v>
      </c>
      <c r="M93" s="37">
        <f t="shared" si="36"/>
        <v>10000</v>
      </c>
      <c r="N93" s="37">
        <f t="shared" si="36"/>
        <v>10000</v>
      </c>
      <c r="O93" s="37">
        <f t="shared" si="36"/>
        <v>10000</v>
      </c>
      <c r="P93" s="37">
        <f t="shared" si="36"/>
        <v>10000</v>
      </c>
      <c r="Q93" s="37">
        <f>D93-SUM(F93:P93)</f>
        <v>6000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168000</v>
      </c>
      <c r="E94" s="110" t="s">
        <v>229</v>
      </c>
      <c r="F94" s="37"/>
      <c r="G94" s="37"/>
      <c r="H94" s="37">
        <f>ROUND($D94/2,-3)</f>
        <v>84000</v>
      </c>
      <c r="I94" s="37"/>
      <c r="J94" s="37"/>
      <c r="K94" s="37"/>
      <c r="L94" s="37"/>
      <c r="M94" s="37"/>
      <c r="N94" s="37"/>
      <c r="O94" s="37">
        <f>D94-H94</f>
        <v>84000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27760000</v>
      </c>
      <c r="E95" s="37"/>
      <c r="F95" s="37">
        <f>F2+F86-F88-F89-F90-F92-F93-F94</f>
        <v>7765000</v>
      </c>
      <c r="G95" s="37">
        <f t="shared" ref="G95:Q95" si="37">G2-G88-G89-G90-G92-G93-G94</f>
        <v>1923000</v>
      </c>
      <c r="H95" s="37">
        <f t="shared" si="37"/>
        <v>2076000</v>
      </c>
      <c r="I95" s="37">
        <f t="shared" si="37"/>
        <v>2315000</v>
      </c>
      <c r="J95" s="37">
        <f t="shared" si="37"/>
        <v>1923000</v>
      </c>
      <c r="K95" s="37">
        <f t="shared" si="37"/>
        <v>1927000</v>
      </c>
      <c r="L95" s="37">
        <f t="shared" si="37"/>
        <v>1940000</v>
      </c>
      <c r="M95" s="37">
        <f t="shared" si="37"/>
        <v>1926000</v>
      </c>
      <c r="N95" s="37">
        <f t="shared" si="37"/>
        <v>3833000</v>
      </c>
      <c r="O95" s="37">
        <f t="shared" si="37"/>
        <v>1977000</v>
      </c>
      <c r="P95" s="37">
        <f t="shared" si="37"/>
        <v>77000</v>
      </c>
      <c r="Q95" s="37">
        <f t="shared" si="37"/>
        <v>78000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0</v>
      </c>
    </row>
    <row r="99" spans="2:17" ht="32.4">
      <c r="B99" s="72" t="s">
        <v>235</v>
      </c>
      <c r="D99" s="30">
        <f>HLOOKUP(D1,縣庫撥款收入明細表!H:DD,5,FALSE)</f>
        <v>600000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1015000</v>
      </c>
    </row>
    <row r="102" spans="2:17" ht="32.4">
      <c r="B102" s="71" t="s">
        <v>238</v>
      </c>
      <c r="D102" s="30">
        <f>HLOOKUP(D1,縣庫撥款收入明細表!H:DD,16,FALSE)</f>
        <v>108000</v>
      </c>
    </row>
    <row r="103" spans="2:17" ht="32.4">
      <c r="B103" s="72" t="s">
        <v>239</v>
      </c>
      <c r="D103" s="30">
        <f>HLOOKUP(D1,縣庫撥款收入明細表!H:DD,17,FALSE)</f>
        <v>0</v>
      </c>
    </row>
    <row r="104" spans="2:17" ht="32.4">
      <c r="B104" s="76" t="s">
        <v>240</v>
      </c>
      <c r="D104" s="30">
        <f>HLOOKUP(D1,縣庫撥款收入明細表!H:DD,18,FALSE)</f>
        <v>168000</v>
      </c>
    </row>
    <row r="105" spans="2:17" ht="32.4">
      <c r="B105" s="72" t="s">
        <v>380</v>
      </c>
      <c r="D105" s="30">
        <f>HLOOKUP(D1,縣庫撥款收入明細表!H:DD,19,FALSE)</f>
        <v>0</v>
      </c>
    </row>
    <row r="106" spans="2:17" ht="32.4">
      <c r="B106" s="71" t="s">
        <v>241</v>
      </c>
      <c r="D106" s="30">
        <f>HLOOKUP(D1,縣庫撥款收入明細表!H:DD,20,FALSE)</f>
        <v>8000</v>
      </c>
    </row>
    <row r="107" spans="2:17" ht="32.4">
      <c r="B107" s="77" t="s">
        <v>242</v>
      </c>
      <c r="D107" s="30">
        <f>HLOOKUP(D1,縣庫撥款收入明細表!H:DD,21,FALSE)</f>
        <v>27760000</v>
      </c>
    </row>
    <row r="108" spans="2:17" ht="16.5" customHeight="1"/>
    <row r="109" spans="2:17" ht="16.5" customHeight="1">
      <c r="B109" s="4" t="s">
        <v>682</v>
      </c>
      <c r="D109" s="30">
        <f>D91-D76</f>
        <v>25491000</v>
      </c>
      <c r="F109" s="30">
        <f>F91-F76</f>
        <v>7406000</v>
      </c>
      <c r="G109" s="30">
        <f t="shared" ref="G109:Q109" si="38">G91-G76</f>
        <v>1721000</v>
      </c>
      <c r="H109" s="30">
        <f t="shared" si="38"/>
        <v>1958000</v>
      </c>
      <c r="I109" s="30">
        <f t="shared" si="38"/>
        <v>2113000</v>
      </c>
      <c r="J109" s="30">
        <f t="shared" si="38"/>
        <v>1721000</v>
      </c>
      <c r="K109" s="30">
        <f t="shared" si="38"/>
        <v>1725000</v>
      </c>
      <c r="L109" s="30">
        <f t="shared" si="38"/>
        <v>1738000</v>
      </c>
      <c r="M109" s="30">
        <f t="shared" si="38"/>
        <v>1721000</v>
      </c>
      <c r="N109" s="30">
        <f t="shared" si="38"/>
        <v>3496000</v>
      </c>
      <c r="O109" s="30">
        <f t="shared" si="38"/>
        <v>1721000</v>
      </c>
      <c r="P109" s="30">
        <f t="shared" si="38"/>
        <v>87000</v>
      </c>
      <c r="Q109" s="30">
        <f t="shared" si="38"/>
        <v>84000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46" priority="1" operator="less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21"/>
  <sheetViews>
    <sheetView zoomScale="85" zoomScaleNormal="85" workbookViewId="0">
      <selection activeCell="J24" sqref="J24"/>
    </sheetView>
  </sheetViews>
  <sheetFormatPr defaultRowHeight="16.2"/>
  <cols>
    <col min="4" max="5" width="0" hidden="1" customWidth="1"/>
    <col min="6" max="6" width="15.21875" hidden="1" customWidth="1"/>
    <col min="7" max="7" width="17.109375" customWidth="1"/>
    <col min="8" max="108" width="13.77734375" customWidth="1"/>
  </cols>
  <sheetData>
    <row r="1" spans="1:108" ht="19.8">
      <c r="A1" s="248" t="s">
        <v>210</v>
      </c>
      <c r="B1" s="249"/>
      <c r="C1" s="250"/>
      <c r="D1" s="38"/>
      <c r="E1" s="39" t="s">
        <v>243</v>
      </c>
      <c r="F1" s="38" t="s">
        <v>244</v>
      </c>
      <c r="G1" s="40" t="s">
        <v>245</v>
      </c>
      <c r="H1" s="41" t="s">
        <v>179</v>
      </c>
      <c r="I1" s="42" t="s">
        <v>178</v>
      </c>
      <c r="J1" s="42" t="s">
        <v>246</v>
      </c>
      <c r="K1" s="43" t="s">
        <v>247</v>
      </c>
      <c r="L1" s="42" t="s">
        <v>248</v>
      </c>
      <c r="M1" s="43" t="s">
        <v>249</v>
      </c>
      <c r="N1" s="43" t="s">
        <v>250</v>
      </c>
      <c r="O1" s="42" t="s">
        <v>251</v>
      </c>
      <c r="P1" s="42" t="s">
        <v>252</v>
      </c>
      <c r="Q1" s="43" t="s">
        <v>253</v>
      </c>
      <c r="R1" s="42" t="s">
        <v>254</v>
      </c>
      <c r="S1" s="43" t="s">
        <v>255</v>
      </c>
      <c r="T1" s="43" t="s">
        <v>256</v>
      </c>
      <c r="U1" s="42" t="s">
        <v>257</v>
      </c>
      <c r="V1" s="42" t="s">
        <v>258</v>
      </c>
      <c r="W1" s="42" t="s">
        <v>259</v>
      </c>
      <c r="X1" s="43" t="s">
        <v>260</v>
      </c>
      <c r="Y1" s="42" t="s">
        <v>261</v>
      </c>
      <c r="Z1" s="42" t="s">
        <v>262</v>
      </c>
      <c r="AA1" s="43" t="s">
        <v>263</v>
      </c>
      <c r="AB1" s="42" t="s">
        <v>264</v>
      </c>
      <c r="AC1" s="42" t="s">
        <v>265</v>
      </c>
      <c r="AD1" s="43" t="s">
        <v>266</v>
      </c>
      <c r="AE1" s="42" t="s">
        <v>267</v>
      </c>
      <c r="AF1" s="43" t="s">
        <v>268</v>
      </c>
      <c r="AG1" s="43" t="s">
        <v>269</v>
      </c>
      <c r="AH1" s="42" t="s">
        <v>270</v>
      </c>
      <c r="AI1" s="43" t="s">
        <v>271</v>
      </c>
      <c r="AJ1" s="43" t="s">
        <v>272</v>
      </c>
      <c r="AK1" s="43" t="s">
        <v>273</v>
      </c>
      <c r="AL1" s="43" t="s">
        <v>274</v>
      </c>
      <c r="AM1" s="43" t="s">
        <v>275</v>
      </c>
      <c r="AN1" s="43" t="s">
        <v>276</v>
      </c>
      <c r="AO1" s="43" t="s">
        <v>277</v>
      </c>
      <c r="AP1" s="43" t="s">
        <v>278</v>
      </c>
      <c r="AQ1" s="43" t="s">
        <v>279</v>
      </c>
      <c r="AR1" s="43" t="s">
        <v>280</v>
      </c>
      <c r="AS1" s="43" t="s">
        <v>281</v>
      </c>
      <c r="AT1" s="42" t="s">
        <v>282</v>
      </c>
      <c r="AU1" s="43" t="s">
        <v>283</v>
      </c>
      <c r="AV1" s="42" t="s">
        <v>284</v>
      </c>
      <c r="AW1" s="43" t="s">
        <v>285</v>
      </c>
      <c r="AX1" s="43" t="s">
        <v>286</v>
      </c>
      <c r="AY1" s="43" t="s">
        <v>287</v>
      </c>
      <c r="AZ1" s="43" t="s">
        <v>288</v>
      </c>
      <c r="BA1" s="43" t="s">
        <v>289</v>
      </c>
      <c r="BB1" s="43" t="s">
        <v>290</v>
      </c>
      <c r="BC1" s="43" t="s">
        <v>291</v>
      </c>
      <c r="BD1" s="43" t="s">
        <v>292</v>
      </c>
      <c r="BE1" s="43" t="s">
        <v>293</v>
      </c>
      <c r="BF1" s="43" t="s">
        <v>294</v>
      </c>
      <c r="BG1" s="43" t="s">
        <v>295</v>
      </c>
      <c r="BH1" s="42" t="s">
        <v>296</v>
      </c>
      <c r="BI1" s="42" t="s">
        <v>297</v>
      </c>
      <c r="BJ1" s="43" t="s">
        <v>298</v>
      </c>
      <c r="BK1" s="43" t="s">
        <v>299</v>
      </c>
      <c r="BL1" s="42" t="s">
        <v>300</v>
      </c>
      <c r="BM1" s="42" t="s">
        <v>301</v>
      </c>
      <c r="BN1" s="43" t="s">
        <v>302</v>
      </c>
      <c r="BO1" s="42" t="s">
        <v>303</v>
      </c>
      <c r="BP1" s="43" t="s">
        <v>304</v>
      </c>
      <c r="BQ1" s="42" t="s">
        <v>305</v>
      </c>
      <c r="BR1" s="42" t="s">
        <v>306</v>
      </c>
      <c r="BS1" s="43" t="s">
        <v>71</v>
      </c>
      <c r="BT1" s="43" t="s">
        <v>307</v>
      </c>
      <c r="BU1" s="43" t="s">
        <v>308</v>
      </c>
      <c r="BV1" s="43" t="s">
        <v>309</v>
      </c>
      <c r="BW1" s="43" t="s">
        <v>310</v>
      </c>
      <c r="BX1" s="43" t="s">
        <v>311</v>
      </c>
      <c r="BY1" s="43" t="s">
        <v>312</v>
      </c>
      <c r="BZ1" s="43" t="s">
        <v>313</v>
      </c>
      <c r="CA1" s="43" t="s">
        <v>314</v>
      </c>
      <c r="CB1" s="43" t="s">
        <v>315</v>
      </c>
      <c r="CC1" s="43" t="s">
        <v>316</v>
      </c>
      <c r="CD1" s="43" t="s">
        <v>317</v>
      </c>
      <c r="CE1" s="43" t="s">
        <v>318</v>
      </c>
      <c r="CF1" s="43" t="s">
        <v>319</v>
      </c>
      <c r="CG1" s="43" t="s">
        <v>320</v>
      </c>
      <c r="CH1" s="43" t="s">
        <v>321</v>
      </c>
      <c r="CI1" s="43" t="s">
        <v>322</v>
      </c>
      <c r="CJ1" s="43" t="s">
        <v>323</v>
      </c>
      <c r="CK1" s="43" t="s">
        <v>324</v>
      </c>
      <c r="CL1" s="43" t="s">
        <v>325</v>
      </c>
      <c r="CM1" s="43" t="s">
        <v>326</v>
      </c>
      <c r="CN1" s="43" t="s">
        <v>327</v>
      </c>
      <c r="CO1" s="43" t="s">
        <v>328</v>
      </c>
      <c r="CP1" s="43" t="s">
        <v>329</v>
      </c>
      <c r="CQ1" s="43" t="s">
        <v>330</v>
      </c>
      <c r="CR1" s="43" t="s">
        <v>331</v>
      </c>
      <c r="CS1" s="43" t="s">
        <v>332</v>
      </c>
      <c r="CT1" s="43" t="s">
        <v>333</v>
      </c>
      <c r="CU1" s="43" t="s">
        <v>334</v>
      </c>
      <c r="CV1" s="43" t="s">
        <v>335</v>
      </c>
      <c r="CW1" s="43" t="s">
        <v>336</v>
      </c>
      <c r="CX1" s="43" t="s">
        <v>337</v>
      </c>
      <c r="CY1" s="43" t="s">
        <v>338</v>
      </c>
      <c r="CZ1" s="43" t="s">
        <v>339</v>
      </c>
      <c r="DA1" s="43" t="s">
        <v>340</v>
      </c>
      <c r="DB1" s="43" t="s">
        <v>341</v>
      </c>
      <c r="DC1" s="42" t="s">
        <v>342</v>
      </c>
      <c r="DD1" s="43" t="s">
        <v>343</v>
      </c>
    </row>
    <row r="2" spans="1:108" ht="19.8">
      <c r="A2" s="251" t="s">
        <v>538</v>
      </c>
      <c r="B2" s="251"/>
      <c r="C2" s="251"/>
      <c r="D2" s="44"/>
      <c r="E2" s="45"/>
      <c r="F2" s="44"/>
      <c r="G2" s="46">
        <f t="shared" ref="G2:G16" si="0">SUM(H2:DD2)</f>
        <v>3718413000</v>
      </c>
      <c r="H2" s="46">
        <v>54128000</v>
      </c>
      <c r="I2" s="46">
        <v>226511000</v>
      </c>
      <c r="J2" s="46">
        <v>95886000</v>
      </c>
      <c r="K2" s="46">
        <v>65059000</v>
      </c>
      <c r="L2" s="46">
        <v>137737000</v>
      </c>
      <c r="M2" s="46">
        <v>29270000</v>
      </c>
      <c r="N2" s="46">
        <v>37004000</v>
      </c>
      <c r="O2" s="46">
        <v>60374000</v>
      </c>
      <c r="P2" s="46">
        <v>77268000</v>
      </c>
      <c r="Q2" s="46">
        <v>25720000</v>
      </c>
      <c r="R2" s="46">
        <v>94880000</v>
      </c>
      <c r="S2" s="46">
        <v>28252000</v>
      </c>
      <c r="T2" s="46">
        <v>49035000</v>
      </c>
      <c r="U2" s="46">
        <v>75721000</v>
      </c>
      <c r="V2" s="46">
        <v>28194000</v>
      </c>
      <c r="W2" s="46">
        <v>26550000</v>
      </c>
      <c r="X2" s="46">
        <v>61284000</v>
      </c>
      <c r="Y2" s="46">
        <v>150749000</v>
      </c>
      <c r="Z2" s="46">
        <v>109593000</v>
      </c>
      <c r="AA2" s="46">
        <v>32023000</v>
      </c>
      <c r="AB2" s="46">
        <v>56775000</v>
      </c>
      <c r="AC2" s="46">
        <v>30688000</v>
      </c>
      <c r="AD2" s="46">
        <v>56645000</v>
      </c>
      <c r="AE2" s="46">
        <v>68415000</v>
      </c>
      <c r="AF2" s="46">
        <v>25563000</v>
      </c>
      <c r="AG2" s="46">
        <v>34374000</v>
      </c>
      <c r="AH2" s="46">
        <v>22996000</v>
      </c>
      <c r="AI2" s="46">
        <v>26552000</v>
      </c>
      <c r="AJ2" s="46">
        <v>29659000</v>
      </c>
      <c r="AK2" s="46">
        <v>22067000</v>
      </c>
      <c r="AL2" s="46">
        <v>24114000</v>
      </c>
      <c r="AM2" s="46">
        <v>20863000</v>
      </c>
      <c r="AN2" s="46">
        <v>50626000</v>
      </c>
      <c r="AO2" s="46">
        <v>25558000</v>
      </c>
      <c r="AP2" s="46">
        <v>21044000</v>
      </c>
      <c r="AQ2" s="46">
        <v>25391000</v>
      </c>
      <c r="AR2" s="46">
        <v>24140000</v>
      </c>
      <c r="AS2" s="46">
        <v>30923000</v>
      </c>
      <c r="AT2" s="46">
        <v>34912000</v>
      </c>
      <c r="AU2" s="46">
        <v>28905000</v>
      </c>
      <c r="AV2" s="46">
        <v>30385000</v>
      </c>
      <c r="AW2" s="46">
        <v>51981000</v>
      </c>
      <c r="AX2" s="46">
        <v>23564000</v>
      </c>
      <c r="AY2" s="46">
        <v>15561000</v>
      </c>
      <c r="AZ2" s="46">
        <v>16364000</v>
      </c>
      <c r="BA2" s="46">
        <v>22724000</v>
      </c>
      <c r="BB2" s="46">
        <v>22980000</v>
      </c>
      <c r="BC2" s="46">
        <v>20831000</v>
      </c>
      <c r="BD2" s="46">
        <v>25935000</v>
      </c>
      <c r="BE2" s="46">
        <v>13996000</v>
      </c>
      <c r="BF2" s="46">
        <v>19656000</v>
      </c>
      <c r="BG2" s="46">
        <v>20475000</v>
      </c>
      <c r="BH2" s="46">
        <v>78169000</v>
      </c>
      <c r="BI2" s="46">
        <v>26369000</v>
      </c>
      <c r="BJ2" s="46">
        <v>25601000</v>
      </c>
      <c r="BK2" s="46">
        <v>17013000</v>
      </c>
      <c r="BL2" s="46">
        <v>17946000</v>
      </c>
      <c r="BM2" s="46">
        <v>20043000</v>
      </c>
      <c r="BN2" s="46">
        <v>15299000</v>
      </c>
      <c r="BO2" s="46">
        <v>52663000</v>
      </c>
      <c r="BP2" s="46">
        <v>17534000</v>
      </c>
      <c r="BQ2" s="46">
        <v>24972000</v>
      </c>
      <c r="BR2" s="46">
        <v>23250000</v>
      </c>
      <c r="BS2" s="46">
        <v>20822000</v>
      </c>
      <c r="BT2" s="46">
        <v>27567000</v>
      </c>
      <c r="BU2" s="46">
        <v>16555000</v>
      </c>
      <c r="BV2" s="46">
        <v>16016000</v>
      </c>
      <c r="BW2" s="46">
        <v>18598000</v>
      </c>
      <c r="BX2" s="46">
        <v>20175000</v>
      </c>
      <c r="BY2" s="46">
        <v>21013000</v>
      </c>
      <c r="BZ2" s="46">
        <v>23866000</v>
      </c>
      <c r="CA2" s="46">
        <v>18724000</v>
      </c>
      <c r="CB2" s="46">
        <v>32418000</v>
      </c>
      <c r="CC2" s="46">
        <v>29221000</v>
      </c>
      <c r="CD2" s="46">
        <v>27352000</v>
      </c>
      <c r="CE2" s="46">
        <v>22792000</v>
      </c>
      <c r="CF2" s="46">
        <v>27531000</v>
      </c>
      <c r="CG2" s="46">
        <v>32656000</v>
      </c>
      <c r="CH2" s="46">
        <v>24527000</v>
      </c>
      <c r="CI2" s="46">
        <v>29528000</v>
      </c>
      <c r="CJ2" s="46">
        <v>27465000</v>
      </c>
      <c r="CK2" s="46">
        <v>27139000</v>
      </c>
      <c r="CL2" s="46">
        <v>27068000</v>
      </c>
      <c r="CM2" s="46">
        <v>29993000</v>
      </c>
      <c r="CN2" s="46">
        <v>28259000</v>
      </c>
      <c r="CO2" s="46">
        <v>26335000</v>
      </c>
      <c r="CP2" s="46">
        <v>28617000</v>
      </c>
      <c r="CQ2" s="46">
        <v>27609000</v>
      </c>
      <c r="CR2" s="46">
        <v>29242000</v>
      </c>
      <c r="CS2" s="46">
        <v>27888000</v>
      </c>
      <c r="CT2" s="46">
        <v>24379000</v>
      </c>
      <c r="CU2" s="46">
        <v>27345000</v>
      </c>
      <c r="CV2" s="46">
        <v>25330000</v>
      </c>
      <c r="CW2" s="46">
        <v>26653000</v>
      </c>
      <c r="CX2" s="46">
        <v>25278000</v>
      </c>
      <c r="CY2" s="46">
        <v>22641000</v>
      </c>
      <c r="CZ2" s="46">
        <v>19520000</v>
      </c>
      <c r="DA2" s="46">
        <v>17903000</v>
      </c>
      <c r="DB2" s="46">
        <v>16720000</v>
      </c>
      <c r="DC2" s="46">
        <v>74409000</v>
      </c>
      <c r="DD2" s="46">
        <v>20500000</v>
      </c>
    </row>
    <row r="3" spans="1:108" ht="42" customHeight="1">
      <c r="A3" s="252" t="s">
        <v>540</v>
      </c>
      <c r="B3" s="252"/>
      <c r="C3" s="252"/>
      <c r="D3" s="47" t="s">
        <v>344</v>
      </c>
      <c r="E3" s="158" t="s">
        <v>544</v>
      </c>
      <c r="F3" s="49" t="s">
        <v>345</v>
      </c>
      <c r="G3" s="213">
        <f t="shared" si="0"/>
        <v>840000</v>
      </c>
      <c r="H3" s="214"/>
      <c r="I3" s="214">
        <v>840000</v>
      </c>
      <c r="J3" s="214"/>
      <c r="K3" s="214"/>
      <c r="L3" s="214"/>
      <c r="M3" s="215"/>
      <c r="N3" s="213"/>
      <c r="O3" s="213"/>
      <c r="P3" s="214"/>
      <c r="Q3" s="213"/>
      <c r="R3" s="214"/>
      <c r="S3" s="213"/>
      <c r="T3" s="213"/>
      <c r="U3" s="214"/>
      <c r="V3" s="213"/>
      <c r="W3" s="213"/>
      <c r="X3" s="213"/>
      <c r="Y3" s="214"/>
      <c r="Z3" s="214"/>
      <c r="AA3" s="213"/>
      <c r="AB3" s="213"/>
      <c r="AC3" s="213"/>
      <c r="AD3" s="213"/>
      <c r="AE3" s="214"/>
      <c r="AF3" s="213"/>
      <c r="AG3" s="213"/>
      <c r="AH3" s="213"/>
      <c r="AI3" s="213"/>
      <c r="AJ3" s="213"/>
      <c r="AK3" s="213"/>
      <c r="AL3" s="213"/>
      <c r="AM3" s="213"/>
      <c r="AN3" s="213"/>
      <c r="AO3" s="213"/>
      <c r="AP3" s="213"/>
      <c r="AQ3" s="213"/>
      <c r="AR3" s="213"/>
      <c r="AS3" s="213"/>
      <c r="AT3" s="213"/>
      <c r="AU3" s="213"/>
      <c r="AV3" s="213"/>
      <c r="AW3" s="213"/>
      <c r="AX3" s="213"/>
      <c r="AY3" s="213"/>
      <c r="AZ3" s="213"/>
      <c r="BA3" s="213"/>
      <c r="BB3" s="213"/>
      <c r="BC3" s="213"/>
      <c r="BD3" s="213"/>
      <c r="BE3" s="213"/>
      <c r="BF3" s="213"/>
      <c r="BG3" s="213"/>
      <c r="BH3" s="213"/>
      <c r="BI3" s="213"/>
      <c r="BJ3" s="213"/>
      <c r="BK3" s="213"/>
      <c r="BL3" s="213"/>
      <c r="BM3" s="213"/>
      <c r="BN3" s="213"/>
      <c r="BO3" s="213"/>
      <c r="BP3" s="213"/>
      <c r="BQ3" s="213"/>
      <c r="BR3" s="213"/>
      <c r="BS3" s="213"/>
      <c r="BT3" s="213"/>
      <c r="BU3" s="213"/>
      <c r="BV3" s="213"/>
      <c r="BW3" s="213"/>
      <c r="BX3" s="213"/>
      <c r="BY3" s="213"/>
      <c r="BZ3" s="213"/>
      <c r="CA3" s="213"/>
      <c r="CB3" s="213"/>
      <c r="CC3" s="213"/>
      <c r="CD3" s="213"/>
      <c r="CE3" s="213"/>
      <c r="CF3" s="213"/>
      <c r="CG3" s="213"/>
      <c r="CH3" s="213"/>
      <c r="CI3" s="213"/>
      <c r="CJ3" s="213"/>
      <c r="CK3" s="213"/>
      <c r="CL3" s="213"/>
      <c r="CM3" s="213"/>
      <c r="CN3" s="213"/>
      <c r="CO3" s="213"/>
      <c r="CP3" s="213"/>
      <c r="CQ3" s="213"/>
      <c r="CR3" s="213"/>
      <c r="CS3" s="213"/>
      <c r="CT3" s="213"/>
      <c r="CU3" s="213"/>
      <c r="CV3" s="213"/>
      <c r="CW3" s="213"/>
      <c r="CX3" s="213"/>
      <c r="CY3" s="213"/>
      <c r="CZ3" s="213"/>
      <c r="DA3" s="213"/>
      <c r="DB3" s="213"/>
      <c r="DC3" s="214"/>
      <c r="DD3" s="213"/>
    </row>
    <row r="4" spans="1:108" ht="43.5" customHeight="1">
      <c r="A4" s="252" t="s">
        <v>541</v>
      </c>
      <c r="B4" s="252"/>
      <c r="C4" s="252"/>
      <c r="D4" s="47" t="s">
        <v>346</v>
      </c>
      <c r="E4" s="48" t="s">
        <v>347</v>
      </c>
      <c r="F4" s="49" t="s">
        <v>348</v>
      </c>
      <c r="G4" s="213">
        <f t="shared" si="0"/>
        <v>15200000</v>
      </c>
      <c r="H4" s="214"/>
      <c r="I4" s="214">
        <v>1600000</v>
      </c>
      <c r="J4" s="214">
        <v>800000</v>
      </c>
      <c r="K4" s="214">
        <v>800000</v>
      </c>
      <c r="L4" s="214">
        <v>800000</v>
      </c>
      <c r="M4" s="215"/>
      <c r="N4" s="213"/>
      <c r="O4" s="213">
        <v>800000</v>
      </c>
      <c r="P4" s="214">
        <v>800000</v>
      </c>
      <c r="Q4" s="213"/>
      <c r="R4" s="214">
        <v>800000</v>
      </c>
      <c r="S4" s="213"/>
      <c r="T4" s="213">
        <v>800000</v>
      </c>
      <c r="U4" s="214">
        <v>800000</v>
      </c>
      <c r="V4" s="213"/>
      <c r="W4" s="213"/>
      <c r="X4" s="213">
        <v>800000</v>
      </c>
      <c r="Y4" s="214">
        <v>800000</v>
      </c>
      <c r="Z4" s="214">
        <v>800000</v>
      </c>
      <c r="AA4" s="213"/>
      <c r="AB4" s="213">
        <v>800000</v>
      </c>
      <c r="AC4" s="213"/>
      <c r="AD4" s="213"/>
      <c r="AE4" s="214">
        <v>800000</v>
      </c>
      <c r="AF4" s="213"/>
      <c r="AG4" s="213"/>
      <c r="AH4" s="213"/>
      <c r="AI4" s="213"/>
      <c r="AJ4" s="213"/>
      <c r="AK4" s="213"/>
      <c r="AL4" s="213"/>
      <c r="AM4" s="213"/>
      <c r="AN4" s="213"/>
      <c r="AO4" s="213"/>
      <c r="AP4" s="213"/>
      <c r="AQ4" s="213"/>
      <c r="AR4" s="213"/>
      <c r="AS4" s="213"/>
      <c r="AT4" s="213"/>
      <c r="AU4" s="213"/>
      <c r="AV4" s="213"/>
      <c r="AW4" s="213">
        <v>800000</v>
      </c>
      <c r="AX4" s="213"/>
      <c r="AY4" s="213"/>
      <c r="AZ4" s="213"/>
      <c r="BA4" s="213"/>
      <c r="BB4" s="213"/>
      <c r="BC4" s="213"/>
      <c r="BD4" s="213"/>
      <c r="BE4" s="213"/>
      <c r="BF4" s="213"/>
      <c r="BG4" s="213"/>
      <c r="BH4" s="213">
        <v>800000</v>
      </c>
      <c r="BI4" s="213"/>
      <c r="BJ4" s="213"/>
      <c r="BK4" s="213"/>
      <c r="BL4" s="213"/>
      <c r="BM4" s="213"/>
      <c r="BN4" s="213"/>
      <c r="BO4" s="213">
        <v>800000</v>
      </c>
      <c r="BP4" s="213"/>
      <c r="BQ4" s="213"/>
      <c r="BR4" s="213"/>
      <c r="BS4" s="213"/>
      <c r="BT4" s="213"/>
      <c r="BU4" s="213"/>
      <c r="BV4" s="213"/>
      <c r="BW4" s="213"/>
      <c r="BX4" s="213"/>
      <c r="BY4" s="213"/>
      <c r="BZ4" s="213"/>
      <c r="CA4" s="213"/>
      <c r="CB4" s="213"/>
      <c r="CC4" s="213"/>
      <c r="CD4" s="213"/>
      <c r="CE4" s="213"/>
      <c r="CF4" s="213"/>
      <c r="CG4" s="213"/>
      <c r="CH4" s="213"/>
      <c r="CI4" s="213"/>
      <c r="CJ4" s="213"/>
      <c r="CK4" s="213"/>
      <c r="CL4" s="213"/>
      <c r="CM4" s="213"/>
      <c r="CN4" s="213"/>
      <c r="CO4" s="213"/>
      <c r="CP4" s="213"/>
      <c r="CQ4" s="213"/>
      <c r="CR4" s="213"/>
      <c r="CS4" s="213"/>
      <c r="CT4" s="213"/>
      <c r="CU4" s="213"/>
      <c r="CV4" s="213"/>
      <c r="CW4" s="213"/>
      <c r="CX4" s="213"/>
      <c r="CY4" s="213"/>
      <c r="CZ4" s="213"/>
      <c r="DA4" s="213"/>
      <c r="DB4" s="213"/>
      <c r="DC4" s="214">
        <v>800000</v>
      </c>
      <c r="DD4" s="213"/>
    </row>
    <row r="5" spans="1:108" ht="30">
      <c r="A5" s="241" t="s">
        <v>542</v>
      </c>
      <c r="B5" s="242"/>
      <c r="C5" s="242"/>
      <c r="D5" s="47" t="s">
        <v>349</v>
      </c>
      <c r="E5" s="158" t="s">
        <v>371</v>
      </c>
      <c r="F5" s="50" t="s">
        <v>351</v>
      </c>
      <c r="G5" s="213">
        <f t="shared" si="0"/>
        <v>94360000</v>
      </c>
      <c r="H5" s="216">
        <v>3600000</v>
      </c>
      <c r="I5" s="216">
        <v>1450000</v>
      </c>
      <c r="J5" s="216">
        <v>5690000</v>
      </c>
      <c r="K5" s="216">
        <v>4370000</v>
      </c>
      <c r="L5" s="216">
        <v>1590000</v>
      </c>
      <c r="M5" s="216"/>
      <c r="N5" s="216">
        <v>1300000</v>
      </c>
      <c r="O5" s="216">
        <v>1590000</v>
      </c>
      <c r="P5" s="216">
        <v>790000</v>
      </c>
      <c r="Q5" s="216"/>
      <c r="R5" s="216">
        <v>130000</v>
      </c>
      <c r="S5" s="216">
        <v>1300000</v>
      </c>
      <c r="T5" s="216">
        <v>2250000</v>
      </c>
      <c r="U5" s="216">
        <v>4230000</v>
      </c>
      <c r="V5" s="216">
        <v>1590000</v>
      </c>
      <c r="W5" s="216"/>
      <c r="X5" s="216">
        <v>3570000</v>
      </c>
      <c r="Y5" s="216">
        <v>790000</v>
      </c>
      <c r="Z5" s="216">
        <v>790000</v>
      </c>
      <c r="AA5" s="216">
        <v>2500000</v>
      </c>
      <c r="AB5" s="216">
        <v>2250000</v>
      </c>
      <c r="AC5" s="216"/>
      <c r="AD5" s="216">
        <v>2110000</v>
      </c>
      <c r="AE5" s="216">
        <v>1450000</v>
      </c>
      <c r="AF5" s="216"/>
      <c r="AG5" s="216">
        <v>600000</v>
      </c>
      <c r="AH5" s="216"/>
      <c r="AI5" s="216">
        <v>1900000</v>
      </c>
      <c r="AJ5" s="216">
        <v>600000</v>
      </c>
      <c r="AK5" s="216"/>
      <c r="AL5" s="216">
        <v>700000</v>
      </c>
      <c r="AM5" s="216"/>
      <c r="AN5" s="216">
        <v>1200000</v>
      </c>
      <c r="AO5" s="216">
        <v>1300000</v>
      </c>
      <c r="AP5" s="216">
        <v>1300000</v>
      </c>
      <c r="AQ5" s="216">
        <v>700000</v>
      </c>
      <c r="AR5" s="216">
        <v>1300000</v>
      </c>
      <c r="AS5" s="216">
        <v>1900000</v>
      </c>
      <c r="AT5" s="216"/>
      <c r="AU5" s="216">
        <v>1300000</v>
      </c>
      <c r="AV5" s="216">
        <v>2250000</v>
      </c>
      <c r="AW5" s="216"/>
      <c r="AX5" s="216">
        <v>1590000</v>
      </c>
      <c r="AY5" s="216"/>
      <c r="AZ5" s="216"/>
      <c r="BA5" s="216"/>
      <c r="BB5" s="216"/>
      <c r="BC5" s="216">
        <v>1300000</v>
      </c>
      <c r="BD5" s="216"/>
      <c r="BE5" s="216"/>
      <c r="BF5" s="216">
        <v>700000</v>
      </c>
      <c r="BG5" s="216">
        <v>700000</v>
      </c>
      <c r="BH5" s="216">
        <v>1450000</v>
      </c>
      <c r="BI5" s="216">
        <v>1590000</v>
      </c>
      <c r="BJ5" s="216"/>
      <c r="BK5" s="216"/>
      <c r="BL5" s="216">
        <v>1460000</v>
      </c>
      <c r="BM5" s="216"/>
      <c r="BN5" s="216"/>
      <c r="BO5" s="216">
        <v>1400000</v>
      </c>
      <c r="BP5" s="216">
        <v>1300000</v>
      </c>
      <c r="BQ5" s="216">
        <v>1460000</v>
      </c>
      <c r="BR5" s="216"/>
      <c r="BS5" s="216">
        <v>1300000</v>
      </c>
      <c r="BT5" s="216">
        <v>600000</v>
      </c>
      <c r="BU5" s="216"/>
      <c r="BV5" s="216">
        <v>700000</v>
      </c>
      <c r="BW5" s="216">
        <v>700000</v>
      </c>
      <c r="BX5" s="216">
        <v>660000</v>
      </c>
      <c r="BY5" s="216">
        <v>1900000</v>
      </c>
      <c r="BZ5" s="216">
        <v>800000</v>
      </c>
      <c r="CA5" s="216"/>
      <c r="CB5" s="216">
        <v>600000</v>
      </c>
      <c r="CC5" s="216">
        <v>1300000</v>
      </c>
      <c r="CD5" s="216"/>
      <c r="CE5" s="216"/>
      <c r="CF5" s="216">
        <v>1300000</v>
      </c>
      <c r="CG5" s="216">
        <v>1300000</v>
      </c>
      <c r="CH5" s="216">
        <v>1300000</v>
      </c>
      <c r="CI5" s="216"/>
      <c r="CJ5" s="216"/>
      <c r="CK5" s="216">
        <v>700000</v>
      </c>
      <c r="CL5" s="216"/>
      <c r="CM5" s="216"/>
      <c r="CN5" s="216">
        <v>1300000</v>
      </c>
      <c r="CO5" s="216">
        <v>1300000</v>
      </c>
      <c r="CP5" s="216"/>
      <c r="CQ5" s="216">
        <v>600000</v>
      </c>
      <c r="CR5" s="216"/>
      <c r="CS5" s="216"/>
      <c r="CT5" s="216">
        <v>1300000</v>
      </c>
      <c r="CU5" s="216">
        <v>700000</v>
      </c>
      <c r="CV5" s="216">
        <v>700000</v>
      </c>
      <c r="CW5" s="216"/>
      <c r="CX5" s="216">
        <v>1300000</v>
      </c>
      <c r="CY5" s="216">
        <v>700000</v>
      </c>
      <c r="CZ5" s="216">
        <v>1300000</v>
      </c>
      <c r="DA5" s="216"/>
      <c r="DB5" s="216"/>
      <c r="DC5" s="216">
        <v>660000</v>
      </c>
      <c r="DD5" s="216"/>
    </row>
    <row r="6" spans="1:108" ht="59.4">
      <c r="A6" s="241" t="s">
        <v>543</v>
      </c>
      <c r="B6" s="242"/>
      <c r="C6" s="242"/>
      <c r="D6" s="47" t="s">
        <v>352</v>
      </c>
      <c r="E6" s="158" t="s">
        <v>545</v>
      </c>
      <c r="F6" s="51" t="s">
        <v>354</v>
      </c>
      <c r="G6" s="213">
        <f t="shared" si="0"/>
        <v>1247000</v>
      </c>
      <c r="H6" s="216"/>
      <c r="I6" s="216"/>
      <c r="J6" s="216"/>
      <c r="K6" s="216"/>
      <c r="L6" s="216">
        <v>1247000</v>
      </c>
      <c r="M6" s="216"/>
      <c r="N6" s="216"/>
      <c r="O6" s="216"/>
      <c r="P6" s="216"/>
      <c r="Q6" s="216"/>
      <c r="R6" s="216"/>
      <c r="S6" s="216"/>
      <c r="T6" s="216"/>
      <c r="U6" s="216"/>
      <c r="V6" s="216"/>
      <c r="W6" s="216"/>
      <c r="X6" s="216"/>
      <c r="Y6" s="216"/>
      <c r="Z6" s="216"/>
      <c r="AA6" s="216"/>
      <c r="AB6" s="216"/>
      <c r="AC6" s="216"/>
      <c r="AD6" s="216"/>
      <c r="AE6" s="216"/>
      <c r="AF6" s="216"/>
      <c r="AG6" s="216"/>
      <c r="AH6" s="216"/>
      <c r="AI6" s="216"/>
      <c r="AJ6" s="216"/>
      <c r="AK6" s="216"/>
      <c r="AL6" s="216"/>
      <c r="AM6" s="216"/>
      <c r="AN6" s="216"/>
      <c r="AO6" s="216"/>
      <c r="AP6" s="216"/>
      <c r="AQ6" s="216"/>
      <c r="AR6" s="216"/>
      <c r="AS6" s="216"/>
      <c r="AT6" s="216"/>
      <c r="AU6" s="216"/>
      <c r="AV6" s="216"/>
      <c r="AW6" s="216"/>
      <c r="AX6" s="216"/>
      <c r="AY6" s="216"/>
      <c r="AZ6" s="216"/>
      <c r="BA6" s="216"/>
      <c r="BB6" s="216"/>
      <c r="BC6" s="216"/>
      <c r="BD6" s="216"/>
      <c r="BE6" s="216"/>
      <c r="BF6" s="216"/>
      <c r="BG6" s="216"/>
      <c r="BH6" s="216"/>
      <c r="BI6" s="216"/>
      <c r="BJ6" s="216"/>
      <c r="BK6" s="216"/>
      <c r="BL6" s="216"/>
      <c r="BM6" s="216"/>
      <c r="BN6" s="216"/>
      <c r="BO6" s="216"/>
      <c r="BP6" s="216"/>
      <c r="BQ6" s="216"/>
      <c r="BR6" s="216"/>
      <c r="BS6" s="216"/>
      <c r="BT6" s="216"/>
      <c r="BU6" s="216"/>
      <c r="BV6" s="216"/>
      <c r="BW6" s="216"/>
      <c r="BX6" s="216"/>
      <c r="BY6" s="216"/>
      <c r="BZ6" s="216"/>
      <c r="CA6" s="216"/>
      <c r="CB6" s="216"/>
      <c r="CC6" s="216"/>
      <c r="CD6" s="216"/>
      <c r="CE6" s="216"/>
      <c r="CF6" s="216"/>
      <c r="CG6" s="216"/>
      <c r="CH6" s="216"/>
      <c r="CI6" s="216"/>
      <c r="CJ6" s="216"/>
      <c r="CK6" s="216"/>
      <c r="CL6" s="216"/>
      <c r="CM6" s="216"/>
      <c r="CN6" s="216"/>
      <c r="CO6" s="216"/>
      <c r="CP6" s="216"/>
      <c r="CQ6" s="216"/>
      <c r="CR6" s="216"/>
      <c r="CS6" s="216"/>
      <c r="CT6" s="216"/>
      <c r="CU6" s="216"/>
      <c r="CV6" s="216"/>
      <c r="CW6" s="216"/>
      <c r="CX6" s="216"/>
      <c r="CY6" s="216"/>
      <c r="CZ6" s="216"/>
      <c r="DA6" s="216"/>
      <c r="DB6" s="216"/>
      <c r="DC6" s="216"/>
      <c r="DD6" s="216"/>
    </row>
    <row r="7" spans="1:108" ht="19.8">
      <c r="A7" s="243" t="s">
        <v>373</v>
      </c>
      <c r="B7" s="244"/>
      <c r="C7" s="244"/>
      <c r="D7" s="52" t="s">
        <v>355</v>
      </c>
      <c r="E7" s="53" t="s">
        <v>356</v>
      </c>
      <c r="F7" s="52"/>
      <c r="G7" s="213">
        <f t="shared" si="0"/>
        <v>59695000</v>
      </c>
      <c r="H7" s="213">
        <v>728000</v>
      </c>
      <c r="I7" s="213">
        <v>1455000</v>
      </c>
      <c r="J7" s="213">
        <v>728000</v>
      </c>
      <c r="K7" s="213">
        <v>728000</v>
      </c>
      <c r="L7" s="213">
        <v>728000</v>
      </c>
      <c r="M7" s="213">
        <v>728000</v>
      </c>
      <c r="N7" s="213">
        <v>728000</v>
      </c>
      <c r="O7" s="213">
        <v>728000</v>
      </c>
      <c r="P7" s="213">
        <v>728000</v>
      </c>
      <c r="Q7" s="213">
        <v>728000</v>
      </c>
      <c r="R7" s="213">
        <v>728000</v>
      </c>
      <c r="S7" s="213">
        <v>728000</v>
      </c>
      <c r="T7" s="213">
        <v>728000</v>
      </c>
      <c r="U7" s="213">
        <v>728000</v>
      </c>
      <c r="V7" s="213">
        <v>728000</v>
      </c>
      <c r="W7" s="213">
        <v>0</v>
      </c>
      <c r="X7" s="213">
        <v>728000</v>
      </c>
      <c r="Y7" s="213">
        <v>728000</v>
      </c>
      <c r="Z7" s="213">
        <v>728000</v>
      </c>
      <c r="AA7" s="213">
        <v>728000</v>
      </c>
      <c r="AB7" s="213">
        <v>728000</v>
      </c>
      <c r="AC7" s="213">
        <v>728000</v>
      </c>
      <c r="AD7" s="213">
        <v>728000</v>
      </c>
      <c r="AE7" s="213">
        <v>728000</v>
      </c>
      <c r="AF7" s="213">
        <v>0</v>
      </c>
      <c r="AG7" s="213">
        <v>728000</v>
      </c>
      <c r="AH7" s="213">
        <v>0</v>
      </c>
      <c r="AI7" s="213">
        <v>728000</v>
      </c>
      <c r="AJ7" s="213">
        <v>728000</v>
      </c>
      <c r="AK7" s="213">
        <v>0</v>
      </c>
      <c r="AL7" s="213">
        <v>728000</v>
      </c>
      <c r="AM7" s="213">
        <v>0</v>
      </c>
      <c r="AN7" s="213">
        <v>728000</v>
      </c>
      <c r="AO7" s="213">
        <v>728000</v>
      </c>
      <c r="AP7" s="213">
        <v>728000</v>
      </c>
      <c r="AQ7" s="213">
        <v>728000</v>
      </c>
      <c r="AR7" s="213">
        <v>728000</v>
      </c>
      <c r="AS7" s="213">
        <v>728000</v>
      </c>
      <c r="AT7" s="213">
        <v>728000</v>
      </c>
      <c r="AU7" s="213">
        <v>728000</v>
      </c>
      <c r="AV7" s="213">
        <v>728000</v>
      </c>
      <c r="AW7" s="213">
        <v>728000</v>
      </c>
      <c r="AX7" s="213">
        <v>728000</v>
      </c>
      <c r="AY7" s="213">
        <v>0</v>
      </c>
      <c r="AZ7" s="213">
        <v>0</v>
      </c>
      <c r="BA7" s="213">
        <v>728000</v>
      </c>
      <c r="BB7" s="213">
        <v>728000</v>
      </c>
      <c r="BC7" s="213">
        <v>728000</v>
      </c>
      <c r="BD7" s="213">
        <v>728000</v>
      </c>
      <c r="BE7" s="213">
        <v>0</v>
      </c>
      <c r="BF7" s="213">
        <v>728000</v>
      </c>
      <c r="BG7" s="213">
        <v>728000</v>
      </c>
      <c r="BH7" s="213">
        <v>728000</v>
      </c>
      <c r="BI7" s="213">
        <v>728000</v>
      </c>
      <c r="BJ7" s="213">
        <v>728000</v>
      </c>
      <c r="BK7" s="213">
        <v>0</v>
      </c>
      <c r="BL7" s="213">
        <v>728000</v>
      </c>
      <c r="BM7" s="213">
        <v>728000</v>
      </c>
      <c r="BN7" s="213">
        <v>0</v>
      </c>
      <c r="BO7" s="213">
        <v>728000</v>
      </c>
      <c r="BP7" s="213">
        <v>728000</v>
      </c>
      <c r="BQ7" s="213">
        <v>728000</v>
      </c>
      <c r="BR7" s="213">
        <v>728000</v>
      </c>
      <c r="BS7" s="213">
        <v>728000</v>
      </c>
      <c r="BT7" s="213">
        <v>728000</v>
      </c>
      <c r="BU7" s="213">
        <v>0</v>
      </c>
      <c r="BV7" s="213">
        <v>728000</v>
      </c>
      <c r="BW7" s="213">
        <v>728000</v>
      </c>
      <c r="BX7" s="213">
        <v>728000</v>
      </c>
      <c r="BY7" s="213">
        <v>728000</v>
      </c>
      <c r="BZ7" s="213">
        <v>728000</v>
      </c>
      <c r="CA7" s="213">
        <v>0</v>
      </c>
      <c r="CB7" s="213">
        <v>728000</v>
      </c>
      <c r="CC7" s="213">
        <v>728000</v>
      </c>
      <c r="CD7" s="213">
        <v>728000</v>
      </c>
      <c r="CE7" s="213">
        <v>0</v>
      </c>
      <c r="CF7" s="213">
        <v>728000</v>
      </c>
      <c r="CG7" s="213">
        <v>728000</v>
      </c>
      <c r="CH7" s="213">
        <v>728000</v>
      </c>
      <c r="CI7" s="213">
        <v>728000</v>
      </c>
      <c r="CJ7" s="213">
        <v>0</v>
      </c>
      <c r="CK7" s="213">
        <v>728000</v>
      </c>
      <c r="CL7" s="213">
        <v>0</v>
      </c>
      <c r="CM7" s="213">
        <v>0</v>
      </c>
      <c r="CN7" s="213">
        <v>728000</v>
      </c>
      <c r="CO7" s="213">
        <v>728000</v>
      </c>
      <c r="CP7" s="213">
        <v>0</v>
      </c>
      <c r="CQ7" s="213">
        <v>728000</v>
      </c>
      <c r="CR7" s="213">
        <v>728000</v>
      </c>
      <c r="CS7" s="213">
        <v>728000</v>
      </c>
      <c r="CT7" s="213">
        <v>728000</v>
      </c>
      <c r="CU7" s="213">
        <v>728000</v>
      </c>
      <c r="CV7" s="213">
        <v>728000</v>
      </c>
      <c r="CW7" s="213">
        <v>728000</v>
      </c>
      <c r="CX7" s="213">
        <v>728000</v>
      </c>
      <c r="CY7" s="213">
        <v>728000</v>
      </c>
      <c r="CZ7" s="213">
        <v>728000</v>
      </c>
      <c r="DA7" s="213">
        <v>0</v>
      </c>
      <c r="DB7" s="213">
        <v>0</v>
      </c>
      <c r="DC7" s="213">
        <v>728000</v>
      </c>
      <c r="DD7" s="213">
        <v>0</v>
      </c>
    </row>
    <row r="8" spans="1:108" ht="19.8">
      <c r="A8" s="245" t="s">
        <v>374</v>
      </c>
      <c r="B8" s="245"/>
      <c r="C8" s="245"/>
      <c r="D8" s="54" t="s">
        <v>357</v>
      </c>
      <c r="E8" s="53" t="s">
        <v>356</v>
      </c>
      <c r="F8" s="54"/>
      <c r="G8" s="213">
        <f t="shared" si="0"/>
        <v>25602000</v>
      </c>
      <c r="H8" s="56">
        <v>797000</v>
      </c>
      <c r="I8" s="56">
        <v>1196000</v>
      </c>
      <c r="J8" s="56">
        <v>664000</v>
      </c>
      <c r="K8" s="56">
        <v>399000</v>
      </c>
      <c r="L8" s="56">
        <v>265000</v>
      </c>
      <c r="M8" s="56">
        <v>265000</v>
      </c>
      <c r="N8" s="56">
        <v>265000</v>
      </c>
      <c r="O8" s="56">
        <v>399000</v>
      </c>
      <c r="P8" s="56">
        <v>399000</v>
      </c>
      <c r="Q8" s="56">
        <v>265000</v>
      </c>
      <c r="R8" s="56">
        <v>399000</v>
      </c>
      <c r="S8" s="56">
        <v>265000</v>
      </c>
      <c r="T8" s="56">
        <v>265000</v>
      </c>
      <c r="U8" s="56">
        <v>399000</v>
      </c>
      <c r="V8" s="56">
        <v>265000</v>
      </c>
      <c r="W8" s="56">
        <v>0</v>
      </c>
      <c r="X8" s="56">
        <v>399000</v>
      </c>
      <c r="Y8" s="56">
        <v>265000</v>
      </c>
      <c r="Z8" s="56">
        <v>399000</v>
      </c>
      <c r="AA8" s="56">
        <v>399000</v>
      </c>
      <c r="AB8" s="56">
        <v>399000</v>
      </c>
      <c r="AC8" s="56">
        <v>265000</v>
      </c>
      <c r="AD8" s="56">
        <v>399000</v>
      </c>
      <c r="AE8" s="56">
        <v>399000</v>
      </c>
      <c r="AF8" s="56">
        <v>0</v>
      </c>
      <c r="AG8" s="56">
        <v>265000</v>
      </c>
      <c r="AH8" s="56">
        <v>0</v>
      </c>
      <c r="AI8" s="56">
        <v>265000</v>
      </c>
      <c r="AJ8" s="56">
        <v>265000</v>
      </c>
      <c r="AK8" s="56">
        <v>0</v>
      </c>
      <c r="AL8" s="56">
        <v>265000</v>
      </c>
      <c r="AM8" s="56">
        <v>0</v>
      </c>
      <c r="AN8" s="56">
        <v>399000</v>
      </c>
      <c r="AO8" s="56">
        <v>265000</v>
      </c>
      <c r="AP8" s="56">
        <v>265000</v>
      </c>
      <c r="AQ8" s="56">
        <v>265000</v>
      </c>
      <c r="AR8" s="56">
        <v>265000</v>
      </c>
      <c r="AS8" s="56">
        <v>265000</v>
      </c>
      <c r="AT8" s="56">
        <v>265000</v>
      </c>
      <c r="AU8" s="56">
        <v>265000</v>
      </c>
      <c r="AV8" s="56">
        <v>265000</v>
      </c>
      <c r="AW8" s="56">
        <v>265000</v>
      </c>
      <c r="AX8" s="56">
        <v>265000</v>
      </c>
      <c r="AY8" s="56">
        <v>0</v>
      </c>
      <c r="AZ8" s="56">
        <v>0</v>
      </c>
      <c r="BA8" s="56">
        <v>265000</v>
      </c>
      <c r="BB8" s="56">
        <v>265000</v>
      </c>
      <c r="BC8" s="56">
        <v>265000</v>
      </c>
      <c r="BD8" s="56">
        <v>265000</v>
      </c>
      <c r="BE8" s="56">
        <v>0</v>
      </c>
      <c r="BF8" s="56">
        <v>265000</v>
      </c>
      <c r="BG8" s="56">
        <v>265000</v>
      </c>
      <c r="BH8" s="56">
        <v>399000</v>
      </c>
      <c r="BI8" s="56">
        <v>265000</v>
      </c>
      <c r="BJ8" s="56">
        <v>265000</v>
      </c>
      <c r="BK8" s="56">
        <v>0</v>
      </c>
      <c r="BL8" s="56">
        <v>265000</v>
      </c>
      <c r="BM8" s="56">
        <v>265000</v>
      </c>
      <c r="BN8" s="56">
        <v>0</v>
      </c>
      <c r="BO8" s="56">
        <v>399000</v>
      </c>
      <c r="BP8" s="56">
        <v>265000</v>
      </c>
      <c r="BQ8" s="56">
        <v>265000</v>
      </c>
      <c r="BR8" s="56">
        <v>265000</v>
      </c>
      <c r="BS8" s="56">
        <v>265000</v>
      </c>
      <c r="BT8" s="56">
        <v>265000</v>
      </c>
      <c r="BU8" s="56">
        <v>0</v>
      </c>
      <c r="BV8" s="56">
        <v>265000</v>
      </c>
      <c r="BW8" s="56">
        <v>265000</v>
      </c>
      <c r="BX8" s="56">
        <v>265000</v>
      </c>
      <c r="BY8" s="56">
        <v>265000</v>
      </c>
      <c r="BZ8" s="56">
        <v>265000</v>
      </c>
      <c r="CA8" s="56">
        <v>0</v>
      </c>
      <c r="CB8" s="56">
        <v>265000</v>
      </c>
      <c r="CC8" s="56">
        <v>265000</v>
      </c>
      <c r="CD8" s="56">
        <v>265000</v>
      </c>
      <c r="CE8" s="56">
        <v>0</v>
      </c>
      <c r="CF8" s="56">
        <v>265000</v>
      </c>
      <c r="CG8" s="56">
        <v>265000</v>
      </c>
      <c r="CH8" s="56">
        <v>265000</v>
      </c>
      <c r="CI8" s="56">
        <v>265000</v>
      </c>
      <c r="CJ8" s="56">
        <v>0</v>
      </c>
      <c r="CK8" s="56">
        <v>265000</v>
      </c>
      <c r="CL8" s="56">
        <v>0</v>
      </c>
      <c r="CM8" s="56">
        <v>0</v>
      </c>
      <c r="CN8" s="56">
        <v>265000</v>
      </c>
      <c r="CO8" s="56">
        <v>265000</v>
      </c>
      <c r="CP8" s="56">
        <v>0</v>
      </c>
      <c r="CQ8" s="56">
        <v>265000</v>
      </c>
      <c r="CR8" s="56">
        <v>265000</v>
      </c>
      <c r="CS8" s="56">
        <v>265000</v>
      </c>
      <c r="CT8" s="56">
        <v>265000</v>
      </c>
      <c r="CU8" s="56">
        <v>265000</v>
      </c>
      <c r="CV8" s="56">
        <v>265000</v>
      </c>
      <c r="CW8" s="56">
        <v>265000</v>
      </c>
      <c r="CX8" s="56">
        <v>265000</v>
      </c>
      <c r="CY8" s="56">
        <v>265000</v>
      </c>
      <c r="CZ8" s="56">
        <v>265000</v>
      </c>
      <c r="DA8" s="56">
        <v>0</v>
      </c>
      <c r="DB8" s="56">
        <v>0</v>
      </c>
      <c r="DC8" s="56">
        <v>664000</v>
      </c>
      <c r="DD8" s="56">
        <v>0</v>
      </c>
    </row>
    <row r="9" spans="1:108" ht="32.25" customHeight="1">
      <c r="A9" s="246" t="s">
        <v>358</v>
      </c>
      <c r="B9" s="246"/>
      <c r="C9" s="246"/>
      <c r="D9" s="55" t="s">
        <v>359</v>
      </c>
      <c r="E9" s="53" t="s">
        <v>356</v>
      </c>
      <c r="F9" s="55"/>
      <c r="G9" s="213">
        <f t="shared" si="0"/>
        <v>2068000</v>
      </c>
      <c r="H9" s="56">
        <v>54000</v>
      </c>
      <c r="I9" s="56">
        <v>86000</v>
      </c>
      <c r="J9" s="56">
        <v>76000</v>
      </c>
      <c r="K9" s="56">
        <v>54000</v>
      </c>
      <c r="L9" s="56">
        <v>22000</v>
      </c>
      <c r="M9" s="56">
        <v>22000</v>
      </c>
      <c r="N9" s="56">
        <v>22000</v>
      </c>
      <c r="O9" s="56">
        <v>43000</v>
      </c>
      <c r="P9" s="56">
        <v>32000</v>
      </c>
      <c r="Q9" s="56">
        <v>22000</v>
      </c>
      <c r="R9" s="56">
        <v>32000</v>
      </c>
      <c r="S9" s="56">
        <v>22000</v>
      </c>
      <c r="T9" s="56">
        <v>32000</v>
      </c>
      <c r="U9" s="56">
        <v>43000</v>
      </c>
      <c r="V9" s="56">
        <v>22000</v>
      </c>
      <c r="W9" s="56">
        <v>0</v>
      </c>
      <c r="X9" s="56">
        <v>43000</v>
      </c>
      <c r="Y9" s="56">
        <v>32000</v>
      </c>
      <c r="Z9" s="56">
        <v>43000</v>
      </c>
      <c r="AA9" s="56">
        <v>43000</v>
      </c>
      <c r="AB9" s="56">
        <v>32000</v>
      </c>
      <c r="AC9" s="56">
        <v>11000</v>
      </c>
      <c r="AD9" s="56">
        <v>54000</v>
      </c>
      <c r="AE9" s="56">
        <v>32000</v>
      </c>
      <c r="AF9" s="56">
        <v>0</v>
      </c>
      <c r="AG9" s="56">
        <v>11000</v>
      </c>
      <c r="AH9" s="56">
        <v>0</v>
      </c>
      <c r="AI9" s="56">
        <v>32000</v>
      </c>
      <c r="AJ9" s="56">
        <v>22000</v>
      </c>
      <c r="AK9" s="56">
        <v>0</v>
      </c>
      <c r="AL9" s="56">
        <v>11000</v>
      </c>
      <c r="AM9" s="56">
        <v>0</v>
      </c>
      <c r="AN9" s="56">
        <v>32000</v>
      </c>
      <c r="AO9" s="56">
        <v>22000</v>
      </c>
      <c r="AP9" s="56">
        <v>22000</v>
      </c>
      <c r="AQ9" s="56">
        <v>11000</v>
      </c>
      <c r="AR9" s="56">
        <v>22000</v>
      </c>
      <c r="AS9" s="56">
        <v>22000</v>
      </c>
      <c r="AT9" s="56">
        <v>22000</v>
      </c>
      <c r="AU9" s="56">
        <v>22000</v>
      </c>
      <c r="AV9" s="56">
        <v>32000</v>
      </c>
      <c r="AW9" s="56">
        <v>22000</v>
      </c>
      <c r="AX9" s="56">
        <v>22000</v>
      </c>
      <c r="AY9" s="56">
        <v>0</v>
      </c>
      <c r="AZ9" s="56">
        <v>0</v>
      </c>
      <c r="BA9" s="56">
        <v>11000</v>
      </c>
      <c r="BB9" s="56">
        <v>22000</v>
      </c>
      <c r="BC9" s="56">
        <v>22000</v>
      </c>
      <c r="BD9" s="56">
        <v>22000</v>
      </c>
      <c r="BE9" s="56">
        <v>0</v>
      </c>
      <c r="BF9" s="56">
        <v>11000</v>
      </c>
      <c r="BG9" s="56">
        <v>11000</v>
      </c>
      <c r="BH9" s="56">
        <v>22000</v>
      </c>
      <c r="BI9" s="56">
        <v>22000</v>
      </c>
      <c r="BJ9" s="56">
        <v>11000</v>
      </c>
      <c r="BK9" s="56">
        <v>0</v>
      </c>
      <c r="BL9" s="56">
        <v>22000</v>
      </c>
      <c r="BM9" s="56">
        <v>22000</v>
      </c>
      <c r="BN9" s="56">
        <v>0</v>
      </c>
      <c r="BO9" s="56">
        <v>54000</v>
      </c>
      <c r="BP9" s="56">
        <v>22000</v>
      </c>
      <c r="BQ9" s="56">
        <v>22000</v>
      </c>
      <c r="BR9" s="56">
        <v>22000</v>
      </c>
      <c r="BS9" s="56">
        <v>22000</v>
      </c>
      <c r="BT9" s="56">
        <v>22000</v>
      </c>
      <c r="BU9" s="56">
        <v>0</v>
      </c>
      <c r="BV9" s="56">
        <v>11000</v>
      </c>
      <c r="BW9" s="56">
        <v>11000</v>
      </c>
      <c r="BX9" s="56">
        <v>22000</v>
      </c>
      <c r="BY9" s="56">
        <v>22000</v>
      </c>
      <c r="BZ9" s="56">
        <v>11000</v>
      </c>
      <c r="CA9" s="56">
        <v>0</v>
      </c>
      <c r="CB9" s="56">
        <v>22000</v>
      </c>
      <c r="CC9" s="56">
        <v>22000</v>
      </c>
      <c r="CD9" s="56">
        <v>22000</v>
      </c>
      <c r="CE9" s="56">
        <v>0</v>
      </c>
      <c r="CF9" s="56">
        <v>22000</v>
      </c>
      <c r="CG9" s="56">
        <v>22000</v>
      </c>
      <c r="CH9" s="56">
        <v>22000</v>
      </c>
      <c r="CI9" s="56">
        <v>11000</v>
      </c>
      <c r="CJ9" s="56">
        <v>0</v>
      </c>
      <c r="CK9" s="56">
        <v>11000</v>
      </c>
      <c r="CL9" s="56">
        <v>0</v>
      </c>
      <c r="CM9" s="56">
        <v>0</v>
      </c>
      <c r="CN9" s="56">
        <v>22000</v>
      </c>
      <c r="CO9" s="56">
        <v>22000</v>
      </c>
      <c r="CP9" s="56">
        <v>0</v>
      </c>
      <c r="CQ9" s="56">
        <v>22000</v>
      </c>
      <c r="CR9" s="56">
        <v>22000</v>
      </c>
      <c r="CS9" s="56">
        <v>22000</v>
      </c>
      <c r="CT9" s="56">
        <v>22000</v>
      </c>
      <c r="CU9" s="56">
        <v>11000</v>
      </c>
      <c r="CV9" s="56">
        <v>11000</v>
      </c>
      <c r="CW9" s="56">
        <v>22000</v>
      </c>
      <c r="CX9" s="56">
        <v>22000</v>
      </c>
      <c r="CY9" s="56">
        <v>11000</v>
      </c>
      <c r="CZ9" s="56">
        <v>22000</v>
      </c>
      <c r="DA9" s="56">
        <v>0</v>
      </c>
      <c r="DB9" s="56">
        <v>0</v>
      </c>
      <c r="DC9" s="56">
        <v>43000</v>
      </c>
      <c r="DD9" s="56">
        <v>0</v>
      </c>
    </row>
    <row r="10" spans="1:108" ht="32.25" customHeight="1">
      <c r="A10" s="247" t="s">
        <v>533</v>
      </c>
      <c r="B10" s="246"/>
      <c r="C10" s="246"/>
      <c r="D10" s="120" t="s">
        <v>534</v>
      </c>
      <c r="E10" s="159" t="s">
        <v>546</v>
      </c>
      <c r="F10" s="55"/>
      <c r="G10" s="213">
        <f t="shared" ref="G10" si="1">SUM(H10:DD10)</f>
        <v>742000</v>
      </c>
      <c r="H10" s="56"/>
      <c r="I10" s="56">
        <v>742000</v>
      </c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</row>
    <row r="11" spans="1:108" ht="19.8">
      <c r="A11" s="253" t="s">
        <v>375</v>
      </c>
      <c r="B11" s="253"/>
      <c r="C11" s="253"/>
      <c r="D11" s="57" t="s">
        <v>360</v>
      </c>
      <c r="E11" s="160" t="s">
        <v>547</v>
      </c>
      <c r="F11" s="57"/>
      <c r="G11" s="213">
        <f t="shared" si="0"/>
        <v>11100000</v>
      </c>
      <c r="H11" s="56">
        <v>144000</v>
      </c>
      <c r="I11" s="56">
        <v>696000</v>
      </c>
      <c r="J11" s="56">
        <v>252000</v>
      </c>
      <c r="K11" s="56">
        <v>168000</v>
      </c>
      <c r="L11" s="56">
        <v>480000</v>
      </c>
      <c r="M11" s="56">
        <v>72000</v>
      </c>
      <c r="N11" s="56">
        <v>72000</v>
      </c>
      <c r="O11" s="56">
        <v>168000</v>
      </c>
      <c r="P11" s="56">
        <v>240000</v>
      </c>
      <c r="Q11" s="56">
        <v>72000</v>
      </c>
      <c r="R11" s="56">
        <v>300000</v>
      </c>
      <c r="S11" s="56">
        <v>72000</v>
      </c>
      <c r="T11" s="56">
        <v>156000</v>
      </c>
      <c r="U11" s="56">
        <v>228000</v>
      </c>
      <c r="V11" s="56">
        <v>72000</v>
      </c>
      <c r="W11" s="56">
        <v>72000</v>
      </c>
      <c r="X11" s="56">
        <v>204000</v>
      </c>
      <c r="Y11" s="56">
        <v>468000</v>
      </c>
      <c r="Z11" s="56">
        <v>396000</v>
      </c>
      <c r="AA11" s="56">
        <v>72000</v>
      </c>
      <c r="AB11" s="56">
        <v>144000</v>
      </c>
      <c r="AC11" s="56">
        <v>72000</v>
      </c>
      <c r="AD11" s="56">
        <v>156000</v>
      </c>
      <c r="AE11" s="56">
        <v>168000</v>
      </c>
      <c r="AF11" s="56">
        <v>72000</v>
      </c>
      <c r="AG11" s="56">
        <v>96000</v>
      </c>
      <c r="AH11" s="56">
        <v>72000</v>
      </c>
      <c r="AI11" s="56">
        <v>84000</v>
      </c>
      <c r="AJ11" s="56">
        <v>96000</v>
      </c>
      <c r="AK11" s="56">
        <v>72000</v>
      </c>
      <c r="AL11" s="56">
        <v>72000</v>
      </c>
      <c r="AM11" s="56">
        <v>60000</v>
      </c>
      <c r="AN11" s="56">
        <v>132000</v>
      </c>
      <c r="AO11" s="56">
        <v>72000</v>
      </c>
      <c r="AP11" s="56">
        <v>72000</v>
      </c>
      <c r="AQ11" s="56">
        <v>72000</v>
      </c>
      <c r="AR11" s="56">
        <v>72000</v>
      </c>
      <c r="AS11" s="56">
        <v>72000</v>
      </c>
      <c r="AT11" s="56">
        <v>84000</v>
      </c>
      <c r="AU11" s="56">
        <v>72000</v>
      </c>
      <c r="AV11" s="56">
        <v>72000</v>
      </c>
      <c r="AW11" s="56">
        <v>156000</v>
      </c>
      <c r="AX11" s="56">
        <v>72000</v>
      </c>
      <c r="AY11" s="56">
        <v>72000</v>
      </c>
      <c r="AZ11" s="56">
        <v>60000</v>
      </c>
      <c r="BA11" s="56">
        <v>60000</v>
      </c>
      <c r="BB11" s="56">
        <v>72000</v>
      </c>
      <c r="BC11" s="56">
        <v>72000</v>
      </c>
      <c r="BD11" s="56">
        <v>84000</v>
      </c>
      <c r="BE11" s="56">
        <v>48000</v>
      </c>
      <c r="BF11" s="56">
        <v>72000</v>
      </c>
      <c r="BG11" s="56">
        <v>72000</v>
      </c>
      <c r="BH11" s="56">
        <v>204000</v>
      </c>
      <c r="BI11" s="56">
        <v>72000</v>
      </c>
      <c r="BJ11" s="56">
        <v>72000</v>
      </c>
      <c r="BK11" s="56">
        <v>72000</v>
      </c>
      <c r="BL11" s="56">
        <v>72000</v>
      </c>
      <c r="BM11" s="56">
        <v>72000</v>
      </c>
      <c r="BN11" s="56">
        <v>72000</v>
      </c>
      <c r="BO11" s="56">
        <v>156000</v>
      </c>
      <c r="BP11" s="56">
        <v>72000</v>
      </c>
      <c r="BQ11" s="56">
        <v>72000</v>
      </c>
      <c r="BR11" s="56">
        <v>72000</v>
      </c>
      <c r="BS11" s="56">
        <v>72000</v>
      </c>
      <c r="BT11" s="56">
        <v>84000</v>
      </c>
      <c r="BU11" s="56">
        <v>72000</v>
      </c>
      <c r="BV11" s="56">
        <v>72000</v>
      </c>
      <c r="BW11" s="56">
        <v>72000</v>
      </c>
      <c r="BX11" s="56">
        <v>72000</v>
      </c>
      <c r="BY11" s="56">
        <v>72000</v>
      </c>
      <c r="BZ11" s="56">
        <v>72000</v>
      </c>
      <c r="CA11" s="56">
        <v>72000</v>
      </c>
      <c r="CB11" s="56">
        <v>84000</v>
      </c>
      <c r="CC11" s="56">
        <v>72000</v>
      </c>
      <c r="CD11" s="56">
        <v>84000</v>
      </c>
      <c r="CE11" s="56">
        <v>72000</v>
      </c>
      <c r="CF11" s="56">
        <v>72000</v>
      </c>
      <c r="CG11" s="56">
        <v>72000</v>
      </c>
      <c r="CH11" s="56">
        <v>72000</v>
      </c>
      <c r="CI11" s="56">
        <v>72000</v>
      </c>
      <c r="CJ11" s="56">
        <v>84000</v>
      </c>
      <c r="CK11" s="56">
        <v>72000</v>
      </c>
      <c r="CL11" s="56">
        <v>72000</v>
      </c>
      <c r="CM11" s="56">
        <v>120000</v>
      </c>
      <c r="CN11" s="56">
        <v>72000</v>
      </c>
      <c r="CO11" s="56">
        <v>72000</v>
      </c>
      <c r="CP11" s="56">
        <v>72000</v>
      </c>
      <c r="CQ11" s="56">
        <v>72000</v>
      </c>
      <c r="CR11" s="56">
        <v>72000</v>
      </c>
      <c r="CS11" s="56">
        <v>72000</v>
      </c>
      <c r="CT11" s="56">
        <v>72000</v>
      </c>
      <c r="CU11" s="56">
        <v>72000</v>
      </c>
      <c r="CV11" s="56">
        <v>72000</v>
      </c>
      <c r="CW11" s="56">
        <v>72000</v>
      </c>
      <c r="CX11" s="56">
        <v>72000</v>
      </c>
      <c r="CY11" s="56">
        <v>72000</v>
      </c>
      <c r="CZ11" s="56">
        <v>72000</v>
      </c>
      <c r="DA11" s="56">
        <v>72000</v>
      </c>
      <c r="DB11" s="56">
        <v>72000</v>
      </c>
      <c r="DC11" s="56">
        <v>204000</v>
      </c>
      <c r="DD11" s="56">
        <v>72000</v>
      </c>
    </row>
    <row r="12" spans="1:108" ht="19.8">
      <c r="A12" s="253" t="s">
        <v>378</v>
      </c>
      <c r="B12" s="253"/>
      <c r="C12" s="253"/>
      <c r="D12" s="57" t="s">
        <v>361</v>
      </c>
      <c r="E12" s="160" t="s">
        <v>547</v>
      </c>
      <c r="F12" s="57"/>
      <c r="G12" s="213">
        <f t="shared" si="0"/>
        <v>624000</v>
      </c>
      <c r="H12" s="56">
        <v>48000</v>
      </c>
      <c r="I12" s="56">
        <v>0</v>
      </c>
      <c r="J12" s="56">
        <v>0</v>
      </c>
      <c r="K12" s="56">
        <v>96000</v>
      </c>
      <c r="L12" s="56">
        <v>0</v>
      </c>
      <c r="M12" s="56">
        <v>0</v>
      </c>
      <c r="N12" s="56">
        <v>0</v>
      </c>
      <c r="O12" s="56">
        <v>0</v>
      </c>
      <c r="P12" s="56">
        <v>0</v>
      </c>
      <c r="Q12" s="56">
        <v>0</v>
      </c>
      <c r="R12" s="56">
        <v>0</v>
      </c>
      <c r="S12" s="56">
        <v>0</v>
      </c>
      <c r="T12" s="56">
        <v>48000</v>
      </c>
      <c r="U12" s="56">
        <v>0</v>
      </c>
      <c r="V12" s="56">
        <v>0</v>
      </c>
      <c r="W12" s="56">
        <v>0</v>
      </c>
      <c r="X12" s="56">
        <v>0</v>
      </c>
      <c r="Y12" s="56">
        <v>0</v>
      </c>
      <c r="Z12" s="56">
        <v>0</v>
      </c>
      <c r="AA12" s="56">
        <v>0</v>
      </c>
      <c r="AB12" s="56">
        <v>48000</v>
      </c>
      <c r="AC12" s="56">
        <v>0</v>
      </c>
      <c r="AD12" s="56">
        <v>0</v>
      </c>
      <c r="AE12" s="56">
        <v>48000</v>
      </c>
      <c r="AF12" s="56">
        <v>0</v>
      </c>
      <c r="AG12" s="56">
        <v>0</v>
      </c>
      <c r="AH12" s="56">
        <v>0</v>
      </c>
      <c r="AI12" s="56">
        <v>0</v>
      </c>
      <c r="AJ12" s="56">
        <v>0</v>
      </c>
      <c r="AK12" s="56">
        <v>0</v>
      </c>
      <c r="AL12" s="56">
        <v>0</v>
      </c>
      <c r="AM12" s="56">
        <v>0</v>
      </c>
      <c r="AN12" s="56">
        <v>48000</v>
      </c>
      <c r="AO12" s="56">
        <v>0</v>
      </c>
      <c r="AP12" s="56">
        <v>0</v>
      </c>
      <c r="AQ12" s="56">
        <v>0</v>
      </c>
      <c r="AR12" s="56">
        <v>0</v>
      </c>
      <c r="AS12" s="56">
        <v>0</v>
      </c>
      <c r="AT12" s="56">
        <v>0</v>
      </c>
      <c r="AU12" s="56">
        <v>0</v>
      </c>
      <c r="AV12" s="56">
        <v>0</v>
      </c>
      <c r="AW12" s="56">
        <v>48000</v>
      </c>
      <c r="AX12" s="56">
        <v>0</v>
      </c>
      <c r="AY12" s="56">
        <v>0</v>
      </c>
      <c r="AZ12" s="56">
        <v>0</v>
      </c>
      <c r="BA12" s="56">
        <v>0</v>
      </c>
      <c r="BB12" s="56">
        <v>0</v>
      </c>
      <c r="BC12" s="56">
        <v>0</v>
      </c>
      <c r="BD12" s="56">
        <v>0</v>
      </c>
      <c r="BE12" s="56">
        <v>0</v>
      </c>
      <c r="BF12" s="56">
        <v>0</v>
      </c>
      <c r="BG12" s="56">
        <v>0</v>
      </c>
      <c r="BH12" s="56">
        <v>96000</v>
      </c>
      <c r="BI12" s="56">
        <v>0</v>
      </c>
      <c r="BJ12" s="56">
        <v>0</v>
      </c>
      <c r="BK12" s="56">
        <v>0</v>
      </c>
      <c r="BL12" s="56">
        <v>0</v>
      </c>
      <c r="BM12" s="56">
        <v>0</v>
      </c>
      <c r="BN12" s="56">
        <v>0</v>
      </c>
      <c r="BO12" s="56">
        <v>0</v>
      </c>
      <c r="BP12" s="56">
        <v>0</v>
      </c>
      <c r="BQ12" s="56">
        <v>0</v>
      </c>
      <c r="BR12" s="56">
        <v>0</v>
      </c>
      <c r="BS12" s="56">
        <v>0</v>
      </c>
      <c r="BT12" s="56">
        <v>48000</v>
      </c>
      <c r="BU12" s="56">
        <v>0</v>
      </c>
      <c r="BV12" s="56">
        <v>0</v>
      </c>
      <c r="BW12" s="56">
        <v>0</v>
      </c>
      <c r="BX12" s="56">
        <v>0</v>
      </c>
      <c r="BY12" s="56">
        <v>0</v>
      </c>
      <c r="BZ12" s="56">
        <v>0</v>
      </c>
      <c r="CA12" s="56">
        <v>0</v>
      </c>
      <c r="CB12" s="56">
        <v>0</v>
      </c>
      <c r="CC12" s="56">
        <v>0</v>
      </c>
      <c r="CD12" s="56">
        <v>0</v>
      </c>
      <c r="CE12" s="56">
        <v>0</v>
      </c>
      <c r="CF12" s="56">
        <v>0</v>
      </c>
      <c r="CG12" s="56">
        <v>0</v>
      </c>
      <c r="CH12" s="56">
        <v>0</v>
      </c>
      <c r="CI12" s="56">
        <v>0</v>
      </c>
      <c r="CJ12" s="56">
        <v>0</v>
      </c>
      <c r="CK12" s="56">
        <v>0</v>
      </c>
      <c r="CL12" s="56">
        <v>0</v>
      </c>
      <c r="CM12" s="56">
        <v>0</v>
      </c>
      <c r="CN12" s="56">
        <v>0</v>
      </c>
      <c r="CO12" s="56">
        <v>0</v>
      </c>
      <c r="CP12" s="56">
        <v>0</v>
      </c>
      <c r="CQ12" s="56">
        <v>0</v>
      </c>
      <c r="CR12" s="56">
        <v>0</v>
      </c>
      <c r="CS12" s="56">
        <v>0</v>
      </c>
      <c r="CT12" s="56">
        <v>0</v>
      </c>
      <c r="CU12" s="56">
        <v>0</v>
      </c>
      <c r="CV12" s="56">
        <v>0</v>
      </c>
      <c r="CW12" s="56">
        <v>0</v>
      </c>
      <c r="CX12" s="56">
        <v>0</v>
      </c>
      <c r="CY12" s="56">
        <v>0</v>
      </c>
      <c r="CZ12" s="56">
        <v>0</v>
      </c>
      <c r="DA12" s="56">
        <v>0</v>
      </c>
      <c r="DB12" s="56">
        <v>0</v>
      </c>
      <c r="DC12" s="56">
        <v>96000</v>
      </c>
      <c r="DD12" s="56">
        <v>0</v>
      </c>
    </row>
    <row r="13" spans="1:108" ht="19.8">
      <c r="A13" s="253" t="s">
        <v>362</v>
      </c>
      <c r="B13" s="253"/>
      <c r="C13" s="253"/>
      <c r="D13" s="57" t="s">
        <v>363</v>
      </c>
      <c r="E13" s="160" t="s">
        <v>546</v>
      </c>
      <c r="F13" s="57"/>
      <c r="G13" s="213">
        <f t="shared" si="0"/>
        <v>1512000</v>
      </c>
      <c r="H13" s="56">
        <v>48000</v>
      </c>
      <c r="I13" s="56">
        <v>96000</v>
      </c>
      <c r="J13" s="56">
        <v>24000</v>
      </c>
      <c r="K13" s="56">
        <v>24000</v>
      </c>
      <c r="L13" s="56">
        <v>12000</v>
      </c>
      <c r="M13" s="56">
        <v>12000</v>
      </c>
      <c r="N13" s="56">
        <v>12000</v>
      </c>
      <c r="O13" s="56">
        <v>36000</v>
      </c>
      <c r="P13" s="56">
        <v>24000</v>
      </c>
      <c r="Q13" s="56">
        <v>12000</v>
      </c>
      <c r="R13" s="56">
        <v>24000</v>
      </c>
      <c r="S13" s="56">
        <v>12000</v>
      </c>
      <c r="T13" s="56">
        <v>12000</v>
      </c>
      <c r="U13" s="56">
        <v>36000</v>
      </c>
      <c r="V13" s="56">
        <v>12000</v>
      </c>
      <c r="W13" s="56"/>
      <c r="X13" s="56">
        <v>24000</v>
      </c>
      <c r="Y13" s="56">
        <v>12000</v>
      </c>
      <c r="Z13" s="56">
        <v>36000</v>
      </c>
      <c r="AA13" s="56">
        <v>12000</v>
      </c>
      <c r="AB13" s="56">
        <v>36000</v>
      </c>
      <c r="AC13" s="56">
        <v>24000</v>
      </c>
      <c r="AD13" s="56">
        <v>24000</v>
      </c>
      <c r="AE13" s="56">
        <v>24000</v>
      </c>
      <c r="AF13" s="56"/>
      <c r="AG13" s="56">
        <v>24000</v>
      </c>
      <c r="AH13" s="56"/>
      <c r="AI13" s="56">
        <v>12000</v>
      </c>
      <c r="AJ13" s="56">
        <v>12000</v>
      </c>
      <c r="AK13" s="56"/>
      <c r="AL13" s="56">
        <v>12000</v>
      </c>
      <c r="AM13" s="56"/>
      <c r="AN13" s="56">
        <v>24000</v>
      </c>
      <c r="AO13" s="56">
        <v>12000</v>
      </c>
      <c r="AP13" s="56">
        <v>12000</v>
      </c>
      <c r="AQ13" s="56">
        <v>12000</v>
      </c>
      <c r="AR13" s="56">
        <v>12000</v>
      </c>
      <c r="AS13" s="56">
        <v>24000</v>
      </c>
      <c r="AT13" s="56">
        <v>24000</v>
      </c>
      <c r="AU13" s="56">
        <v>12000</v>
      </c>
      <c r="AV13" s="56">
        <v>12000</v>
      </c>
      <c r="AW13" s="56">
        <v>24000</v>
      </c>
      <c r="AX13" s="56">
        <v>12000</v>
      </c>
      <c r="AY13" s="56"/>
      <c r="AZ13" s="56"/>
      <c r="BA13" s="56">
        <v>12000</v>
      </c>
      <c r="BB13" s="56">
        <v>12000</v>
      </c>
      <c r="BC13" s="56">
        <v>12000</v>
      </c>
      <c r="BD13" s="56">
        <v>12000</v>
      </c>
      <c r="BE13" s="56"/>
      <c r="BF13" s="56">
        <v>12000</v>
      </c>
      <c r="BG13" s="56">
        <v>12000</v>
      </c>
      <c r="BH13" s="56">
        <v>48000</v>
      </c>
      <c r="BI13" s="56">
        <v>12000</v>
      </c>
      <c r="BJ13" s="56">
        <v>24000</v>
      </c>
      <c r="BK13" s="56"/>
      <c r="BL13" s="56">
        <v>12000</v>
      </c>
      <c r="BM13" s="56">
        <v>12000</v>
      </c>
      <c r="BN13" s="56"/>
      <c r="BO13" s="56">
        <v>24000</v>
      </c>
      <c r="BP13" s="56">
        <v>12000</v>
      </c>
      <c r="BQ13" s="56">
        <v>12000</v>
      </c>
      <c r="BR13" s="56">
        <v>12000</v>
      </c>
      <c r="BS13" s="56">
        <v>12000</v>
      </c>
      <c r="BT13" s="56">
        <v>24000</v>
      </c>
      <c r="BU13" s="56"/>
      <c r="BV13" s="56">
        <v>12000</v>
      </c>
      <c r="BW13" s="56">
        <v>12000</v>
      </c>
      <c r="BX13" s="56">
        <v>24000</v>
      </c>
      <c r="BY13" s="56">
        <v>24000</v>
      </c>
      <c r="BZ13" s="56">
        <v>12000</v>
      </c>
      <c r="CA13" s="56"/>
      <c r="CB13" s="56">
        <v>24000</v>
      </c>
      <c r="CC13" s="56">
        <v>12000</v>
      </c>
      <c r="CD13" s="56">
        <v>12000</v>
      </c>
      <c r="CE13" s="56"/>
      <c r="CF13" s="56">
        <v>12000</v>
      </c>
      <c r="CG13" s="56">
        <v>12000</v>
      </c>
      <c r="CH13" s="56">
        <v>12000</v>
      </c>
      <c r="CI13" s="56">
        <v>24000</v>
      </c>
      <c r="CJ13" s="56"/>
      <c r="CK13" s="56">
        <v>12000</v>
      </c>
      <c r="CL13" s="56"/>
      <c r="CM13" s="56"/>
      <c r="CN13" s="56">
        <v>12000</v>
      </c>
      <c r="CO13" s="56">
        <v>12000</v>
      </c>
      <c r="CP13" s="56"/>
      <c r="CQ13" s="56">
        <v>24000</v>
      </c>
      <c r="CR13" s="56">
        <v>12000</v>
      </c>
      <c r="CS13" s="56">
        <v>12000</v>
      </c>
      <c r="CT13" s="56">
        <v>12000</v>
      </c>
      <c r="CU13" s="56">
        <v>12000</v>
      </c>
      <c r="CV13" s="56">
        <v>12000</v>
      </c>
      <c r="CW13" s="56">
        <v>12000</v>
      </c>
      <c r="CX13" s="56">
        <v>12000</v>
      </c>
      <c r="CY13" s="56">
        <v>12000</v>
      </c>
      <c r="CZ13" s="56">
        <v>12000</v>
      </c>
      <c r="DA13" s="56"/>
      <c r="DB13" s="56"/>
      <c r="DC13" s="56">
        <v>48000</v>
      </c>
      <c r="DD13" s="56"/>
    </row>
    <row r="14" spans="1:108" ht="37.5" customHeight="1">
      <c r="A14" s="253" t="s">
        <v>364</v>
      </c>
      <c r="B14" s="253"/>
      <c r="C14" s="253"/>
      <c r="D14" s="57" t="s">
        <v>365</v>
      </c>
      <c r="E14" s="160" t="s">
        <v>548</v>
      </c>
      <c r="F14" s="57"/>
      <c r="G14" s="213">
        <f t="shared" si="0"/>
        <v>657000</v>
      </c>
      <c r="H14" s="56"/>
      <c r="I14" s="56"/>
      <c r="J14" s="56">
        <v>48000</v>
      </c>
      <c r="K14" s="56">
        <v>23000</v>
      </c>
      <c r="L14" s="56"/>
      <c r="M14" s="56"/>
      <c r="N14" s="56"/>
      <c r="O14" s="56"/>
      <c r="P14" s="56"/>
      <c r="Q14" s="56"/>
      <c r="R14" s="56"/>
      <c r="S14" s="56"/>
      <c r="T14" s="56">
        <v>94000</v>
      </c>
      <c r="U14" s="56">
        <v>46000</v>
      </c>
      <c r="V14" s="56"/>
      <c r="W14" s="56"/>
      <c r="X14" s="56">
        <v>48000</v>
      </c>
      <c r="Y14" s="56">
        <v>114000</v>
      </c>
      <c r="Z14" s="56"/>
      <c r="AA14" s="56"/>
      <c r="AB14" s="56"/>
      <c r="AC14" s="56"/>
      <c r="AD14" s="56"/>
      <c r="AE14" s="56"/>
      <c r="AF14" s="56"/>
      <c r="AG14" s="56">
        <v>23000</v>
      </c>
      <c r="AH14" s="56"/>
      <c r="AI14" s="56"/>
      <c r="AJ14" s="56"/>
      <c r="AK14" s="56"/>
      <c r="AL14" s="56"/>
      <c r="AM14" s="56"/>
      <c r="AN14" s="56">
        <v>48000</v>
      </c>
      <c r="AO14" s="56"/>
      <c r="AP14" s="56"/>
      <c r="AQ14" s="56"/>
      <c r="AR14" s="56"/>
      <c r="AS14" s="56"/>
      <c r="AT14" s="56">
        <v>23000</v>
      </c>
      <c r="AU14" s="56"/>
      <c r="AV14" s="56"/>
      <c r="AW14" s="56">
        <v>23000</v>
      </c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>
        <v>71000</v>
      </c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>
        <v>96000</v>
      </c>
      <c r="DD14" s="56"/>
    </row>
    <row r="15" spans="1:108" ht="75">
      <c r="A15" s="257" t="s">
        <v>531</v>
      </c>
      <c r="B15" s="258"/>
      <c r="C15" s="258"/>
      <c r="D15" s="58">
        <v>3</v>
      </c>
      <c r="E15" s="59" t="s">
        <v>353</v>
      </c>
      <c r="F15" s="60" t="s">
        <v>532</v>
      </c>
      <c r="G15" s="213">
        <f t="shared" si="0"/>
        <v>88107000</v>
      </c>
      <c r="H15" s="213">
        <v>1579000</v>
      </c>
      <c r="I15" s="213">
        <v>3479000</v>
      </c>
      <c r="J15" s="213">
        <v>1468000</v>
      </c>
      <c r="K15" s="213">
        <v>1181000</v>
      </c>
      <c r="L15" s="213">
        <v>1015000</v>
      </c>
      <c r="M15" s="213">
        <v>1015000</v>
      </c>
      <c r="N15" s="213">
        <v>1015000</v>
      </c>
      <c r="O15" s="213">
        <v>1170000</v>
      </c>
      <c r="P15" s="213">
        <v>1159000</v>
      </c>
      <c r="Q15" s="213">
        <v>1015000</v>
      </c>
      <c r="R15" s="213">
        <v>1159000</v>
      </c>
      <c r="S15" s="213">
        <v>1015000</v>
      </c>
      <c r="T15" s="213">
        <v>1025000</v>
      </c>
      <c r="U15" s="213">
        <v>1170000</v>
      </c>
      <c r="V15" s="213">
        <v>1015000</v>
      </c>
      <c r="W15" s="213">
        <v>0</v>
      </c>
      <c r="X15" s="213">
        <v>1170000</v>
      </c>
      <c r="Y15" s="213">
        <v>1025000</v>
      </c>
      <c r="Z15" s="213">
        <v>1170000</v>
      </c>
      <c r="AA15" s="213">
        <v>1170000</v>
      </c>
      <c r="AB15" s="213">
        <v>1159000</v>
      </c>
      <c r="AC15" s="213">
        <v>1004000</v>
      </c>
      <c r="AD15" s="213">
        <v>1181000</v>
      </c>
      <c r="AE15" s="213">
        <v>1159000</v>
      </c>
      <c r="AF15" s="213">
        <v>0</v>
      </c>
      <c r="AG15" s="213">
        <v>1004000</v>
      </c>
      <c r="AH15" s="213">
        <v>0</v>
      </c>
      <c r="AI15" s="213">
        <v>1025000</v>
      </c>
      <c r="AJ15" s="213">
        <v>1015000</v>
      </c>
      <c r="AK15" s="213">
        <v>0</v>
      </c>
      <c r="AL15" s="213">
        <v>1004000</v>
      </c>
      <c r="AM15" s="213">
        <v>0</v>
      </c>
      <c r="AN15" s="213">
        <v>1159000</v>
      </c>
      <c r="AO15" s="213">
        <v>1015000</v>
      </c>
      <c r="AP15" s="213">
        <v>1015000</v>
      </c>
      <c r="AQ15" s="213">
        <v>1004000</v>
      </c>
      <c r="AR15" s="213">
        <v>1015000</v>
      </c>
      <c r="AS15" s="213">
        <v>1015000</v>
      </c>
      <c r="AT15" s="213">
        <v>1015000</v>
      </c>
      <c r="AU15" s="213">
        <v>1015000</v>
      </c>
      <c r="AV15" s="213">
        <v>1025000</v>
      </c>
      <c r="AW15" s="213">
        <v>1015000</v>
      </c>
      <c r="AX15" s="213">
        <v>1015000</v>
      </c>
      <c r="AY15" s="213">
        <v>0</v>
      </c>
      <c r="AZ15" s="213">
        <v>0</v>
      </c>
      <c r="BA15" s="213">
        <v>1004000</v>
      </c>
      <c r="BB15" s="213">
        <v>1015000</v>
      </c>
      <c r="BC15" s="213">
        <v>1015000</v>
      </c>
      <c r="BD15" s="213">
        <v>1015000</v>
      </c>
      <c r="BE15" s="213">
        <v>0</v>
      </c>
      <c r="BF15" s="213">
        <v>1004000</v>
      </c>
      <c r="BG15" s="213">
        <v>1004000</v>
      </c>
      <c r="BH15" s="213">
        <v>1149000</v>
      </c>
      <c r="BI15" s="213">
        <v>1015000</v>
      </c>
      <c r="BJ15" s="213">
        <v>1004000</v>
      </c>
      <c r="BK15" s="213">
        <v>0</v>
      </c>
      <c r="BL15" s="213">
        <v>1015000</v>
      </c>
      <c r="BM15" s="213">
        <v>1015000</v>
      </c>
      <c r="BN15" s="213">
        <v>0</v>
      </c>
      <c r="BO15" s="213">
        <v>1181000</v>
      </c>
      <c r="BP15" s="213">
        <v>1015000</v>
      </c>
      <c r="BQ15" s="213">
        <v>1015000</v>
      </c>
      <c r="BR15" s="213">
        <v>1015000</v>
      </c>
      <c r="BS15" s="213">
        <v>1015000</v>
      </c>
      <c r="BT15" s="213">
        <v>1015000</v>
      </c>
      <c r="BU15" s="213">
        <v>0</v>
      </c>
      <c r="BV15" s="213">
        <v>1004000</v>
      </c>
      <c r="BW15" s="213">
        <v>1004000</v>
      </c>
      <c r="BX15" s="213">
        <v>1015000</v>
      </c>
      <c r="BY15" s="213">
        <v>1015000</v>
      </c>
      <c r="BZ15" s="213">
        <v>1004000</v>
      </c>
      <c r="CA15" s="213">
        <v>0</v>
      </c>
      <c r="CB15" s="213">
        <v>1015000</v>
      </c>
      <c r="CC15" s="213">
        <v>1015000</v>
      </c>
      <c r="CD15" s="213">
        <v>1015000</v>
      </c>
      <c r="CE15" s="213">
        <v>0</v>
      </c>
      <c r="CF15" s="213">
        <v>1015000</v>
      </c>
      <c r="CG15" s="213">
        <v>1015000</v>
      </c>
      <c r="CH15" s="213">
        <v>1015000</v>
      </c>
      <c r="CI15" s="213">
        <v>1004000</v>
      </c>
      <c r="CJ15" s="213">
        <v>0</v>
      </c>
      <c r="CK15" s="213">
        <v>1004000</v>
      </c>
      <c r="CL15" s="213">
        <v>0</v>
      </c>
      <c r="CM15" s="213">
        <v>0</v>
      </c>
      <c r="CN15" s="213">
        <v>1015000</v>
      </c>
      <c r="CO15" s="213">
        <v>1015000</v>
      </c>
      <c r="CP15" s="213">
        <v>0</v>
      </c>
      <c r="CQ15" s="213">
        <v>1015000</v>
      </c>
      <c r="CR15" s="213">
        <v>1015000</v>
      </c>
      <c r="CS15" s="213">
        <v>1015000</v>
      </c>
      <c r="CT15" s="213">
        <v>1015000</v>
      </c>
      <c r="CU15" s="213">
        <v>1004000</v>
      </c>
      <c r="CV15" s="213">
        <v>1004000</v>
      </c>
      <c r="CW15" s="213">
        <v>1015000</v>
      </c>
      <c r="CX15" s="213">
        <v>1015000</v>
      </c>
      <c r="CY15" s="213">
        <v>1004000</v>
      </c>
      <c r="CZ15" s="213">
        <v>1015000</v>
      </c>
      <c r="DA15" s="213">
        <v>0</v>
      </c>
      <c r="DB15" s="213">
        <v>0</v>
      </c>
      <c r="DC15" s="213">
        <v>1435000</v>
      </c>
      <c r="DD15" s="213">
        <v>0</v>
      </c>
    </row>
    <row r="16" spans="1:108" ht="41.25" customHeight="1">
      <c r="A16" s="254" t="s">
        <v>376</v>
      </c>
      <c r="B16" s="254"/>
      <c r="C16" s="254"/>
      <c r="D16" s="61">
        <v>4</v>
      </c>
      <c r="E16" s="59" t="s">
        <v>350</v>
      </c>
      <c r="F16" s="62" t="s">
        <v>366</v>
      </c>
      <c r="G16" s="213">
        <f t="shared" si="0"/>
        <v>13893000</v>
      </c>
      <c r="H16" s="213">
        <v>240000</v>
      </c>
      <c r="I16" s="213">
        <v>792000</v>
      </c>
      <c r="J16" s="213">
        <v>324000</v>
      </c>
      <c r="K16" s="213">
        <v>311000</v>
      </c>
      <c r="L16" s="213">
        <v>492000</v>
      </c>
      <c r="M16" s="213">
        <v>84000</v>
      </c>
      <c r="N16" s="213">
        <v>84000</v>
      </c>
      <c r="O16" s="213">
        <v>204000</v>
      </c>
      <c r="P16" s="213">
        <v>264000</v>
      </c>
      <c r="Q16" s="213">
        <v>84000</v>
      </c>
      <c r="R16" s="213">
        <v>324000</v>
      </c>
      <c r="S16" s="213">
        <v>84000</v>
      </c>
      <c r="T16" s="213">
        <v>310000</v>
      </c>
      <c r="U16" s="213">
        <v>310000</v>
      </c>
      <c r="V16" s="213">
        <v>84000</v>
      </c>
      <c r="W16" s="213">
        <v>72000</v>
      </c>
      <c r="X16" s="213">
        <v>276000</v>
      </c>
      <c r="Y16" s="213">
        <v>594000</v>
      </c>
      <c r="Z16" s="213">
        <v>432000</v>
      </c>
      <c r="AA16" s="213">
        <v>84000</v>
      </c>
      <c r="AB16" s="213">
        <v>228000</v>
      </c>
      <c r="AC16" s="213">
        <v>96000</v>
      </c>
      <c r="AD16" s="213">
        <v>180000</v>
      </c>
      <c r="AE16" s="213">
        <v>240000</v>
      </c>
      <c r="AF16" s="213">
        <v>72000</v>
      </c>
      <c r="AG16" s="213">
        <v>143000</v>
      </c>
      <c r="AH16" s="213">
        <v>72000</v>
      </c>
      <c r="AI16" s="213">
        <v>96000</v>
      </c>
      <c r="AJ16" s="213">
        <v>108000</v>
      </c>
      <c r="AK16" s="213">
        <v>72000</v>
      </c>
      <c r="AL16" s="213">
        <v>84000</v>
      </c>
      <c r="AM16" s="213">
        <v>60000</v>
      </c>
      <c r="AN16" s="213">
        <v>252000</v>
      </c>
      <c r="AO16" s="213">
        <v>84000</v>
      </c>
      <c r="AP16" s="213">
        <v>84000</v>
      </c>
      <c r="AQ16" s="213">
        <v>84000</v>
      </c>
      <c r="AR16" s="213">
        <v>84000</v>
      </c>
      <c r="AS16" s="213">
        <v>96000</v>
      </c>
      <c r="AT16" s="213">
        <v>131000</v>
      </c>
      <c r="AU16" s="213">
        <v>84000</v>
      </c>
      <c r="AV16" s="213">
        <v>84000</v>
      </c>
      <c r="AW16" s="213">
        <v>251000</v>
      </c>
      <c r="AX16" s="213">
        <v>84000</v>
      </c>
      <c r="AY16" s="213">
        <v>72000</v>
      </c>
      <c r="AZ16" s="213">
        <v>60000</v>
      </c>
      <c r="BA16" s="213">
        <v>72000</v>
      </c>
      <c r="BB16" s="213">
        <v>84000</v>
      </c>
      <c r="BC16" s="213">
        <v>84000</v>
      </c>
      <c r="BD16" s="213">
        <v>96000</v>
      </c>
      <c r="BE16" s="213">
        <v>48000</v>
      </c>
      <c r="BF16" s="213">
        <v>84000</v>
      </c>
      <c r="BG16" s="213">
        <v>84000</v>
      </c>
      <c r="BH16" s="213">
        <v>419000</v>
      </c>
      <c r="BI16" s="213">
        <v>84000</v>
      </c>
      <c r="BJ16" s="213">
        <v>96000</v>
      </c>
      <c r="BK16" s="213">
        <v>72000</v>
      </c>
      <c r="BL16" s="213">
        <v>84000</v>
      </c>
      <c r="BM16" s="213">
        <v>84000</v>
      </c>
      <c r="BN16" s="213">
        <v>72000</v>
      </c>
      <c r="BO16" s="213">
        <v>180000</v>
      </c>
      <c r="BP16" s="213">
        <v>84000</v>
      </c>
      <c r="BQ16" s="213">
        <v>84000</v>
      </c>
      <c r="BR16" s="213">
        <v>84000</v>
      </c>
      <c r="BS16" s="213">
        <v>84000</v>
      </c>
      <c r="BT16" s="213">
        <v>156000</v>
      </c>
      <c r="BU16" s="213">
        <v>72000</v>
      </c>
      <c r="BV16" s="213">
        <v>84000</v>
      </c>
      <c r="BW16" s="213">
        <v>84000</v>
      </c>
      <c r="BX16" s="213">
        <v>96000</v>
      </c>
      <c r="BY16" s="213">
        <v>96000</v>
      </c>
      <c r="BZ16" s="213">
        <v>84000</v>
      </c>
      <c r="CA16" s="213">
        <v>72000</v>
      </c>
      <c r="CB16" s="213">
        <v>108000</v>
      </c>
      <c r="CC16" s="213">
        <v>84000</v>
      </c>
      <c r="CD16" s="213">
        <v>96000</v>
      </c>
      <c r="CE16" s="213">
        <v>72000</v>
      </c>
      <c r="CF16" s="213">
        <v>84000</v>
      </c>
      <c r="CG16" s="213">
        <v>84000</v>
      </c>
      <c r="CH16" s="213">
        <v>84000</v>
      </c>
      <c r="CI16" s="213">
        <v>96000</v>
      </c>
      <c r="CJ16" s="213">
        <v>84000</v>
      </c>
      <c r="CK16" s="213">
        <v>84000</v>
      </c>
      <c r="CL16" s="213">
        <v>72000</v>
      </c>
      <c r="CM16" s="213">
        <v>120000</v>
      </c>
      <c r="CN16" s="213">
        <v>84000</v>
      </c>
      <c r="CO16" s="213">
        <v>84000</v>
      </c>
      <c r="CP16" s="213">
        <v>72000</v>
      </c>
      <c r="CQ16" s="213">
        <v>96000</v>
      </c>
      <c r="CR16" s="213">
        <v>84000</v>
      </c>
      <c r="CS16" s="213">
        <v>84000</v>
      </c>
      <c r="CT16" s="213">
        <v>84000</v>
      </c>
      <c r="CU16" s="213">
        <v>84000</v>
      </c>
      <c r="CV16" s="213">
        <v>84000</v>
      </c>
      <c r="CW16" s="213">
        <v>84000</v>
      </c>
      <c r="CX16" s="213">
        <v>84000</v>
      </c>
      <c r="CY16" s="213">
        <v>84000</v>
      </c>
      <c r="CZ16" s="213">
        <v>84000</v>
      </c>
      <c r="DA16" s="213">
        <v>72000</v>
      </c>
      <c r="DB16" s="213">
        <v>72000</v>
      </c>
      <c r="DC16" s="213">
        <v>444000</v>
      </c>
      <c r="DD16" s="213">
        <v>72000</v>
      </c>
    </row>
    <row r="17" spans="1:108" ht="39" customHeight="1">
      <c r="A17" s="259" t="s">
        <v>553</v>
      </c>
      <c r="B17" s="259"/>
      <c r="C17" s="259"/>
      <c r="D17" s="161">
        <v>5</v>
      </c>
      <c r="E17" s="63" t="s">
        <v>549</v>
      </c>
      <c r="F17" s="62" t="s">
        <v>367</v>
      </c>
      <c r="G17" s="213">
        <f>SUM(H17:DD17)</f>
        <v>27950000</v>
      </c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>
        <v>650000</v>
      </c>
      <c r="T17" s="213"/>
      <c r="U17" s="213"/>
      <c r="V17" s="213"/>
      <c r="W17" s="213"/>
      <c r="X17" s="213"/>
      <c r="Y17" s="213"/>
      <c r="Z17" s="213"/>
      <c r="AA17" s="213"/>
      <c r="AB17" s="213"/>
      <c r="AC17" s="213"/>
      <c r="AD17" s="213"/>
      <c r="AE17" s="213"/>
      <c r="AF17" s="213">
        <v>650000</v>
      </c>
      <c r="AG17" s="213"/>
      <c r="AH17" s="213"/>
      <c r="AI17" s="213"/>
      <c r="AJ17" s="213"/>
      <c r="AK17" s="213">
        <v>650000</v>
      </c>
      <c r="AL17" s="213">
        <v>650000</v>
      </c>
      <c r="AM17" s="213">
        <v>650000</v>
      </c>
      <c r="AN17" s="213"/>
      <c r="AO17" s="213">
        <v>650000</v>
      </c>
      <c r="AP17" s="213">
        <v>650000</v>
      </c>
      <c r="AQ17" s="213">
        <v>650000</v>
      </c>
      <c r="AR17" s="213">
        <v>650000</v>
      </c>
      <c r="AS17" s="213"/>
      <c r="AT17" s="213"/>
      <c r="AU17" s="213"/>
      <c r="AV17" s="213"/>
      <c r="AW17" s="213"/>
      <c r="AX17" s="213"/>
      <c r="AY17" s="213">
        <v>650000</v>
      </c>
      <c r="AZ17" s="213">
        <v>650000</v>
      </c>
      <c r="BA17" s="213">
        <v>650000</v>
      </c>
      <c r="BB17" s="213"/>
      <c r="BC17" s="213"/>
      <c r="BD17" s="213"/>
      <c r="BE17" s="213">
        <v>650000</v>
      </c>
      <c r="BF17" s="213">
        <v>650000</v>
      </c>
      <c r="BG17" s="213">
        <v>650000</v>
      </c>
      <c r="BH17" s="213"/>
      <c r="BI17" s="213">
        <v>650000</v>
      </c>
      <c r="BJ17" s="213">
        <v>650000</v>
      </c>
      <c r="BK17" s="213">
        <v>650000</v>
      </c>
      <c r="BL17" s="213">
        <v>650000</v>
      </c>
      <c r="BM17" s="213">
        <v>650000</v>
      </c>
      <c r="BN17" s="213">
        <v>650000</v>
      </c>
      <c r="BO17" s="213"/>
      <c r="BP17" s="213">
        <v>650000</v>
      </c>
      <c r="BQ17" s="213">
        <v>650000</v>
      </c>
      <c r="BR17" s="213"/>
      <c r="BS17" s="213"/>
      <c r="BT17" s="213"/>
      <c r="BU17" s="213">
        <v>650000</v>
      </c>
      <c r="BV17" s="213">
        <v>650000</v>
      </c>
      <c r="BW17" s="213">
        <v>650000</v>
      </c>
      <c r="BX17" s="213"/>
      <c r="BY17" s="213">
        <v>650000</v>
      </c>
      <c r="BZ17" s="213">
        <v>650000</v>
      </c>
      <c r="CA17" s="213">
        <v>650000</v>
      </c>
      <c r="CB17" s="213"/>
      <c r="CC17" s="213"/>
      <c r="CD17" s="213"/>
      <c r="CE17" s="213"/>
      <c r="CF17" s="213"/>
      <c r="CG17" s="213"/>
      <c r="CH17" s="213"/>
      <c r="CI17" s="213"/>
      <c r="CJ17" s="213">
        <v>650000</v>
      </c>
      <c r="CK17" s="213">
        <v>650000</v>
      </c>
      <c r="CL17" s="213"/>
      <c r="CM17" s="213"/>
      <c r="CN17" s="213"/>
      <c r="CO17" s="213">
        <v>650000</v>
      </c>
      <c r="CP17" s="213">
        <v>650000</v>
      </c>
      <c r="CQ17" s="213"/>
      <c r="CR17" s="213"/>
      <c r="CS17" s="213">
        <v>650000</v>
      </c>
      <c r="CT17" s="213">
        <v>650000</v>
      </c>
      <c r="CU17" s="213">
        <v>650000</v>
      </c>
      <c r="CV17" s="213">
        <v>650000</v>
      </c>
      <c r="CW17" s="213">
        <v>650000</v>
      </c>
      <c r="CX17" s="213"/>
      <c r="CY17" s="213">
        <v>650000</v>
      </c>
      <c r="CZ17" s="213">
        <v>650000</v>
      </c>
      <c r="DA17" s="213">
        <v>650000</v>
      </c>
      <c r="DB17" s="213">
        <v>650000</v>
      </c>
      <c r="DC17" s="213"/>
      <c r="DD17" s="213">
        <v>650000</v>
      </c>
    </row>
    <row r="18" spans="1:108" ht="34.5" customHeight="1">
      <c r="A18" s="254" t="s">
        <v>377</v>
      </c>
      <c r="B18" s="254"/>
      <c r="C18" s="254"/>
      <c r="D18" s="61">
        <v>6</v>
      </c>
      <c r="E18" s="59" t="s">
        <v>550</v>
      </c>
      <c r="F18" s="62" t="s">
        <v>368</v>
      </c>
      <c r="G18" s="213">
        <f>SUM(H18:DD18)</f>
        <v>21196000</v>
      </c>
      <c r="H18" s="64">
        <v>392000</v>
      </c>
      <c r="I18" s="64">
        <v>2408000</v>
      </c>
      <c r="J18" s="65">
        <v>28000</v>
      </c>
      <c r="K18" s="65"/>
      <c r="L18" s="65">
        <v>420000</v>
      </c>
      <c r="M18" s="64">
        <v>350000</v>
      </c>
      <c r="N18" s="65">
        <v>14000</v>
      </c>
      <c r="O18" s="64">
        <v>1260000</v>
      </c>
      <c r="P18" s="64">
        <v>392000</v>
      </c>
      <c r="Q18" s="64">
        <v>420000</v>
      </c>
      <c r="R18" s="64">
        <v>616000</v>
      </c>
      <c r="S18" s="66"/>
      <c r="T18" s="64">
        <v>28000</v>
      </c>
      <c r="U18" s="64">
        <v>658000</v>
      </c>
      <c r="V18" s="64"/>
      <c r="W18" s="65"/>
      <c r="X18" s="64">
        <v>140000</v>
      </c>
      <c r="Y18" s="64">
        <v>336000</v>
      </c>
      <c r="Z18" s="64">
        <v>840000</v>
      </c>
      <c r="AA18" s="66">
        <v>42000</v>
      </c>
      <c r="AB18" s="66">
        <v>532000</v>
      </c>
      <c r="AC18" s="64">
        <v>322000</v>
      </c>
      <c r="AD18" s="64">
        <v>364000</v>
      </c>
      <c r="AE18" s="66">
        <v>308000</v>
      </c>
      <c r="AF18" s="65"/>
      <c r="AG18" s="66">
        <v>322000</v>
      </c>
      <c r="AH18" s="65"/>
      <c r="AI18" s="66"/>
      <c r="AJ18" s="66">
        <v>168000</v>
      </c>
      <c r="AK18" s="65"/>
      <c r="AL18" s="64"/>
      <c r="AM18" s="65"/>
      <c r="AN18" s="64">
        <v>350000</v>
      </c>
      <c r="AO18" s="66"/>
      <c r="AP18" s="66"/>
      <c r="AQ18" s="66"/>
      <c r="AR18" s="65">
        <v>420000</v>
      </c>
      <c r="AS18" s="65"/>
      <c r="AT18" s="64">
        <v>560000</v>
      </c>
      <c r="AU18" s="66">
        <v>28000</v>
      </c>
      <c r="AV18" s="64"/>
      <c r="AW18" s="64">
        <v>630000</v>
      </c>
      <c r="AX18" s="64"/>
      <c r="AY18" s="65"/>
      <c r="AZ18" s="65"/>
      <c r="BA18" s="66">
        <v>112000</v>
      </c>
      <c r="BB18" s="66">
        <v>420000</v>
      </c>
      <c r="BC18" s="64"/>
      <c r="BD18" s="64">
        <v>392000</v>
      </c>
      <c r="BE18" s="65"/>
      <c r="BF18" s="66"/>
      <c r="BG18" s="66"/>
      <c r="BH18" s="64">
        <v>532000</v>
      </c>
      <c r="BI18" s="64"/>
      <c r="BJ18" s="66">
        <v>378000</v>
      </c>
      <c r="BK18" s="65"/>
      <c r="BL18" s="64"/>
      <c r="BM18" s="66">
        <v>420000</v>
      </c>
      <c r="BN18" s="65"/>
      <c r="BO18" s="64">
        <v>770000</v>
      </c>
      <c r="BP18" s="66"/>
      <c r="BQ18" s="64">
        <v>28000</v>
      </c>
      <c r="BR18" s="66">
        <v>252000</v>
      </c>
      <c r="BS18" s="64"/>
      <c r="BT18" s="66">
        <v>350000</v>
      </c>
      <c r="BU18" s="65"/>
      <c r="BV18" s="65">
        <v>28000</v>
      </c>
      <c r="BW18" s="64"/>
      <c r="BX18" s="66">
        <v>336000</v>
      </c>
      <c r="BY18" s="66">
        <v>112000</v>
      </c>
      <c r="BZ18" s="64"/>
      <c r="CA18" s="65"/>
      <c r="CB18" s="64">
        <v>280000</v>
      </c>
      <c r="CC18" s="66"/>
      <c r="CD18" s="66">
        <v>294000</v>
      </c>
      <c r="CE18" s="65"/>
      <c r="CF18" s="64"/>
      <c r="CG18" s="64">
        <v>14000</v>
      </c>
      <c r="CH18" s="66">
        <v>14000</v>
      </c>
      <c r="CI18" s="64">
        <v>252000</v>
      </c>
      <c r="CJ18" s="65"/>
      <c r="CK18" s="64"/>
      <c r="CL18" s="65"/>
      <c r="CM18" s="65"/>
      <c r="CN18" s="66">
        <v>14000</v>
      </c>
      <c r="CO18" s="66">
        <v>14000</v>
      </c>
      <c r="CP18" s="65"/>
      <c r="CQ18" s="64">
        <v>434000</v>
      </c>
      <c r="CR18" s="64">
        <v>392000</v>
      </c>
      <c r="CS18" s="66">
        <v>420000</v>
      </c>
      <c r="CT18" s="65">
        <v>28000</v>
      </c>
      <c r="CU18" s="66"/>
      <c r="CV18" s="66"/>
      <c r="CW18" s="66">
        <v>238000</v>
      </c>
      <c r="CX18" s="66"/>
      <c r="CY18" s="65">
        <v>210000</v>
      </c>
      <c r="CZ18" s="65">
        <v>420000</v>
      </c>
      <c r="DA18" s="65"/>
      <c r="DB18" s="65"/>
      <c r="DC18" s="66">
        <v>1694000</v>
      </c>
      <c r="DD18" s="67"/>
    </row>
    <row r="19" spans="1:108" ht="45">
      <c r="A19" s="254" t="s">
        <v>369</v>
      </c>
      <c r="B19" s="254"/>
      <c r="C19" s="254"/>
      <c r="D19" s="61">
        <v>7</v>
      </c>
      <c r="E19" s="63" t="s">
        <v>551</v>
      </c>
      <c r="F19" s="62" t="s">
        <v>370</v>
      </c>
      <c r="G19" s="213">
        <f>SUM(H19:DD19)</f>
        <v>39650000</v>
      </c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>
        <v>650000</v>
      </c>
      <c r="AG19" s="64"/>
      <c r="AH19" s="64">
        <v>1300000</v>
      </c>
      <c r="AI19" s="64">
        <v>1300000</v>
      </c>
      <c r="AJ19" s="64"/>
      <c r="AK19" s="64"/>
      <c r="AL19" s="64"/>
      <c r="AM19" s="64"/>
      <c r="AN19" s="64"/>
      <c r="AO19" s="64">
        <v>650000</v>
      </c>
      <c r="AP19" s="64"/>
      <c r="AQ19" s="64"/>
      <c r="AR19" s="64"/>
      <c r="AS19" s="64">
        <v>650000</v>
      </c>
      <c r="AT19" s="64">
        <v>650000</v>
      </c>
      <c r="AU19" s="64">
        <v>650000</v>
      </c>
      <c r="AV19" s="64">
        <v>1300000</v>
      </c>
      <c r="AW19" s="64">
        <v>650000</v>
      </c>
      <c r="AX19" s="64">
        <v>650000</v>
      </c>
      <c r="AY19" s="64"/>
      <c r="AZ19" s="64"/>
      <c r="BA19" s="64"/>
      <c r="BB19" s="64">
        <v>650000</v>
      </c>
      <c r="BC19" s="64">
        <v>650000</v>
      </c>
      <c r="BD19" s="64">
        <v>1300000</v>
      </c>
      <c r="BE19" s="64"/>
      <c r="BF19" s="64"/>
      <c r="BG19" s="64"/>
      <c r="BH19" s="64">
        <v>650000</v>
      </c>
      <c r="BI19" s="64">
        <v>650000</v>
      </c>
      <c r="BJ19" s="64">
        <v>650000</v>
      </c>
      <c r="BK19" s="64"/>
      <c r="BL19" s="64">
        <v>1300000</v>
      </c>
      <c r="BM19" s="64">
        <v>1300000</v>
      </c>
      <c r="BN19" s="64"/>
      <c r="BO19" s="64">
        <v>650000</v>
      </c>
      <c r="BP19" s="64"/>
      <c r="BQ19" s="64">
        <v>650000</v>
      </c>
      <c r="BR19" s="64">
        <v>650000</v>
      </c>
      <c r="BS19" s="64"/>
      <c r="BT19" s="64">
        <v>1300000</v>
      </c>
      <c r="BU19" s="64"/>
      <c r="BV19" s="64"/>
      <c r="BW19" s="64"/>
      <c r="BX19" s="64">
        <v>1300000</v>
      </c>
      <c r="BY19" s="64">
        <v>650000</v>
      </c>
      <c r="BZ19" s="64"/>
      <c r="CA19" s="64">
        <v>650000</v>
      </c>
      <c r="CB19" s="64">
        <v>1300000</v>
      </c>
      <c r="CC19" s="64">
        <v>1300000</v>
      </c>
      <c r="CD19" s="64">
        <v>1300000</v>
      </c>
      <c r="CE19" s="64"/>
      <c r="CF19" s="64">
        <v>1300000</v>
      </c>
      <c r="CG19" s="64"/>
      <c r="CH19" s="64">
        <v>1300000</v>
      </c>
      <c r="CI19" s="64">
        <v>650000</v>
      </c>
      <c r="CJ19" s="64"/>
      <c r="CK19" s="64">
        <v>650000</v>
      </c>
      <c r="CL19" s="64">
        <v>650000</v>
      </c>
      <c r="CM19" s="64">
        <v>1300000</v>
      </c>
      <c r="CN19" s="64">
        <v>650000</v>
      </c>
      <c r="CO19" s="64">
        <v>650000</v>
      </c>
      <c r="CP19" s="64">
        <v>650000</v>
      </c>
      <c r="CQ19" s="64">
        <v>650000</v>
      </c>
      <c r="CR19" s="64">
        <v>650000</v>
      </c>
      <c r="CS19" s="64">
        <v>650000</v>
      </c>
      <c r="CT19" s="64">
        <v>650000</v>
      </c>
      <c r="CU19" s="64">
        <v>1300000</v>
      </c>
      <c r="CV19" s="64"/>
      <c r="CW19" s="64">
        <v>650000</v>
      </c>
      <c r="CX19" s="64">
        <v>650000</v>
      </c>
      <c r="CY19" s="64">
        <v>650000</v>
      </c>
      <c r="CZ19" s="64"/>
      <c r="DA19" s="64"/>
      <c r="DB19" s="64"/>
      <c r="DC19" s="64"/>
      <c r="DD19" s="64">
        <v>650000</v>
      </c>
    </row>
    <row r="20" spans="1:108" ht="45">
      <c r="A20" s="254" t="s">
        <v>379</v>
      </c>
      <c r="B20" s="254"/>
      <c r="C20" s="254"/>
      <c r="D20" s="61">
        <v>8</v>
      </c>
      <c r="E20" s="63" t="s">
        <v>552</v>
      </c>
      <c r="F20" s="62" t="s">
        <v>372</v>
      </c>
      <c r="G20" s="213">
        <f>SUM(H20:DD20)</f>
        <v>996000</v>
      </c>
      <c r="H20" s="64">
        <v>14000</v>
      </c>
      <c r="I20" s="64">
        <v>78000</v>
      </c>
      <c r="J20" s="64">
        <v>31000</v>
      </c>
      <c r="K20" s="64">
        <v>17000</v>
      </c>
      <c r="L20" s="64">
        <v>49000</v>
      </c>
      <c r="M20" s="64">
        <v>6000</v>
      </c>
      <c r="N20" s="64">
        <v>6000</v>
      </c>
      <c r="O20" s="64">
        <v>14000</v>
      </c>
      <c r="P20" s="64">
        <v>18000</v>
      </c>
      <c r="Q20" s="64">
        <v>6000</v>
      </c>
      <c r="R20" s="64">
        <v>21000</v>
      </c>
      <c r="S20" s="64">
        <v>6000</v>
      </c>
      <c r="T20" s="64">
        <v>16000</v>
      </c>
      <c r="U20" s="64">
        <v>20000</v>
      </c>
      <c r="V20" s="64">
        <v>6000</v>
      </c>
      <c r="W20" s="64">
        <v>5000</v>
      </c>
      <c r="X20" s="64">
        <v>18000</v>
      </c>
      <c r="Y20" s="64">
        <v>55000</v>
      </c>
      <c r="Z20" s="64">
        <v>43000</v>
      </c>
      <c r="AA20" s="64">
        <v>7000</v>
      </c>
      <c r="AB20" s="64">
        <v>13000</v>
      </c>
      <c r="AC20" s="64">
        <v>6000</v>
      </c>
      <c r="AD20" s="64">
        <v>13000</v>
      </c>
      <c r="AE20" s="64">
        <v>14000</v>
      </c>
      <c r="AF20" s="64">
        <v>5000</v>
      </c>
      <c r="AG20" s="64">
        <v>9000</v>
      </c>
      <c r="AH20" s="64">
        <v>5000</v>
      </c>
      <c r="AI20" s="64">
        <v>8000</v>
      </c>
      <c r="AJ20" s="64">
        <v>8000</v>
      </c>
      <c r="AK20" s="64">
        <v>5000</v>
      </c>
      <c r="AL20" s="64">
        <v>6000</v>
      </c>
      <c r="AM20" s="64">
        <v>4000</v>
      </c>
      <c r="AN20" s="64">
        <v>13000</v>
      </c>
      <c r="AO20" s="64">
        <v>6000</v>
      </c>
      <c r="AP20" s="64">
        <v>6000</v>
      </c>
      <c r="AQ20" s="64">
        <v>6000</v>
      </c>
      <c r="AR20" s="64">
        <v>6000</v>
      </c>
      <c r="AS20" s="64">
        <v>7000</v>
      </c>
      <c r="AT20" s="64">
        <v>8000</v>
      </c>
      <c r="AU20" s="64">
        <v>6000</v>
      </c>
      <c r="AV20" s="64">
        <v>7000</v>
      </c>
      <c r="AW20" s="64">
        <v>14000</v>
      </c>
      <c r="AX20" s="64">
        <v>6000</v>
      </c>
      <c r="AY20" s="64">
        <v>5000</v>
      </c>
      <c r="AZ20" s="64">
        <v>4000</v>
      </c>
      <c r="BA20" s="64">
        <v>6000</v>
      </c>
      <c r="BB20" s="64">
        <v>6000</v>
      </c>
      <c r="BC20" s="64">
        <v>6000</v>
      </c>
      <c r="BD20" s="64">
        <v>7000</v>
      </c>
      <c r="BE20" s="64">
        <v>3000</v>
      </c>
      <c r="BF20" s="64">
        <v>6000</v>
      </c>
      <c r="BG20" s="64">
        <v>6000</v>
      </c>
      <c r="BH20" s="64">
        <v>20000</v>
      </c>
      <c r="BI20" s="64">
        <v>6000</v>
      </c>
      <c r="BJ20" s="64">
        <v>6000</v>
      </c>
      <c r="BK20" s="64">
        <v>5000</v>
      </c>
      <c r="BL20" s="64">
        <v>6000</v>
      </c>
      <c r="BM20" s="64">
        <v>6000</v>
      </c>
      <c r="BN20" s="64">
        <v>5000</v>
      </c>
      <c r="BO20" s="64">
        <v>13000</v>
      </c>
      <c r="BP20" s="64">
        <v>6000</v>
      </c>
      <c r="BQ20" s="64">
        <v>6000</v>
      </c>
      <c r="BR20" s="64">
        <v>6000</v>
      </c>
      <c r="BS20" s="64">
        <v>6000</v>
      </c>
      <c r="BT20" s="64">
        <v>8000</v>
      </c>
      <c r="BU20" s="64">
        <v>5000</v>
      </c>
      <c r="BV20" s="64">
        <v>6000</v>
      </c>
      <c r="BW20" s="64">
        <v>6000</v>
      </c>
      <c r="BX20" s="64">
        <v>7000</v>
      </c>
      <c r="BY20" s="64">
        <v>7000</v>
      </c>
      <c r="BZ20" s="64">
        <v>6000</v>
      </c>
      <c r="CA20" s="64">
        <v>5000</v>
      </c>
      <c r="CB20" s="64">
        <v>8000</v>
      </c>
      <c r="CC20" s="64">
        <v>6000</v>
      </c>
      <c r="CD20" s="64">
        <v>7000</v>
      </c>
      <c r="CE20" s="64">
        <v>5000</v>
      </c>
      <c r="CF20" s="64">
        <v>6000</v>
      </c>
      <c r="CG20" s="64">
        <v>6000</v>
      </c>
      <c r="CH20" s="64">
        <v>6000</v>
      </c>
      <c r="CI20" s="64">
        <v>6000</v>
      </c>
      <c r="CJ20" s="64">
        <v>6000</v>
      </c>
      <c r="CK20" s="64">
        <v>6000</v>
      </c>
      <c r="CL20" s="64">
        <v>5000</v>
      </c>
      <c r="CM20" s="64">
        <v>8000</v>
      </c>
      <c r="CN20" s="64">
        <v>6000</v>
      </c>
      <c r="CO20" s="64">
        <v>6000</v>
      </c>
      <c r="CP20" s="64">
        <v>5000</v>
      </c>
      <c r="CQ20" s="64">
        <v>7000</v>
      </c>
      <c r="CR20" s="64">
        <v>6000</v>
      </c>
      <c r="CS20" s="64">
        <v>6000</v>
      </c>
      <c r="CT20" s="64">
        <v>6000</v>
      </c>
      <c r="CU20" s="64">
        <v>6000</v>
      </c>
      <c r="CV20" s="64">
        <v>6000</v>
      </c>
      <c r="CW20" s="64">
        <v>6000</v>
      </c>
      <c r="CX20" s="64">
        <v>6000</v>
      </c>
      <c r="CY20" s="64">
        <v>6000</v>
      </c>
      <c r="CZ20" s="64">
        <v>6000</v>
      </c>
      <c r="DA20" s="64">
        <v>5000</v>
      </c>
      <c r="DB20" s="64">
        <v>5000</v>
      </c>
      <c r="DC20" s="64">
        <v>21000</v>
      </c>
      <c r="DD20" s="64">
        <v>5000</v>
      </c>
    </row>
    <row r="21" spans="1:108" ht="19.8">
      <c r="A21" s="255" t="s">
        <v>539</v>
      </c>
      <c r="B21" s="255"/>
      <c r="C21" s="255"/>
      <c r="D21" s="255"/>
      <c r="E21" s="255"/>
      <c r="F21" s="256"/>
      <c r="G21" s="217">
        <f>SUM(H21:DD21)</f>
        <v>3414974000</v>
      </c>
      <c r="H21" s="68">
        <v>48303000</v>
      </c>
      <c r="I21" s="68">
        <v>215864000</v>
      </c>
      <c r="J21" s="68">
        <v>87545000</v>
      </c>
      <c r="K21" s="68">
        <v>58380000</v>
      </c>
      <c r="L21" s="68">
        <v>132124000</v>
      </c>
      <c r="M21" s="68">
        <v>27815000</v>
      </c>
      <c r="N21" s="68">
        <v>34585000</v>
      </c>
      <c r="O21" s="68">
        <v>55336000</v>
      </c>
      <c r="P21" s="68">
        <v>73845000</v>
      </c>
      <c r="Q21" s="68">
        <v>24195000</v>
      </c>
      <c r="R21" s="68">
        <v>91830000</v>
      </c>
      <c r="S21" s="68">
        <v>25197000</v>
      </c>
      <c r="T21" s="68">
        <v>44606000</v>
      </c>
      <c r="U21" s="68">
        <v>68533000</v>
      </c>
      <c r="V21" s="68">
        <v>25499000</v>
      </c>
      <c r="W21" s="68">
        <v>26473000</v>
      </c>
      <c r="X21" s="68">
        <v>55310000</v>
      </c>
      <c r="Y21" s="68">
        <v>147149000</v>
      </c>
      <c r="Z21" s="68">
        <v>105518000</v>
      </c>
      <c r="AA21" s="68">
        <v>28220000</v>
      </c>
      <c r="AB21" s="68">
        <v>51793000</v>
      </c>
      <c r="AC21" s="68">
        <v>29260000</v>
      </c>
      <c r="AD21" s="68">
        <v>52797000</v>
      </c>
      <c r="AE21" s="68">
        <v>64444000</v>
      </c>
      <c r="AF21" s="68">
        <v>24186000</v>
      </c>
      <c r="AG21" s="68">
        <v>32296000</v>
      </c>
      <c r="AH21" s="68">
        <v>21619000</v>
      </c>
      <c r="AI21" s="68">
        <v>22223000</v>
      </c>
      <c r="AJ21" s="68">
        <v>27760000</v>
      </c>
      <c r="AK21" s="68">
        <v>21340000</v>
      </c>
      <c r="AL21" s="68">
        <v>21670000</v>
      </c>
      <c r="AM21" s="68">
        <v>20149000</v>
      </c>
      <c r="AN21" s="68">
        <v>47652000</v>
      </c>
      <c r="AO21" s="68">
        <v>21853000</v>
      </c>
      <c r="AP21" s="68">
        <v>17989000</v>
      </c>
      <c r="AQ21" s="68">
        <v>22947000</v>
      </c>
      <c r="AR21" s="68">
        <v>20665000</v>
      </c>
      <c r="AS21" s="68">
        <v>27255000</v>
      </c>
      <c r="AT21" s="68">
        <v>32548000</v>
      </c>
      <c r="AU21" s="68">
        <v>25822000</v>
      </c>
      <c r="AV21" s="68">
        <v>25719000</v>
      </c>
      <c r="AW21" s="68">
        <v>48621000</v>
      </c>
      <c r="AX21" s="68">
        <v>20219000</v>
      </c>
      <c r="AY21" s="68">
        <v>14834000</v>
      </c>
      <c r="AZ21" s="68">
        <v>15650000</v>
      </c>
      <c r="BA21" s="68">
        <v>20880000</v>
      </c>
      <c r="BB21" s="68">
        <v>20805000</v>
      </c>
      <c r="BC21" s="68">
        <v>17776000</v>
      </c>
      <c r="BD21" s="68">
        <v>23125000</v>
      </c>
      <c r="BE21" s="68">
        <v>13295000</v>
      </c>
      <c r="BF21" s="68">
        <v>17212000</v>
      </c>
      <c r="BG21" s="68">
        <v>18031000</v>
      </c>
      <c r="BH21" s="68">
        <v>73149000</v>
      </c>
      <c r="BI21" s="68">
        <v>22374000</v>
      </c>
      <c r="BJ21" s="68">
        <v>22817000</v>
      </c>
      <c r="BK21" s="68">
        <v>16286000</v>
      </c>
      <c r="BL21" s="68">
        <v>13431000</v>
      </c>
      <c r="BM21" s="68">
        <v>16568000</v>
      </c>
      <c r="BN21" s="68">
        <v>14572000</v>
      </c>
      <c r="BO21" s="68">
        <v>47669000</v>
      </c>
      <c r="BP21" s="68">
        <v>14479000</v>
      </c>
      <c r="BQ21" s="68">
        <v>21079000</v>
      </c>
      <c r="BR21" s="68">
        <v>21243000</v>
      </c>
      <c r="BS21" s="68">
        <v>18417000</v>
      </c>
      <c r="BT21" s="68">
        <v>24138000</v>
      </c>
      <c r="BU21" s="68">
        <v>15828000</v>
      </c>
      <c r="BV21" s="68">
        <v>13544000</v>
      </c>
      <c r="BW21" s="68">
        <v>16154000</v>
      </c>
      <c r="BX21" s="68">
        <v>16761000</v>
      </c>
      <c r="BY21" s="68">
        <v>16583000</v>
      </c>
      <c r="BZ21" s="68">
        <v>21322000</v>
      </c>
      <c r="CA21" s="68">
        <v>17347000</v>
      </c>
      <c r="CB21" s="68">
        <v>29107000</v>
      </c>
      <c r="CC21" s="68">
        <v>25516000</v>
      </c>
      <c r="CD21" s="68">
        <v>24640000</v>
      </c>
      <c r="CE21" s="68">
        <v>22715000</v>
      </c>
      <c r="CF21" s="68">
        <v>23826000</v>
      </c>
      <c r="CG21" s="68">
        <v>30237000</v>
      </c>
      <c r="CH21" s="68">
        <v>20808000</v>
      </c>
      <c r="CI21" s="68">
        <v>27520000</v>
      </c>
      <c r="CJ21" s="68">
        <v>26725000</v>
      </c>
      <c r="CK21" s="68">
        <v>24045000</v>
      </c>
      <c r="CL21" s="68">
        <v>26341000</v>
      </c>
      <c r="CM21" s="68">
        <v>28565000</v>
      </c>
      <c r="CN21" s="68">
        <v>25190000</v>
      </c>
      <c r="CO21" s="68">
        <v>22616000</v>
      </c>
      <c r="CP21" s="68">
        <v>27240000</v>
      </c>
      <c r="CQ21" s="68">
        <v>24807000</v>
      </c>
      <c r="CR21" s="68">
        <v>27095000</v>
      </c>
      <c r="CS21" s="68">
        <v>25063000</v>
      </c>
      <c r="CT21" s="68">
        <v>20646000</v>
      </c>
      <c r="CU21" s="68">
        <v>23601000</v>
      </c>
      <c r="CV21" s="68">
        <v>22886000</v>
      </c>
      <c r="CW21" s="68">
        <v>24010000</v>
      </c>
      <c r="CX21" s="68">
        <v>22223000</v>
      </c>
      <c r="CY21" s="68">
        <v>19337000</v>
      </c>
      <c r="CZ21" s="68">
        <v>16045000</v>
      </c>
      <c r="DA21" s="68">
        <v>17176000</v>
      </c>
      <c r="DB21" s="68">
        <v>15993000</v>
      </c>
      <c r="DC21" s="68">
        <v>69355000</v>
      </c>
      <c r="DD21" s="68">
        <v>19123000</v>
      </c>
    </row>
  </sheetData>
  <mergeCells count="21">
    <mergeCell ref="A11:C11"/>
    <mergeCell ref="A12:C12"/>
    <mergeCell ref="A20:C20"/>
    <mergeCell ref="A21:F21"/>
    <mergeCell ref="A14:C14"/>
    <mergeCell ref="A15:C15"/>
    <mergeCell ref="A16:C16"/>
    <mergeCell ref="A17:C17"/>
    <mergeCell ref="A18:C18"/>
    <mergeCell ref="A19:C19"/>
    <mergeCell ref="A13:C13"/>
    <mergeCell ref="A1:C1"/>
    <mergeCell ref="A2:C2"/>
    <mergeCell ref="A3:C3"/>
    <mergeCell ref="A4:C4"/>
    <mergeCell ref="A5:C5"/>
    <mergeCell ref="A6:C6"/>
    <mergeCell ref="A7:C7"/>
    <mergeCell ref="A8:C8"/>
    <mergeCell ref="A9:C9"/>
    <mergeCell ref="A10:C10"/>
  </mergeCells>
  <phoneticPr fontId="3" type="noConversion"/>
  <pageMargins left="0.7" right="0.7" top="0.75" bottom="0.75" header="0.3" footer="0.3"/>
  <pageSetup paperSize="9" orientation="portrait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topLeftCell="A103"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630</v>
      </c>
      <c r="D1" s="240" t="str">
        <f>VLOOKUP(C1,學校編號!A:B,2,FALSE)</f>
        <v>630月眉國小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22068000</v>
      </c>
      <c r="E2" s="37"/>
      <c r="F2" s="37">
        <f>F48+F70+F76+F77+F83</f>
        <v>6458000</v>
      </c>
      <c r="G2" s="37">
        <f t="shared" ref="G2:Q2" si="0">G48+G70+G76+G77+G83</f>
        <v>1521000</v>
      </c>
      <c r="H2" s="37">
        <f t="shared" si="0"/>
        <v>1632000</v>
      </c>
      <c r="I2" s="37">
        <f t="shared" si="0"/>
        <v>1839000</v>
      </c>
      <c r="J2" s="37">
        <f t="shared" si="0"/>
        <v>1526000</v>
      </c>
      <c r="K2" s="37">
        <f t="shared" si="0"/>
        <v>1526000</v>
      </c>
      <c r="L2" s="37">
        <f t="shared" si="0"/>
        <v>1540000</v>
      </c>
      <c r="M2" s="37">
        <f t="shared" si="0"/>
        <v>1526000</v>
      </c>
      <c r="N2" s="37">
        <f t="shared" si="0"/>
        <v>2839000</v>
      </c>
      <c r="O2" s="37">
        <f t="shared" si="0"/>
        <v>1514000</v>
      </c>
      <c r="P2" s="37">
        <f t="shared" si="0"/>
        <v>68000</v>
      </c>
      <c r="Q2" s="37">
        <f t="shared" si="0"/>
        <v>79000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120000</v>
      </c>
      <c r="E3" s="37" t="s">
        <v>525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51000</v>
      </c>
      <c r="E4" s="37" t="s">
        <v>525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63000</v>
      </c>
      <c r="E7" s="37" t="s">
        <v>525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8000</v>
      </c>
      <c r="E10" s="37" t="s">
        <v>525</v>
      </c>
      <c r="F10" s="37">
        <f t="shared" si="1"/>
        <v>667</v>
      </c>
      <c r="G10" s="37">
        <f t="shared" si="1"/>
        <v>667</v>
      </c>
      <c r="H10" s="37">
        <f t="shared" si="1"/>
        <v>667</v>
      </c>
      <c r="I10" s="37">
        <f t="shared" si="1"/>
        <v>667</v>
      </c>
      <c r="J10" s="37">
        <f t="shared" si="1"/>
        <v>667</v>
      </c>
      <c r="K10" s="37">
        <f t="shared" si="1"/>
        <v>667</v>
      </c>
      <c r="L10" s="37">
        <f t="shared" si="1"/>
        <v>667</v>
      </c>
      <c r="M10" s="37">
        <f t="shared" si="1"/>
        <v>667</v>
      </c>
      <c r="N10" s="37">
        <f t="shared" si="1"/>
        <v>667</v>
      </c>
      <c r="O10" s="37">
        <f t="shared" si="1"/>
        <v>667</v>
      </c>
      <c r="P10" s="37">
        <f t="shared" si="1"/>
        <v>667</v>
      </c>
      <c r="Q10" s="37">
        <f t="shared" si="2"/>
        <v>663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23000</v>
      </c>
      <c r="E11" s="37" t="s">
        <v>195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515000</v>
      </c>
      <c r="E12" s="113" t="s">
        <v>202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42000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128000</v>
      </c>
      <c r="E13" s="37" t="s">
        <v>525</v>
      </c>
      <c r="F13" s="37">
        <f>ROUND($D13/12,0)</f>
        <v>10667</v>
      </c>
      <c r="G13" s="37">
        <f t="shared" si="1"/>
        <v>10667</v>
      </c>
      <c r="H13" s="37">
        <f t="shared" si="1"/>
        <v>10667</v>
      </c>
      <c r="I13" s="37">
        <f t="shared" si="1"/>
        <v>10667</v>
      </c>
      <c r="J13" s="37">
        <f t="shared" si="1"/>
        <v>10667</v>
      </c>
      <c r="K13" s="37">
        <f t="shared" si="1"/>
        <v>10667</v>
      </c>
      <c r="L13" s="37">
        <f t="shared" si="1"/>
        <v>10667</v>
      </c>
      <c r="M13" s="37">
        <f t="shared" si="1"/>
        <v>10667</v>
      </c>
      <c r="N13" s="37">
        <f t="shared" si="1"/>
        <v>10667</v>
      </c>
      <c r="O13" s="37">
        <f t="shared" si="1"/>
        <v>10667</v>
      </c>
      <c r="P13" s="37">
        <f t="shared" si="1"/>
        <v>10667</v>
      </c>
      <c r="Q13" s="37">
        <f>D13-SUM(F13:P13)</f>
        <v>10663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28000</v>
      </c>
      <c r="E15" s="37" t="s">
        <v>193</v>
      </c>
      <c r="F15" s="37">
        <f>ROUND($D15/2,-3)</f>
        <v>14000</v>
      </c>
      <c r="G15" s="37"/>
      <c r="H15" s="37"/>
      <c r="I15" s="37"/>
      <c r="J15" s="37"/>
      <c r="K15" s="37"/>
      <c r="L15" s="37">
        <f>D15-F15</f>
        <v>14000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36000</v>
      </c>
      <c r="E16" s="37" t="s">
        <v>525</v>
      </c>
      <c r="F16" s="37">
        <f>ROUND($D16/12,0)</f>
        <v>3000</v>
      </c>
      <c r="G16" s="37">
        <f t="shared" si="1"/>
        <v>3000</v>
      </c>
      <c r="H16" s="37">
        <f t="shared" si="1"/>
        <v>3000</v>
      </c>
      <c r="I16" s="37">
        <f t="shared" si="1"/>
        <v>3000</v>
      </c>
      <c r="J16" s="37">
        <f t="shared" si="1"/>
        <v>3000</v>
      </c>
      <c r="K16" s="37">
        <f t="shared" si="1"/>
        <v>3000</v>
      </c>
      <c r="L16" s="37">
        <f t="shared" si="1"/>
        <v>3000</v>
      </c>
      <c r="M16" s="37">
        <f t="shared" si="1"/>
        <v>3000</v>
      </c>
      <c r="N16" s="37">
        <f t="shared" si="1"/>
        <v>3000</v>
      </c>
      <c r="O16" s="37">
        <f t="shared" si="1"/>
        <v>3000</v>
      </c>
      <c r="P16" s="37">
        <f t="shared" si="1"/>
        <v>3000</v>
      </c>
      <c r="Q16" s="37">
        <f>D16-SUM(F16:P16)</f>
        <v>3000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42000</v>
      </c>
      <c r="E17" s="37" t="s">
        <v>525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1014000</v>
      </c>
      <c r="E25" s="108"/>
      <c r="F25" s="108">
        <f>ROUND(SUM(F3:F24),-3)</f>
        <v>203000</v>
      </c>
      <c r="G25" s="108">
        <f t="shared" ref="G25:P25" si="5">ROUND(SUM(G3:G24),-3)</f>
        <v>80000</v>
      </c>
      <c r="H25" s="108">
        <f t="shared" si="5"/>
        <v>80000</v>
      </c>
      <c r="I25" s="108">
        <f t="shared" si="5"/>
        <v>80000</v>
      </c>
      <c r="J25" s="108">
        <f t="shared" si="5"/>
        <v>80000</v>
      </c>
      <c r="K25" s="108">
        <f t="shared" si="5"/>
        <v>80000</v>
      </c>
      <c r="L25" s="108">
        <f t="shared" si="5"/>
        <v>94000</v>
      </c>
      <c r="M25" s="108">
        <f t="shared" si="5"/>
        <v>80000</v>
      </c>
      <c r="N25" s="108">
        <f t="shared" si="5"/>
        <v>80000</v>
      </c>
      <c r="O25" s="108">
        <f t="shared" si="5"/>
        <v>79000</v>
      </c>
      <c r="P25" s="108">
        <f t="shared" si="5"/>
        <v>37000</v>
      </c>
      <c r="Q25" s="108">
        <f t="shared" ref="Q25:Q33" si="6">D25-SUM(F25:P25)</f>
        <v>41000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50000</v>
      </c>
      <c r="E26" s="114" t="s">
        <v>204</v>
      </c>
      <c r="F26" s="37">
        <f>ROUND($D26/10,-3)</f>
        <v>5000</v>
      </c>
      <c r="G26" s="37"/>
      <c r="H26" s="37">
        <f>ROUND($D26/10,-3)</f>
        <v>5000</v>
      </c>
      <c r="I26" s="37">
        <f>ROUND($D26/10,-3)</f>
        <v>5000</v>
      </c>
      <c r="J26" s="37">
        <f>ROUND($D26/10,-3)</f>
        <v>5000</v>
      </c>
      <c r="K26" s="37">
        <f>ROUND($D26/10,-3)</f>
        <v>5000</v>
      </c>
      <c r="L26" s="37"/>
      <c r="M26" s="37">
        <f>ROUND($D26/10,-3)</f>
        <v>5000</v>
      </c>
      <c r="N26" s="37">
        <f>ROUND($D26/10,-3)</f>
        <v>5000</v>
      </c>
      <c r="O26" s="37">
        <f>ROUND($D26/10,-3)</f>
        <v>5000</v>
      </c>
      <c r="P26" s="37">
        <f>ROUND($D26/10,-3)</f>
        <v>5000</v>
      </c>
      <c r="Q26" s="37">
        <f t="shared" si="6"/>
        <v>5000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241000</v>
      </c>
      <c r="E27" s="37" t="s">
        <v>525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18000</v>
      </c>
      <c r="E29" s="37" t="s">
        <v>525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7000</v>
      </c>
      <c r="E30" s="37" t="s">
        <v>525</v>
      </c>
      <c r="F30" s="37">
        <f t="shared" si="8"/>
        <v>583</v>
      </c>
      <c r="G30" s="37">
        <f t="shared" si="8"/>
        <v>583</v>
      </c>
      <c r="H30" s="37">
        <f t="shared" si="8"/>
        <v>583</v>
      </c>
      <c r="I30" s="37">
        <f t="shared" si="8"/>
        <v>583</v>
      </c>
      <c r="J30" s="37">
        <f t="shared" si="8"/>
        <v>583</v>
      </c>
      <c r="K30" s="37">
        <f t="shared" si="8"/>
        <v>583</v>
      </c>
      <c r="L30" s="37">
        <f t="shared" si="8"/>
        <v>583</v>
      </c>
      <c r="M30" s="37">
        <f t="shared" si="8"/>
        <v>583</v>
      </c>
      <c r="N30" s="37">
        <f t="shared" si="8"/>
        <v>583</v>
      </c>
      <c r="O30" s="37">
        <f t="shared" si="8"/>
        <v>583</v>
      </c>
      <c r="P30" s="37">
        <f t="shared" si="8"/>
        <v>583</v>
      </c>
      <c r="Q30" s="37">
        <f t="shared" si="6"/>
        <v>587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3000</v>
      </c>
      <c r="E31" s="37" t="s">
        <v>525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319000</v>
      </c>
      <c r="E37" s="108"/>
      <c r="F37" s="108">
        <f t="shared" ref="F37:P37" si="9">ROUND(SUM(F26:F36),-3)</f>
        <v>27000</v>
      </c>
      <c r="G37" s="108">
        <f t="shared" si="9"/>
        <v>22000</v>
      </c>
      <c r="H37" s="108">
        <f t="shared" si="9"/>
        <v>27000</v>
      </c>
      <c r="I37" s="108">
        <f t="shared" si="9"/>
        <v>27000</v>
      </c>
      <c r="J37" s="108">
        <f t="shared" si="9"/>
        <v>27000</v>
      </c>
      <c r="K37" s="108">
        <f t="shared" si="9"/>
        <v>27000</v>
      </c>
      <c r="L37" s="108">
        <f t="shared" si="9"/>
        <v>22000</v>
      </c>
      <c r="M37" s="108">
        <f t="shared" si="9"/>
        <v>27000</v>
      </c>
      <c r="N37" s="108">
        <f t="shared" si="9"/>
        <v>27000</v>
      </c>
      <c r="O37" s="108">
        <f t="shared" si="9"/>
        <v>27000</v>
      </c>
      <c r="P37" s="108">
        <f t="shared" si="9"/>
        <v>27000</v>
      </c>
      <c r="Q37" s="108">
        <f>D37-SUM(F37:P37)</f>
        <v>32000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5000</v>
      </c>
      <c r="E42" s="37" t="s">
        <v>199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5000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11000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5000</v>
      </c>
      <c r="J45" s="108">
        <f t="shared" si="12"/>
        <v>0</v>
      </c>
      <c r="K45" s="108">
        <f t="shared" si="12"/>
        <v>0</v>
      </c>
      <c r="L45" s="108">
        <f t="shared" si="12"/>
        <v>5000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1344000</v>
      </c>
      <c r="E48" s="37"/>
      <c r="F48" s="115">
        <f>F25+F37+F45+F47</f>
        <v>231000</v>
      </c>
      <c r="G48" s="115">
        <f t="shared" ref="G48:R48" si="14">G25+G37+G45+G47</f>
        <v>102000</v>
      </c>
      <c r="H48" s="115">
        <f t="shared" si="14"/>
        <v>107000</v>
      </c>
      <c r="I48" s="115">
        <f t="shared" si="14"/>
        <v>112000</v>
      </c>
      <c r="J48" s="115">
        <f t="shared" si="14"/>
        <v>107000</v>
      </c>
      <c r="K48" s="115">
        <f t="shared" si="14"/>
        <v>107000</v>
      </c>
      <c r="L48" s="115">
        <f t="shared" si="14"/>
        <v>121000</v>
      </c>
      <c r="M48" s="115">
        <f t="shared" si="14"/>
        <v>107000</v>
      </c>
      <c r="N48" s="115">
        <f t="shared" si="14"/>
        <v>107000</v>
      </c>
      <c r="O48" s="115">
        <f t="shared" si="14"/>
        <v>106000</v>
      </c>
      <c r="P48" s="115">
        <f t="shared" si="14"/>
        <v>64000</v>
      </c>
      <c r="Q48" s="115">
        <f t="shared" si="14"/>
        <v>73000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11386000</v>
      </c>
      <c r="E49" s="114" t="s">
        <v>202</v>
      </c>
      <c r="F49" s="37">
        <f>ROUND($D49/12*3,-3)</f>
        <v>2847000</v>
      </c>
      <c r="G49" s="37">
        <f>ROUND($D49/12,-3)</f>
        <v>949000</v>
      </c>
      <c r="H49" s="37">
        <f t="shared" ref="H49:N53" si="15">ROUND($D49/12,-3)</f>
        <v>949000</v>
      </c>
      <c r="I49" s="37">
        <f t="shared" si="15"/>
        <v>949000</v>
      </c>
      <c r="J49" s="37">
        <f t="shared" si="15"/>
        <v>949000</v>
      </c>
      <c r="K49" s="37">
        <f t="shared" si="15"/>
        <v>949000</v>
      </c>
      <c r="L49" s="37">
        <f t="shared" si="15"/>
        <v>949000</v>
      </c>
      <c r="M49" s="37">
        <f t="shared" si="15"/>
        <v>949000</v>
      </c>
      <c r="N49" s="37">
        <f t="shared" si="15"/>
        <v>949000</v>
      </c>
      <c r="O49" s="37">
        <f>D49-SUM(F49:N49)</f>
        <v>947000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406000</v>
      </c>
      <c r="E50" s="114" t="s">
        <v>202</v>
      </c>
      <c r="F50" s="37">
        <f t="shared" ref="F50:F53" si="16">ROUND($D50/12*3,-3)</f>
        <v>102000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si="15"/>
        <v>34000</v>
      </c>
      <c r="N50" s="37">
        <f t="shared" si="15"/>
        <v>34000</v>
      </c>
      <c r="O50" s="37">
        <f t="shared" ref="O50:O53" si="18">D50-SUM(F50:N50)</f>
        <v>32000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0</v>
      </c>
      <c r="E51" s="114" t="s">
        <v>202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5"/>
        <v>0</v>
      </c>
      <c r="N51" s="37">
        <f t="shared" si="15"/>
        <v>0</v>
      </c>
      <c r="O51" s="37">
        <f t="shared" si="18"/>
        <v>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0</v>
      </c>
      <c r="E52" s="114" t="s">
        <v>202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5"/>
        <v>0</v>
      </c>
      <c r="N52" s="37">
        <f t="shared" si="15"/>
        <v>0</v>
      </c>
      <c r="O52" s="37">
        <f t="shared" si="18"/>
        <v>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26000</v>
      </c>
      <c r="E54" s="37" t="s">
        <v>525</v>
      </c>
      <c r="F54" s="37">
        <f t="shared" ref="F54:P61" si="19">ROUND($D54/12,0)</f>
        <v>2167</v>
      </c>
      <c r="G54" s="37">
        <f t="shared" si="19"/>
        <v>2167</v>
      </c>
      <c r="H54" s="37">
        <f t="shared" si="19"/>
        <v>2167</v>
      </c>
      <c r="I54" s="37">
        <f t="shared" si="19"/>
        <v>2167</v>
      </c>
      <c r="J54" s="37">
        <f t="shared" si="19"/>
        <v>2167</v>
      </c>
      <c r="K54" s="37">
        <f t="shared" si="19"/>
        <v>2167</v>
      </c>
      <c r="L54" s="37">
        <f t="shared" si="19"/>
        <v>2167</v>
      </c>
      <c r="M54" s="37">
        <f t="shared" si="19"/>
        <v>2167</v>
      </c>
      <c r="N54" s="37">
        <f t="shared" si="19"/>
        <v>2167</v>
      </c>
      <c r="O54" s="37">
        <f t="shared" si="19"/>
        <v>2167</v>
      </c>
      <c r="P54" s="37">
        <f t="shared" si="19"/>
        <v>2167</v>
      </c>
      <c r="Q54" s="37">
        <f t="shared" ref="Q54:Q61" si="20">D54-SUM(F54:P54)</f>
        <v>2163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398000</v>
      </c>
      <c r="E60" s="37" t="s">
        <v>195</v>
      </c>
      <c r="F60" s="37">
        <f>D60</f>
        <v>398000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1542000</v>
      </c>
      <c r="E62" s="37" t="s">
        <v>197</v>
      </c>
      <c r="F62" s="37"/>
      <c r="G62" s="37"/>
      <c r="H62" s="37"/>
      <c r="I62" s="37">
        <f>ROUND($D62/5,-3)</f>
        <v>308000</v>
      </c>
      <c r="J62" s="37"/>
      <c r="K62" s="37"/>
      <c r="L62" s="37"/>
      <c r="M62" s="37"/>
      <c r="N62" s="37">
        <f>D62-I62</f>
        <v>1234000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1452000</v>
      </c>
      <c r="E63" s="37" t="s">
        <v>195</v>
      </c>
      <c r="F63" s="37">
        <f>D63</f>
        <v>1452000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1231000</v>
      </c>
      <c r="E64" s="114" t="s">
        <v>202</v>
      </c>
      <c r="F64" s="37">
        <f>ROUND($D64/12*3,-3)</f>
        <v>308000</v>
      </c>
      <c r="G64" s="37">
        <f>ROUND($D64/12,-3)</f>
        <v>103000</v>
      </c>
      <c r="H64" s="37">
        <f t="shared" ref="H64:N66" si="21">ROUND($D64/12,-3)</f>
        <v>103000</v>
      </c>
      <c r="I64" s="37">
        <f t="shared" si="21"/>
        <v>103000</v>
      </c>
      <c r="J64" s="37">
        <f t="shared" si="21"/>
        <v>103000</v>
      </c>
      <c r="K64" s="37">
        <f t="shared" si="21"/>
        <v>103000</v>
      </c>
      <c r="L64" s="37">
        <f t="shared" si="21"/>
        <v>103000</v>
      </c>
      <c r="M64" s="37">
        <f t="shared" si="21"/>
        <v>103000</v>
      </c>
      <c r="N64" s="37">
        <f t="shared" si="21"/>
        <v>103000</v>
      </c>
      <c r="O64" s="37">
        <f>D64-SUM(F64:N64)</f>
        <v>99000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291000</v>
      </c>
      <c r="E65" s="114" t="s">
        <v>202</v>
      </c>
      <c r="F65" s="37">
        <f t="shared" ref="F65:F66" si="22">ROUND($D65/12*3,-3)</f>
        <v>73000</v>
      </c>
      <c r="G65" s="37">
        <f t="shared" ref="G65:G66" si="23">ROUND($D65/12,-3)</f>
        <v>24000</v>
      </c>
      <c r="H65" s="37">
        <f t="shared" si="21"/>
        <v>24000</v>
      </c>
      <c r="I65" s="37">
        <f t="shared" si="21"/>
        <v>24000</v>
      </c>
      <c r="J65" s="37">
        <f t="shared" si="21"/>
        <v>24000</v>
      </c>
      <c r="K65" s="37">
        <f t="shared" si="21"/>
        <v>24000</v>
      </c>
      <c r="L65" s="37">
        <f t="shared" si="21"/>
        <v>24000</v>
      </c>
      <c r="M65" s="37">
        <f t="shared" si="21"/>
        <v>24000</v>
      </c>
      <c r="N65" s="37">
        <f t="shared" si="21"/>
        <v>24000</v>
      </c>
      <c r="O65" s="37">
        <f t="shared" ref="O65:O66" si="24">D65-SUM(F65:N65)</f>
        <v>26000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855000</v>
      </c>
      <c r="E66" s="114" t="s">
        <v>202</v>
      </c>
      <c r="F66" s="37">
        <f t="shared" si="22"/>
        <v>214000</v>
      </c>
      <c r="G66" s="37">
        <f t="shared" si="23"/>
        <v>71000</v>
      </c>
      <c r="H66" s="37">
        <f t="shared" si="21"/>
        <v>71000</v>
      </c>
      <c r="I66" s="37">
        <f t="shared" si="21"/>
        <v>71000</v>
      </c>
      <c r="J66" s="37">
        <f t="shared" si="21"/>
        <v>71000</v>
      </c>
      <c r="K66" s="37">
        <f t="shared" si="21"/>
        <v>71000</v>
      </c>
      <c r="L66" s="37">
        <f t="shared" si="21"/>
        <v>71000</v>
      </c>
      <c r="M66" s="37">
        <f t="shared" si="21"/>
        <v>71000</v>
      </c>
      <c r="N66" s="37">
        <f t="shared" si="21"/>
        <v>71000</v>
      </c>
      <c r="O66" s="37">
        <f t="shared" si="24"/>
        <v>73000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27000</v>
      </c>
      <c r="E67" s="37" t="s">
        <v>196</v>
      </c>
      <c r="F67" s="37"/>
      <c r="G67" s="37"/>
      <c r="H67" s="37">
        <f>D67</f>
        <v>27000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128000</v>
      </c>
      <c r="E68" s="37" t="s">
        <v>195</v>
      </c>
      <c r="F68" s="37">
        <f>D68</f>
        <v>128000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17766000</v>
      </c>
      <c r="E70" s="108"/>
      <c r="F70" s="108">
        <f t="shared" ref="F70:P70" si="25">ROUND(SUM(F49:F69),-3)</f>
        <v>5526000</v>
      </c>
      <c r="G70" s="108">
        <f t="shared" si="25"/>
        <v>1185000</v>
      </c>
      <c r="H70" s="108">
        <f t="shared" si="25"/>
        <v>1212000</v>
      </c>
      <c r="I70" s="108">
        <f t="shared" si="25"/>
        <v>1493000</v>
      </c>
      <c r="J70" s="108">
        <f t="shared" si="25"/>
        <v>1185000</v>
      </c>
      <c r="K70" s="108">
        <f t="shared" si="25"/>
        <v>1185000</v>
      </c>
      <c r="L70" s="108">
        <f t="shared" si="25"/>
        <v>1185000</v>
      </c>
      <c r="M70" s="108">
        <f t="shared" si="25"/>
        <v>1185000</v>
      </c>
      <c r="N70" s="108">
        <f t="shared" si="25"/>
        <v>2419000</v>
      </c>
      <c r="O70" s="108">
        <f t="shared" si="25"/>
        <v>1181000</v>
      </c>
      <c r="P70" s="108">
        <f t="shared" si="25"/>
        <v>4000</v>
      </c>
      <c r="Q70" s="108">
        <f>D70-SUM(F70:P70)</f>
        <v>6000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2286000</v>
      </c>
      <c r="E72" s="114" t="s">
        <v>202</v>
      </c>
      <c r="F72" s="37">
        <f>ROUND($D72/12*3,-3)</f>
        <v>572000</v>
      </c>
      <c r="G72" s="37">
        <f>ROUND($D72/12,-3)</f>
        <v>191000</v>
      </c>
      <c r="H72" s="37">
        <f t="shared" ref="H72:N75" si="26">ROUND($D72/12,-3)</f>
        <v>191000</v>
      </c>
      <c r="I72" s="37">
        <f t="shared" si="26"/>
        <v>191000</v>
      </c>
      <c r="J72" s="37">
        <f t="shared" si="26"/>
        <v>191000</v>
      </c>
      <c r="K72" s="37">
        <f t="shared" si="26"/>
        <v>191000</v>
      </c>
      <c r="L72" s="37">
        <f t="shared" si="26"/>
        <v>191000</v>
      </c>
      <c r="M72" s="37">
        <f t="shared" si="26"/>
        <v>191000</v>
      </c>
      <c r="N72" s="37">
        <f t="shared" si="26"/>
        <v>191000</v>
      </c>
      <c r="O72" s="37">
        <f>D72-SUM(F72:N72)</f>
        <v>186000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514000</v>
      </c>
      <c r="E75" s="114" t="s">
        <v>202</v>
      </c>
      <c r="F75" s="37">
        <f>ROUND($D75/12*3,-3)</f>
        <v>129000</v>
      </c>
      <c r="G75" s="37">
        <f>ROUND($D75/12,-3)</f>
        <v>43000</v>
      </c>
      <c r="H75" s="37">
        <f t="shared" si="26"/>
        <v>43000</v>
      </c>
      <c r="I75" s="37">
        <f t="shared" si="26"/>
        <v>43000</v>
      </c>
      <c r="J75" s="37">
        <f t="shared" si="26"/>
        <v>43000</v>
      </c>
      <c r="K75" s="37">
        <f t="shared" si="26"/>
        <v>43000</v>
      </c>
      <c r="L75" s="37">
        <f t="shared" si="26"/>
        <v>43000</v>
      </c>
      <c r="M75" s="37">
        <f t="shared" si="26"/>
        <v>43000</v>
      </c>
      <c r="N75" s="37">
        <f t="shared" si="26"/>
        <v>43000</v>
      </c>
      <c r="O75" s="37">
        <f>D75-SUM(F75:N75)</f>
        <v>41000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2800000</v>
      </c>
      <c r="E76" s="108"/>
      <c r="F76" s="108">
        <f>ROUND(SUM(F71:F75),-3)</f>
        <v>701000</v>
      </c>
      <c r="G76" s="108">
        <f t="shared" ref="G76:N76" si="27">ROUND(SUM(G71:G75),-3)</f>
        <v>234000</v>
      </c>
      <c r="H76" s="108">
        <f t="shared" si="27"/>
        <v>234000</v>
      </c>
      <c r="I76" s="108">
        <f t="shared" si="27"/>
        <v>234000</v>
      </c>
      <c r="J76" s="108">
        <f t="shared" si="27"/>
        <v>234000</v>
      </c>
      <c r="K76" s="108">
        <f t="shared" si="27"/>
        <v>234000</v>
      </c>
      <c r="L76" s="108">
        <f t="shared" si="27"/>
        <v>234000</v>
      </c>
      <c r="M76" s="108">
        <f t="shared" si="27"/>
        <v>234000</v>
      </c>
      <c r="N76" s="108">
        <f t="shared" si="27"/>
        <v>234000</v>
      </c>
      <c r="O76" s="108">
        <f>D76-SUM(F76:N76)</f>
        <v>227000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158000</v>
      </c>
      <c r="E77" s="37" t="s">
        <v>681</v>
      </c>
      <c r="F77" s="224"/>
      <c r="G77" s="224"/>
      <c r="H77" s="224">
        <f>ROUND($D77/2,-3)</f>
        <v>79000</v>
      </c>
      <c r="I77" s="224"/>
      <c r="J77" s="224"/>
      <c r="K77" s="224"/>
      <c r="L77" s="224"/>
      <c r="M77" s="224"/>
      <c r="N77" s="224">
        <f>D77-H77</f>
        <v>79000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20724000</v>
      </c>
      <c r="E78" s="227"/>
      <c r="F78" s="227">
        <f>F76+F70+F77</f>
        <v>6227000</v>
      </c>
      <c r="G78" s="227">
        <f t="shared" ref="G78:Q78" si="29">G76+G70+G77</f>
        <v>1419000</v>
      </c>
      <c r="H78" s="227">
        <f t="shared" si="29"/>
        <v>1525000</v>
      </c>
      <c r="I78" s="227">
        <f t="shared" si="29"/>
        <v>1727000</v>
      </c>
      <c r="J78" s="227">
        <f t="shared" si="29"/>
        <v>1419000</v>
      </c>
      <c r="K78" s="227">
        <f t="shared" si="29"/>
        <v>1419000</v>
      </c>
      <c r="L78" s="227">
        <f t="shared" si="29"/>
        <v>1419000</v>
      </c>
      <c r="M78" s="227">
        <f t="shared" si="29"/>
        <v>1419000</v>
      </c>
      <c r="N78" s="227">
        <f t="shared" si="29"/>
        <v>2732000</v>
      </c>
      <c r="O78" s="227">
        <f t="shared" si="29"/>
        <v>1408000</v>
      </c>
      <c r="P78" s="227">
        <f t="shared" si="29"/>
        <v>4000</v>
      </c>
      <c r="Q78" s="227">
        <f t="shared" si="29"/>
        <v>6000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22068000</v>
      </c>
      <c r="E87" s="37"/>
      <c r="F87" s="37">
        <f>F88+F89+F90+F91</f>
        <v>6458000</v>
      </c>
      <c r="G87" s="37">
        <f t="shared" ref="G87:Q87" si="32">G88+G89+G90+G91</f>
        <v>1521000</v>
      </c>
      <c r="H87" s="37">
        <f t="shared" si="32"/>
        <v>1632000</v>
      </c>
      <c r="I87" s="37">
        <f t="shared" si="32"/>
        <v>1839000</v>
      </c>
      <c r="J87" s="37">
        <f t="shared" si="32"/>
        <v>1526000</v>
      </c>
      <c r="K87" s="37">
        <f t="shared" si="32"/>
        <v>1526000</v>
      </c>
      <c r="L87" s="37">
        <f t="shared" si="32"/>
        <v>1540000</v>
      </c>
      <c r="M87" s="37">
        <f t="shared" si="32"/>
        <v>1526000</v>
      </c>
      <c r="N87" s="37">
        <f t="shared" si="32"/>
        <v>2839000</v>
      </c>
      <c r="O87" s="37">
        <f t="shared" si="32"/>
        <v>1514000</v>
      </c>
      <c r="P87" s="37">
        <f t="shared" si="32"/>
        <v>68000</v>
      </c>
      <c r="Q87" s="37">
        <f t="shared" si="32"/>
        <v>79000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0</v>
      </c>
      <c r="E88" s="108" t="s">
        <v>193</v>
      </c>
      <c r="F88" s="108">
        <f>ROUND($D88/2,-3)</f>
        <v>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22067000</v>
      </c>
      <c r="E91" s="108"/>
      <c r="F91" s="108">
        <f>F92+F93+F94+F95</f>
        <v>6458000</v>
      </c>
      <c r="G91" s="108">
        <f t="shared" ref="G91:Q91" si="34">G92+G93+G94+G95</f>
        <v>1521000</v>
      </c>
      <c r="H91" s="108">
        <f t="shared" si="34"/>
        <v>1632000</v>
      </c>
      <c r="I91" s="108">
        <f t="shared" si="34"/>
        <v>1839000</v>
      </c>
      <c r="J91" s="108">
        <f t="shared" si="34"/>
        <v>1526000</v>
      </c>
      <c r="K91" s="108">
        <f t="shared" si="34"/>
        <v>1526000</v>
      </c>
      <c r="L91" s="108">
        <f t="shared" si="34"/>
        <v>1540000</v>
      </c>
      <c r="M91" s="108">
        <f t="shared" si="34"/>
        <v>1526000</v>
      </c>
      <c r="N91" s="108">
        <f t="shared" si="34"/>
        <v>2839000</v>
      </c>
      <c r="O91" s="108">
        <f t="shared" si="34"/>
        <v>1514000</v>
      </c>
      <c r="P91" s="108">
        <f t="shared" si="34"/>
        <v>68000</v>
      </c>
      <c r="Q91" s="108">
        <f t="shared" si="34"/>
        <v>78000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650000</v>
      </c>
      <c r="E92" s="114" t="s">
        <v>537</v>
      </c>
      <c r="F92" s="37">
        <f>ROUND($D92/12*5,-3)</f>
        <v>271000</v>
      </c>
      <c r="G92" s="37">
        <f>ROUND($D92/12,-3)</f>
        <v>54000</v>
      </c>
      <c r="H92" s="37">
        <f t="shared" ref="H92:L92" si="35">ROUND($D92/12,-3)</f>
        <v>54000</v>
      </c>
      <c r="I92" s="37">
        <f t="shared" si="35"/>
        <v>54000</v>
      </c>
      <c r="J92" s="37">
        <f t="shared" si="35"/>
        <v>54000</v>
      </c>
      <c r="K92" s="37">
        <f t="shared" si="35"/>
        <v>54000</v>
      </c>
      <c r="L92" s="37">
        <f t="shared" si="35"/>
        <v>54000</v>
      </c>
      <c r="M92" s="37">
        <f>D92-SUM(F92:L92)</f>
        <v>55000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77000</v>
      </c>
      <c r="E93" s="109" t="s">
        <v>227</v>
      </c>
      <c r="F93" s="37">
        <f>ROUND($D93/12,-3)</f>
        <v>6000</v>
      </c>
      <c r="G93" s="37">
        <f t="shared" ref="G93:P93" si="36">ROUND($D93/12,-3)</f>
        <v>6000</v>
      </c>
      <c r="H93" s="37">
        <f t="shared" si="36"/>
        <v>6000</v>
      </c>
      <c r="I93" s="37">
        <f t="shared" si="36"/>
        <v>6000</v>
      </c>
      <c r="J93" s="37">
        <f t="shared" si="36"/>
        <v>6000</v>
      </c>
      <c r="K93" s="37">
        <f t="shared" si="36"/>
        <v>6000</v>
      </c>
      <c r="L93" s="37">
        <f t="shared" si="36"/>
        <v>6000</v>
      </c>
      <c r="M93" s="37">
        <f t="shared" si="36"/>
        <v>6000</v>
      </c>
      <c r="N93" s="37">
        <f t="shared" si="36"/>
        <v>6000</v>
      </c>
      <c r="O93" s="37">
        <f t="shared" si="36"/>
        <v>6000</v>
      </c>
      <c r="P93" s="37">
        <f t="shared" si="36"/>
        <v>6000</v>
      </c>
      <c r="Q93" s="37">
        <f>D93-SUM(F93:P93)</f>
        <v>11000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1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21340000</v>
      </c>
      <c r="E95" s="37"/>
      <c r="F95" s="37">
        <f>F2+F86-F88-F89-F90-F92-F93-F94</f>
        <v>6181000</v>
      </c>
      <c r="G95" s="37">
        <f t="shared" ref="G95:Q95" si="37">G2-G88-G89-G90-G92-G93-G94</f>
        <v>1461000</v>
      </c>
      <c r="H95" s="37">
        <f t="shared" si="37"/>
        <v>1572000</v>
      </c>
      <c r="I95" s="37">
        <f t="shared" si="37"/>
        <v>1779000</v>
      </c>
      <c r="J95" s="37">
        <f t="shared" si="37"/>
        <v>1466000</v>
      </c>
      <c r="K95" s="37">
        <f t="shared" si="37"/>
        <v>1466000</v>
      </c>
      <c r="L95" s="37">
        <f t="shared" si="37"/>
        <v>1480000</v>
      </c>
      <c r="M95" s="37">
        <f t="shared" si="37"/>
        <v>1465000</v>
      </c>
      <c r="N95" s="37">
        <f t="shared" si="37"/>
        <v>2833000</v>
      </c>
      <c r="O95" s="37">
        <f t="shared" si="37"/>
        <v>1508000</v>
      </c>
      <c r="P95" s="37">
        <f t="shared" si="37"/>
        <v>62000</v>
      </c>
      <c r="Q95" s="37">
        <f t="shared" si="37"/>
        <v>67000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0</v>
      </c>
    </row>
    <row r="99" spans="2:17" ht="32.4">
      <c r="B99" s="72" t="s">
        <v>235</v>
      </c>
      <c r="D99" s="30">
        <f>HLOOKUP(D1,縣庫撥款收入明細表!H:DD,5,FALSE)</f>
        <v>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0</v>
      </c>
    </row>
    <row r="102" spans="2:17" ht="32.4">
      <c r="B102" s="71" t="s">
        <v>238</v>
      </c>
      <c r="D102" s="30">
        <f>HLOOKUP(D1,縣庫撥款收入明細表!H:DD,16,FALSE)</f>
        <v>72000</v>
      </c>
    </row>
    <row r="103" spans="2:17" ht="32.4">
      <c r="B103" s="72" t="s">
        <v>239</v>
      </c>
      <c r="D103" s="30">
        <f>HLOOKUP(D1,縣庫撥款收入明細表!H:DD,17,FALSE)</f>
        <v>650000</v>
      </c>
    </row>
    <row r="104" spans="2:17" ht="32.4">
      <c r="B104" s="76" t="s">
        <v>240</v>
      </c>
      <c r="D104" s="30">
        <f>HLOOKUP(D1,縣庫撥款收入明細表!H:DD,18,FALSE)</f>
        <v>0</v>
      </c>
    </row>
    <row r="105" spans="2:17" ht="32.4">
      <c r="B105" s="72" t="s">
        <v>380</v>
      </c>
      <c r="D105" s="30">
        <f>HLOOKUP(D1,縣庫撥款收入明細表!H:DD,19,FALSE)</f>
        <v>0</v>
      </c>
    </row>
    <row r="106" spans="2:17" ht="32.4">
      <c r="B106" s="71" t="s">
        <v>241</v>
      </c>
      <c r="D106" s="30">
        <f>HLOOKUP(D1,縣庫撥款收入明細表!H:DD,20,FALSE)</f>
        <v>5000</v>
      </c>
    </row>
    <row r="107" spans="2:17" ht="32.4">
      <c r="B107" s="77" t="s">
        <v>242</v>
      </c>
      <c r="D107" s="30">
        <f>HLOOKUP(D1,縣庫撥款收入明細表!H:DD,21,FALSE)</f>
        <v>21340000</v>
      </c>
    </row>
    <row r="108" spans="2:17" ht="16.5" customHeight="1"/>
    <row r="109" spans="2:17" ht="16.5" customHeight="1">
      <c r="B109" s="4" t="s">
        <v>682</v>
      </c>
      <c r="D109" s="30">
        <f>D91-D76</f>
        <v>19267000</v>
      </c>
      <c r="F109" s="30">
        <f>F91-F76</f>
        <v>5757000</v>
      </c>
      <c r="G109" s="30">
        <f t="shared" ref="G109:Q109" si="38">G91-G76</f>
        <v>1287000</v>
      </c>
      <c r="H109" s="30">
        <f t="shared" si="38"/>
        <v>1398000</v>
      </c>
      <c r="I109" s="30">
        <f t="shared" si="38"/>
        <v>1605000</v>
      </c>
      <c r="J109" s="30">
        <f t="shared" si="38"/>
        <v>1292000</v>
      </c>
      <c r="K109" s="30">
        <f t="shared" si="38"/>
        <v>1292000</v>
      </c>
      <c r="L109" s="30">
        <f t="shared" si="38"/>
        <v>1306000</v>
      </c>
      <c r="M109" s="30">
        <f t="shared" si="38"/>
        <v>1292000</v>
      </c>
      <c r="N109" s="30">
        <f t="shared" si="38"/>
        <v>2605000</v>
      </c>
      <c r="O109" s="30">
        <f t="shared" si="38"/>
        <v>1287000</v>
      </c>
      <c r="P109" s="30">
        <f t="shared" si="38"/>
        <v>68000</v>
      </c>
      <c r="Q109" s="30">
        <f t="shared" si="38"/>
        <v>78000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44" priority="1" operator="lessThan">
      <formula>0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topLeftCell="A100"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631</v>
      </c>
      <c r="D1" s="240" t="str">
        <f>VLOOKUP(C1,學校編號!A:B,2,FALSE)</f>
        <v>631水璉國小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24116000</v>
      </c>
      <c r="E2" s="37"/>
      <c r="F2" s="37">
        <f>F48+F70+F76+F77+F83</f>
        <v>6971000</v>
      </c>
      <c r="G2" s="37">
        <f t="shared" ref="G2:Q2" si="0">G48+G70+G76+G77+G83</f>
        <v>1669000</v>
      </c>
      <c r="H2" s="37">
        <f t="shared" si="0"/>
        <v>1762000</v>
      </c>
      <c r="I2" s="37">
        <f t="shared" si="0"/>
        <v>2031000</v>
      </c>
      <c r="J2" s="37">
        <f t="shared" si="0"/>
        <v>1669000</v>
      </c>
      <c r="K2" s="37">
        <f t="shared" si="0"/>
        <v>1671000</v>
      </c>
      <c r="L2" s="37">
        <f t="shared" si="0"/>
        <v>1683000</v>
      </c>
      <c r="M2" s="37">
        <f t="shared" si="0"/>
        <v>1669000</v>
      </c>
      <c r="N2" s="37">
        <f t="shared" si="0"/>
        <v>3180000</v>
      </c>
      <c r="O2" s="37">
        <f t="shared" si="0"/>
        <v>1661000</v>
      </c>
      <c r="P2" s="37">
        <f t="shared" si="0"/>
        <v>76000</v>
      </c>
      <c r="Q2" s="37">
        <f t="shared" si="0"/>
        <v>74000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30000</v>
      </c>
      <c r="E8" s="37" t="s">
        <v>525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3000</v>
      </c>
      <c r="E9" s="37" t="s">
        <v>525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164000</v>
      </c>
      <c r="E13" s="37" t="s">
        <v>525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80000</v>
      </c>
      <c r="E14" s="37" t="s">
        <v>525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28000</v>
      </c>
      <c r="E15" s="37" t="s">
        <v>193</v>
      </c>
      <c r="F15" s="37">
        <f>ROUND($D15/2,-3)</f>
        <v>14000</v>
      </c>
      <c r="G15" s="37"/>
      <c r="H15" s="37"/>
      <c r="I15" s="37"/>
      <c r="J15" s="37"/>
      <c r="K15" s="37"/>
      <c r="L15" s="37">
        <f>D15-F15</f>
        <v>14000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0</v>
      </c>
      <c r="E16" s="37" t="s">
        <v>525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607000</v>
      </c>
      <c r="E25" s="108"/>
      <c r="F25" s="108">
        <f>ROUND(SUM(F3:F24),-3)</f>
        <v>62000</v>
      </c>
      <c r="G25" s="108">
        <f t="shared" ref="G25:P25" si="5">ROUND(SUM(G3:G24),-3)</f>
        <v>48000</v>
      </c>
      <c r="H25" s="108">
        <f t="shared" si="5"/>
        <v>48000</v>
      </c>
      <c r="I25" s="108">
        <f t="shared" si="5"/>
        <v>48000</v>
      </c>
      <c r="J25" s="108">
        <f t="shared" si="5"/>
        <v>48000</v>
      </c>
      <c r="K25" s="108">
        <f t="shared" si="5"/>
        <v>48000</v>
      </c>
      <c r="L25" s="108">
        <f t="shared" si="5"/>
        <v>62000</v>
      </c>
      <c r="M25" s="108">
        <f t="shared" si="5"/>
        <v>48000</v>
      </c>
      <c r="N25" s="108">
        <f t="shared" si="5"/>
        <v>48000</v>
      </c>
      <c r="O25" s="108">
        <f t="shared" si="5"/>
        <v>48000</v>
      </c>
      <c r="P25" s="108">
        <f t="shared" si="5"/>
        <v>48000</v>
      </c>
      <c r="Q25" s="108">
        <f t="shared" ref="Q25:Q33" si="6">D25-SUM(F25:P25)</f>
        <v>51000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7000</v>
      </c>
      <c r="E30" s="37" t="s">
        <v>525</v>
      </c>
      <c r="F30" s="37">
        <f t="shared" si="8"/>
        <v>583</v>
      </c>
      <c r="G30" s="37">
        <f t="shared" si="8"/>
        <v>583</v>
      </c>
      <c r="H30" s="37">
        <f t="shared" si="8"/>
        <v>583</v>
      </c>
      <c r="I30" s="37">
        <f t="shared" si="8"/>
        <v>583</v>
      </c>
      <c r="J30" s="37">
        <f t="shared" si="8"/>
        <v>583</v>
      </c>
      <c r="K30" s="37">
        <f t="shared" si="8"/>
        <v>583</v>
      </c>
      <c r="L30" s="37">
        <f t="shared" si="8"/>
        <v>583</v>
      </c>
      <c r="M30" s="37">
        <f t="shared" si="8"/>
        <v>583</v>
      </c>
      <c r="N30" s="37">
        <f t="shared" si="8"/>
        <v>583</v>
      </c>
      <c r="O30" s="37">
        <f t="shared" si="8"/>
        <v>583</v>
      </c>
      <c r="P30" s="37">
        <f t="shared" si="8"/>
        <v>583</v>
      </c>
      <c r="Q30" s="37">
        <f t="shared" si="6"/>
        <v>587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3000</v>
      </c>
      <c r="E31" s="37" t="s">
        <v>525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276000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23000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889000</v>
      </c>
      <c r="E48" s="37"/>
      <c r="F48" s="115">
        <f>F25+F37+F45+F47</f>
        <v>87000</v>
      </c>
      <c r="G48" s="115">
        <f t="shared" ref="G48:R48" si="14">G25+G37+G45+G47</f>
        <v>71000</v>
      </c>
      <c r="H48" s="115">
        <f t="shared" si="14"/>
        <v>71000</v>
      </c>
      <c r="I48" s="115">
        <f t="shared" si="14"/>
        <v>71000</v>
      </c>
      <c r="J48" s="115">
        <f t="shared" si="14"/>
        <v>71000</v>
      </c>
      <c r="K48" s="115">
        <f t="shared" si="14"/>
        <v>73000</v>
      </c>
      <c r="L48" s="115">
        <f t="shared" si="14"/>
        <v>85000</v>
      </c>
      <c r="M48" s="115">
        <f t="shared" si="14"/>
        <v>71000</v>
      </c>
      <c r="N48" s="115">
        <f t="shared" si="14"/>
        <v>73000</v>
      </c>
      <c r="O48" s="115">
        <f t="shared" si="14"/>
        <v>71000</v>
      </c>
      <c r="P48" s="115">
        <f t="shared" si="14"/>
        <v>71000</v>
      </c>
      <c r="Q48" s="115">
        <f t="shared" si="14"/>
        <v>74000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13388000</v>
      </c>
      <c r="E49" s="114" t="s">
        <v>202</v>
      </c>
      <c r="F49" s="37">
        <f>ROUND($D49/12*3,-3)</f>
        <v>3347000</v>
      </c>
      <c r="G49" s="37">
        <f>ROUND($D49/12,-3)</f>
        <v>1116000</v>
      </c>
      <c r="H49" s="37">
        <f t="shared" ref="H49:N53" si="15">ROUND($D49/12,-3)</f>
        <v>1116000</v>
      </c>
      <c r="I49" s="37">
        <f t="shared" si="15"/>
        <v>1116000</v>
      </c>
      <c r="J49" s="37">
        <f t="shared" si="15"/>
        <v>1116000</v>
      </c>
      <c r="K49" s="37">
        <f t="shared" si="15"/>
        <v>1116000</v>
      </c>
      <c r="L49" s="37">
        <f t="shared" si="15"/>
        <v>1116000</v>
      </c>
      <c r="M49" s="37">
        <f t="shared" si="15"/>
        <v>1116000</v>
      </c>
      <c r="N49" s="37">
        <f t="shared" si="15"/>
        <v>1116000</v>
      </c>
      <c r="O49" s="37">
        <f>D49-SUM(F49:N49)</f>
        <v>1113000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738000</v>
      </c>
      <c r="E51" s="114" t="s">
        <v>202</v>
      </c>
      <c r="F51" s="37">
        <f t="shared" si="16"/>
        <v>185000</v>
      </c>
      <c r="G51" s="37">
        <f t="shared" si="17"/>
        <v>62000</v>
      </c>
      <c r="H51" s="37">
        <f t="shared" si="15"/>
        <v>62000</v>
      </c>
      <c r="I51" s="37">
        <f t="shared" si="15"/>
        <v>62000</v>
      </c>
      <c r="J51" s="37">
        <f t="shared" si="15"/>
        <v>62000</v>
      </c>
      <c r="K51" s="37">
        <f t="shared" si="15"/>
        <v>62000</v>
      </c>
      <c r="L51" s="37">
        <f t="shared" si="15"/>
        <v>62000</v>
      </c>
      <c r="M51" s="37">
        <f t="shared" si="15"/>
        <v>62000</v>
      </c>
      <c r="N51" s="37">
        <f t="shared" si="15"/>
        <v>62000</v>
      </c>
      <c r="O51" s="37">
        <f t="shared" si="18"/>
        <v>57000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350000</v>
      </c>
      <c r="E60" s="37" t="s">
        <v>195</v>
      </c>
      <c r="F60" s="37">
        <f>D60</f>
        <v>350000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1809000</v>
      </c>
      <c r="E62" s="37" t="s">
        <v>197</v>
      </c>
      <c r="F62" s="37"/>
      <c r="G62" s="37"/>
      <c r="H62" s="37"/>
      <c r="I62" s="37">
        <f>ROUND($D62/5,-3)</f>
        <v>362000</v>
      </c>
      <c r="J62" s="37"/>
      <c r="K62" s="37"/>
      <c r="L62" s="37"/>
      <c r="M62" s="37"/>
      <c r="N62" s="37">
        <f>D62-I62</f>
        <v>1447000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1624000</v>
      </c>
      <c r="E63" s="37" t="s">
        <v>195</v>
      </c>
      <c r="F63" s="37">
        <f>D63</f>
        <v>1624000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1476000</v>
      </c>
      <c r="E64" s="114" t="s">
        <v>202</v>
      </c>
      <c r="F64" s="37">
        <f>ROUND($D64/12*3,-3)</f>
        <v>369000</v>
      </c>
      <c r="G64" s="37">
        <f>ROUND($D64/12,-3)</f>
        <v>123000</v>
      </c>
      <c r="H64" s="37">
        <f t="shared" ref="H64:N66" si="21">ROUND($D64/12,-3)</f>
        <v>123000</v>
      </c>
      <c r="I64" s="37">
        <f t="shared" si="21"/>
        <v>123000</v>
      </c>
      <c r="J64" s="37">
        <f t="shared" si="21"/>
        <v>123000</v>
      </c>
      <c r="K64" s="37">
        <f t="shared" si="21"/>
        <v>123000</v>
      </c>
      <c r="L64" s="37">
        <f t="shared" si="21"/>
        <v>123000</v>
      </c>
      <c r="M64" s="37">
        <f t="shared" si="21"/>
        <v>123000</v>
      </c>
      <c r="N64" s="37">
        <f t="shared" si="21"/>
        <v>123000</v>
      </c>
      <c r="O64" s="37">
        <f>D64-SUM(F64:N64)</f>
        <v>123000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374000</v>
      </c>
      <c r="E65" s="114" t="s">
        <v>202</v>
      </c>
      <c r="F65" s="37">
        <f t="shared" ref="F65:F66" si="22">ROUND($D65/12*3,-3)</f>
        <v>94000</v>
      </c>
      <c r="G65" s="37">
        <f t="shared" ref="G65:G66" si="23">ROUND($D65/12,-3)</f>
        <v>31000</v>
      </c>
      <c r="H65" s="37">
        <f t="shared" si="21"/>
        <v>31000</v>
      </c>
      <c r="I65" s="37">
        <f t="shared" si="21"/>
        <v>31000</v>
      </c>
      <c r="J65" s="37">
        <f t="shared" si="21"/>
        <v>31000</v>
      </c>
      <c r="K65" s="37">
        <f t="shared" si="21"/>
        <v>31000</v>
      </c>
      <c r="L65" s="37">
        <f t="shared" si="21"/>
        <v>31000</v>
      </c>
      <c r="M65" s="37">
        <f t="shared" si="21"/>
        <v>31000</v>
      </c>
      <c r="N65" s="37">
        <f t="shared" si="21"/>
        <v>31000</v>
      </c>
      <c r="O65" s="37">
        <f t="shared" ref="O65:O66" si="24">D65-SUM(F65:N65)</f>
        <v>32000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825000</v>
      </c>
      <c r="E66" s="114" t="s">
        <v>202</v>
      </c>
      <c r="F66" s="37">
        <f t="shared" si="22"/>
        <v>206000</v>
      </c>
      <c r="G66" s="37">
        <f t="shared" si="23"/>
        <v>69000</v>
      </c>
      <c r="H66" s="37">
        <f t="shared" si="21"/>
        <v>69000</v>
      </c>
      <c r="I66" s="37">
        <f t="shared" si="21"/>
        <v>69000</v>
      </c>
      <c r="J66" s="37">
        <f t="shared" si="21"/>
        <v>69000</v>
      </c>
      <c r="K66" s="37">
        <f t="shared" si="21"/>
        <v>69000</v>
      </c>
      <c r="L66" s="37">
        <f t="shared" si="21"/>
        <v>69000</v>
      </c>
      <c r="M66" s="37">
        <f t="shared" si="21"/>
        <v>69000</v>
      </c>
      <c r="N66" s="37">
        <f t="shared" si="21"/>
        <v>69000</v>
      </c>
      <c r="O66" s="37">
        <f t="shared" si="24"/>
        <v>67000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31000</v>
      </c>
      <c r="E67" s="37" t="s">
        <v>196</v>
      </c>
      <c r="F67" s="37"/>
      <c r="G67" s="37"/>
      <c r="H67" s="37">
        <f>D67</f>
        <v>31000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128000</v>
      </c>
      <c r="E68" s="37" t="s">
        <v>195</v>
      </c>
      <c r="F68" s="37">
        <f>D68</f>
        <v>128000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21063000</v>
      </c>
      <c r="E70" s="108"/>
      <c r="F70" s="108">
        <f t="shared" ref="F70:P70" si="25">ROUND(SUM(F49:F69),-3)</f>
        <v>6374000</v>
      </c>
      <c r="G70" s="108">
        <f t="shared" si="25"/>
        <v>1428000</v>
      </c>
      <c r="H70" s="108">
        <f t="shared" si="25"/>
        <v>1459000</v>
      </c>
      <c r="I70" s="108">
        <f t="shared" si="25"/>
        <v>1790000</v>
      </c>
      <c r="J70" s="108">
        <f t="shared" si="25"/>
        <v>1428000</v>
      </c>
      <c r="K70" s="108">
        <f t="shared" si="25"/>
        <v>1428000</v>
      </c>
      <c r="L70" s="108">
        <f t="shared" si="25"/>
        <v>1428000</v>
      </c>
      <c r="M70" s="108">
        <f t="shared" si="25"/>
        <v>1428000</v>
      </c>
      <c r="N70" s="108">
        <f t="shared" si="25"/>
        <v>2875000</v>
      </c>
      <c r="O70" s="108">
        <f t="shared" si="25"/>
        <v>1420000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1803000</v>
      </c>
      <c r="E72" s="114" t="s">
        <v>202</v>
      </c>
      <c r="F72" s="37">
        <f>ROUND($D72/12*3,-3)</f>
        <v>451000</v>
      </c>
      <c r="G72" s="37">
        <f>ROUND($D72/12,-3)</f>
        <v>150000</v>
      </c>
      <c r="H72" s="37">
        <f t="shared" ref="H72:N75" si="26">ROUND($D72/12,-3)</f>
        <v>150000</v>
      </c>
      <c r="I72" s="37">
        <f t="shared" si="26"/>
        <v>150000</v>
      </c>
      <c r="J72" s="37">
        <f t="shared" si="26"/>
        <v>150000</v>
      </c>
      <c r="K72" s="37">
        <f t="shared" si="26"/>
        <v>150000</v>
      </c>
      <c r="L72" s="37">
        <f t="shared" si="26"/>
        <v>150000</v>
      </c>
      <c r="M72" s="37">
        <f t="shared" si="26"/>
        <v>150000</v>
      </c>
      <c r="N72" s="37">
        <f t="shared" si="26"/>
        <v>150000</v>
      </c>
      <c r="O72" s="37">
        <f>D72-SUM(F72:N72)</f>
        <v>152000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237000</v>
      </c>
      <c r="E75" s="114" t="s">
        <v>202</v>
      </c>
      <c r="F75" s="37">
        <f>ROUND($D75/12*3,-3)</f>
        <v>59000</v>
      </c>
      <c r="G75" s="37">
        <f>ROUND($D75/12,-3)</f>
        <v>20000</v>
      </c>
      <c r="H75" s="37">
        <f t="shared" si="26"/>
        <v>20000</v>
      </c>
      <c r="I75" s="37">
        <f t="shared" si="26"/>
        <v>20000</v>
      </c>
      <c r="J75" s="37">
        <f t="shared" si="26"/>
        <v>20000</v>
      </c>
      <c r="K75" s="37">
        <f t="shared" si="26"/>
        <v>20000</v>
      </c>
      <c r="L75" s="37">
        <f t="shared" si="26"/>
        <v>20000</v>
      </c>
      <c r="M75" s="37">
        <f t="shared" si="26"/>
        <v>20000</v>
      </c>
      <c r="N75" s="37">
        <f t="shared" si="26"/>
        <v>20000</v>
      </c>
      <c r="O75" s="37">
        <f>D75-SUM(F75:N75)</f>
        <v>18000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2040000</v>
      </c>
      <c r="E76" s="108"/>
      <c r="F76" s="108">
        <f>ROUND(SUM(F71:F75),-3)</f>
        <v>510000</v>
      </c>
      <c r="G76" s="108">
        <f t="shared" ref="G76:N76" si="27">ROUND(SUM(G71:G75),-3)</f>
        <v>170000</v>
      </c>
      <c r="H76" s="108">
        <f t="shared" si="27"/>
        <v>170000</v>
      </c>
      <c r="I76" s="108">
        <f t="shared" si="27"/>
        <v>170000</v>
      </c>
      <c r="J76" s="108">
        <f t="shared" si="27"/>
        <v>170000</v>
      </c>
      <c r="K76" s="108">
        <f t="shared" si="27"/>
        <v>170000</v>
      </c>
      <c r="L76" s="108">
        <f t="shared" si="27"/>
        <v>170000</v>
      </c>
      <c r="M76" s="108">
        <f t="shared" si="27"/>
        <v>170000</v>
      </c>
      <c r="N76" s="108">
        <f t="shared" si="27"/>
        <v>170000</v>
      </c>
      <c r="O76" s="108">
        <f>D76-SUM(F76:N76)</f>
        <v>170000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124000</v>
      </c>
      <c r="E77" s="37" t="s">
        <v>681</v>
      </c>
      <c r="F77" s="224"/>
      <c r="G77" s="224"/>
      <c r="H77" s="224">
        <f>ROUND($D77/2,-3)</f>
        <v>62000</v>
      </c>
      <c r="I77" s="224"/>
      <c r="J77" s="224"/>
      <c r="K77" s="224"/>
      <c r="L77" s="224"/>
      <c r="M77" s="224"/>
      <c r="N77" s="224">
        <f>D77-H77</f>
        <v>62000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23227000</v>
      </c>
      <c r="E78" s="227"/>
      <c r="F78" s="227">
        <f>F76+F70+F77</f>
        <v>6884000</v>
      </c>
      <c r="G78" s="227">
        <f t="shared" ref="G78:Q78" si="29">G76+G70+G77</f>
        <v>1598000</v>
      </c>
      <c r="H78" s="227">
        <f t="shared" si="29"/>
        <v>1691000</v>
      </c>
      <c r="I78" s="227">
        <f t="shared" si="29"/>
        <v>1960000</v>
      </c>
      <c r="J78" s="227">
        <f t="shared" si="29"/>
        <v>1598000</v>
      </c>
      <c r="K78" s="227">
        <f t="shared" si="29"/>
        <v>1598000</v>
      </c>
      <c r="L78" s="227">
        <f t="shared" si="29"/>
        <v>1598000</v>
      </c>
      <c r="M78" s="227">
        <f t="shared" si="29"/>
        <v>1598000</v>
      </c>
      <c r="N78" s="227">
        <f t="shared" si="29"/>
        <v>3107000</v>
      </c>
      <c r="O78" s="227">
        <f t="shared" si="29"/>
        <v>1590000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24116000</v>
      </c>
      <c r="E87" s="37"/>
      <c r="F87" s="37">
        <f>F88+F89+F90+F91</f>
        <v>6971000</v>
      </c>
      <c r="G87" s="37">
        <f t="shared" ref="G87:Q87" si="32">G88+G89+G90+G91</f>
        <v>1669000</v>
      </c>
      <c r="H87" s="37">
        <f t="shared" si="32"/>
        <v>1762000</v>
      </c>
      <c r="I87" s="37">
        <f t="shared" si="32"/>
        <v>2031000</v>
      </c>
      <c r="J87" s="37">
        <f t="shared" si="32"/>
        <v>1669000</v>
      </c>
      <c r="K87" s="37">
        <f t="shared" si="32"/>
        <v>1671000</v>
      </c>
      <c r="L87" s="37">
        <f t="shared" si="32"/>
        <v>1683000</v>
      </c>
      <c r="M87" s="37">
        <f t="shared" si="32"/>
        <v>1669000</v>
      </c>
      <c r="N87" s="37">
        <f t="shared" si="32"/>
        <v>3180000</v>
      </c>
      <c r="O87" s="37">
        <f t="shared" si="32"/>
        <v>1661000</v>
      </c>
      <c r="P87" s="37">
        <f t="shared" si="32"/>
        <v>76000</v>
      </c>
      <c r="Q87" s="37">
        <f t="shared" si="32"/>
        <v>74000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0</v>
      </c>
      <c r="E88" s="108" t="s">
        <v>193</v>
      </c>
      <c r="F88" s="108">
        <f>ROUND($D88/2,-3)</f>
        <v>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2000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1000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24114000</v>
      </c>
      <c r="E91" s="108"/>
      <c r="F91" s="108">
        <f>F92+F93+F94+F95</f>
        <v>6971000</v>
      </c>
      <c r="G91" s="108">
        <f t="shared" ref="G91:Q91" si="34">G92+G93+G94+G95</f>
        <v>1669000</v>
      </c>
      <c r="H91" s="108">
        <f t="shared" si="34"/>
        <v>1762000</v>
      </c>
      <c r="I91" s="108">
        <f t="shared" si="34"/>
        <v>2031000</v>
      </c>
      <c r="J91" s="108">
        <f t="shared" si="34"/>
        <v>1669000</v>
      </c>
      <c r="K91" s="108">
        <f t="shared" si="34"/>
        <v>1671000</v>
      </c>
      <c r="L91" s="108">
        <f t="shared" si="34"/>
        <v>1682000</v>
      </c>
      <c r="M91" s="108">
        <f t="shared" si="34"/>
        <v>1669000</v>
      </c>
      <c r="N91" s="108">
        <f t="shared" si="34"/>
        <v>3180000</v>
      </c>
      <c r="O91" s="108">
        <f t="shared" si="34"/>
        <v>1661000</v>
      </c>
      <c r="P91" s="108">
        <f t="shared" si="34"/>
        <v>76000</v>
      </c>
      <c r="Q91" s="108">
        <f t="shared" si="34"/>
        <v>73000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2354000</v>
      </c>
      <c r="E92" s="114" t="s">
        <v>537</v>
      </c>
      <c r="F92" s="37">
        <f>ROUND($D92/12*5,-3)</f>
        <v>981000</v>
      </c>
      <c r="G92" s="37">
        <f>ROUND($D92/12,-3)</f>
        <v>196000</v>
      </c>
      <c r="H92" s="37">
        <f t="shared" ref="H92:L92" si="35">ROUND($D92/12,-3)</f>
        <v>196000</v>
      </c>
      <c r="I92" s="37">
        <f t="shared" si="35"/>
        <v>196000</v>
      </c>
      <c r="J92" s="37">
        <f t="shared" si="35"/>
        <v>196000</v>
      </c>
      <c r="K92" s="37">
        <f t="shared" si="35"/>
        <v>196000</v>
      </c>
      <c r="L92" s="37">
        <f t="shared" si="35"/>
        <v>196000</v>
      </c>
      <c r="M92" s="37">
        <f>D92-SUM(F92:L92)</f>
        <v>197000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0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1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21670000</v>
      </c>
      <c r="E95" s="37"/>
      <c r="F95" s="37">
        <f>F2+F86-F88-F89-F90-F92-F93-F94</f>
        <v>5982000</v>
      </c>
      <c r="G95" s="37">
        <f t="shared" ref="G95:Q95" si="37">G2-G88-G89-G90-G92-G93-G94</f>
        <v>1465000</v>
      </c>
      <c r="H95" s="37">
        <f t="shared" si="37"/>
        <v>1558000</v>
      </c>
      <c r="I95" s="37">
        <f t="shared" si="37"/>
        <v>1827000</v>
      </c>
      <c r="J95" s="37">
        <f t="shared" si="37"/>
        <v>1465000</v>
      </c>
      <c r="K95" s="37">
        <f t="shared" si="37"/>
        <v>1467000</v>
      </c>
      <c r="L95" s="37">
        <f t="shared" si="37"/>
        <v>1478000</v>
      </c>
      <c r="M95" s="37">
        <f t="shared" si="37"/>
        <v>1464000</v>
      </c>
      <c r="N95" s="37">
        <f t="shared" si="37"/>
        <v>3172000</v>
      </c>
      <c r="O95" s="37">
        <f t="shared" si="37"/>
        <v>1653000</v>
      </c>
      <c r="P95" s="37">
        <f t="shared" si="37"/>
        <v>68000</v>
      </c>
      <c r="Q95" s="37">
        <f t="shared" si="37"/>
        <v>71000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0</v>
      </c>
    </row>
    <row r="99" spans="2:17" ht="32.4">
      <c r="B99" s="72" t="s">
        <v>235</v>
      </c>
      <c r="D99" s="30">
        <f>HLOOKUP(D1,縣庫撥款收入明細表!H:DD,5,FALSE)</f>
        <v>700000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1004000</v>
      </c>
    </row>
    <row r="102" spans="2:17" ht="32.4">
      <c r="B102" s="71" t="s">
        <v>238</v>
      </c>
      <c r="D102" s="30">
        <f>HLOOKUP(D1,縣庫撥款收入明細表!H:DD,16,FALSE)</f>
        <v>84000</v>
      </c>
    </row>
    <row r="103" spans="2:17" ht="32.4">
      <c r="B103" s="72" t="s">
        <v>239</v>
      </c>
      <c r="D103" s="30">
        <f>HLOOKUP(D1,縣庫撥款收入明細表!H:DD,17,FALSE)</f>
        <v>650000</v>
      </c>
    </row>
    <row r="104" spans="2:17" ht="32.4">
      <c r="B104" s="76" t="s">
        <v>240</v>
      </c>
      <c r="D104" s="30">
        <f>HLOOKUP(D1,縣庫撥款收入明細表!H:DD,18,FALSE)</f>
        <v>0</v>
      </c>
    </row>
    <row r="105" spans="2:17" ht="32.4">
      <c r="B105" s="72" t="s">
        <v>380</v>
      </c>
      <c r="D105" s="30">
        <f>HLOOKUP(D1,縣庫撥款收入明細表!H:DD,19,FALSE)</f>
        <v>0</v>
      </c>
    </row>
    <row r="106" spans="2:17" ht="32.4">
      <c r="B106" s="71" t="s">
        <v>241</v>
      </c>
      <c r="D106" s="30">
        <f>HLOOKUP(D1,縣庫撥款收入明細表!H:DD,20,FALSE)</f>
        <v>6000</v>
      </c>
    </row>
    <row r="107" spans="2:17" ht="32.4">
      <c r="B107" s="77" t="s">
        <v>242</v>
      </c>
      <c r="D107" s="30">
        <f>HLOOKUP(D1,縣庫撥款收入明細表!H:DD,21,FALSE)</f>
        <v>21670000</v>
      </c>
    </row>
    <row r="108" spans="2:17" ht="16.5" customHeight="1"/>
    <row r="109" spans="2:17" ht="16.5" customHeight="1">
      <c r="B109" s="4" t="s">
        <v>682</v>
      </c>
      <c r="D109" s="30">
        <f>D91-D76</f>
        <v>22074000</v>
      </c>
      <c r="F109" s="30">
        <f>F91-F76</f>
        <v>6461000</v>
      </c>
      <c r="G109" s="30">
        <f t="shared" ref="G109:Q109" si="38">G91-G76</f>
        <v>1499000</v>
      </c>
      <c r="H109" s="30">
        <f t="shared" si="38"/>
        <v>1592000</v>
      </c>
      <c r="I109" s="30">
        <f t="shared" si="38"/>
        <v>1861000</v>
      </c>
      <c r="J109" s="30">
        <f t="shared" si="38"/>
        <v>1499000</v>
      </c>
      <c r="K109" s="30">
        <f t="shared" si="38"/>
        <v>1501000</v>
      </c>
      <c r="L109" s="30">
        <f t="shared" si="38"/>
        <v>1512000</v>
      </c>
      <c r="M109" s="30">
        <f t="shared" si="38"/>
        <v>1499000</v>
      </c>
      <c r="N109" s="30">
        <f t="shared" si="38"/>
        <v>3010000</v>
      </c>
      <c r="O109" s="30">
        <f t="shared" si="38"/>
        <v>1491000</v>
      </c>
      <c r="P109" s="30">
        <f t="shared" si="38"/>
        <v>76000</v>
      </c>
      <c r="Q109" s="30">
        <f t="shared" si="38"/>
        <v>73000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42" priority="1" operator="lessThan">
      <formula>0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632</v>
      </c>
      <c r="D1" s="240" t="str">
        <f>VLOOKUP(C1,學校編號!A:B,2,FALSE)</f>
        <v>632溪口國小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20882000</v>
      </c>
      <c r="E2" s="37"/>
      <c r="F2" s="37">
        <f>F48+F70+F76+F77+F83</f>
        <v>6081000</v>
      </c>
      <c r="G2" s="37">
        <f t="shared" ref="G2:Q2" si="0">G48+G70+G76+G77+G83</f>
        <v>1446000</v>
      </c>
      <c r="H2" s="37">
        <f t="shared" si="0"/>
        <v>1503000</v>
      </c>
      <c r="I2" s="37">
        <f t="shared" si="0"/>
        <v>1758000</v>
      </c>
      <c r="J2" s="37">
        <f t="shared" si="0"/>
        <v>1446000</v>
      </c>
      <c r="K2" s="37">
        <f t="shared" si="0"/>
        <v>1448000</v>
      </c>
      <c r="L2" s="37">
        <f t="shared" si="0"/>
        <v>1467000</v>
      </c>
      <c r="M2" s="37">
        <f t="shared" si="0"/>
        <v>1446000</v>
      </c>
      <c r="N2" s="37">
        <f t="shared" si="0"/>
        <v>2730000</v>
      </c>
      <c r="O2" s="37">
        <f t="shared" si="0"/>
        <v>1431000</v>
      </c>
      <c r="P2" s="37">
        <f t="shared" si="0"/>
        <v>67000</v>
      </c>
      <c r="Q2" s="37">
        <f t="shared" si="0"/>
        <v>59000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101000</v>
      </c>
      <c r="E3" s="37" t="s">
        <v>525</v>
      </c>
      <c r="F3" s="37">
        <f t="shared" ref="F3:P17" si="1">ROUND($D3/12,0)</f>
        <v>8417</v>
      </c>
      <c r="G3" s="37">
        <f t="shared" si="1"/>
        <v>8417</v>
      </c>
      <c r="H3" s="37">
        <f t="shared" si="1"/>
        <v>8417</v>
      </c>
      <c r="I3" s="37">
        <f t="shared" si="1"/>
        <v>8417</v>
      </c>
      <c r="J3" s="37">
        <f t="shared" si="1"/>
        <v>8417</v>
      </c>
      <c r="K3" s="37">
        <f t="shared" si="1"/>
        <v>8417</v>
      </c>
      <c r="L3" s="37">
        <f t="shared" si="1"/>
        <v>8417</v>
      </c>
      <c r="M3" s="37">
        <f t="shared" si="1"/>
        <v>8417</v>
      </c>
      <c r="N3" s="37">
        <f t="shared" si="1"/>
        <v>8417</v>
      </c>
      <c r="O3" s="37">
        <f t="shared" si="1"/>
        <v>8417</v>
      </c>
      <c r="P3" s="37">
        <f t="shared" si="1"/>
        <v>8417</v>
      </c>
      <c r="Q3" s="37">
        <f t="shared" ref="Q3:Q10" si="2">D3-SUM(F3:P3)</f>
        <v>8413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43000</v>
      </c>
      <c r="E4" s="37" t="s">
        <v>525</v>
      </c>
      <c r="F4" s="37">
        <f t="shared" si="1"/>
        <v>3583</v>
      </c>
      <c r="G4" s="37">
        <f t="shared" si="1"/>
        <v>3583</v>
      </c>
      <c r="H4" s="37">
        <f t="shared" si="1"/>
        <v>3583</v>
      </c>
      <c r="I4" s="37">
        <f t="shared" si="1"/>
        <v>3583</v>
      </c>
      <c r="J4" s="37">
        <f t="shared" si="1"/>
        <v>3583</v>
      </c>
      <c r="K4" s="37">
        <f t="shared" si="1"/>
        <v>3583</v>
      </c>
      <c r="L4" s="37">
        <f t="shared" si="1"/>
        <v>3583</v>
      </c>
      <c r="M4" s="37">
        <f t="shared" si="1"/>
        <v>3583</v>
      </c>
      <c r="N4" s="37">
        <f t="shared" si="1"/>
        <v>3583</v>
      </c>
      <c r="O4" s="37">
        <f t="shared" si="1"/>
        <v>3583</v>
      </c>
      <c r="P4" s="37">
        <f t="shared" si="1"/>
        <v>3583</v>
      </c>
      <c r="Q4" s="37">
        <f t="shared" si="2"/>
        <v>3587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63000</v>
      </c>
      <c r="E7" s="37" t="s">
        <v>525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80000</v>
      </c>
      <c r="E14" s="37" t="s">
        <v>525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24000</v>
      </c>
      <c r="E15" s="37" t="s">
        <v>193</v>
      </c>
      <c r="F15" s="37">
        <f>ROUND($D15/2,-3)</f>
        <v>12000</v>
      </c>
      <c r="G15" s="37"/>
      <c r="H15" s="37"/>
      <c r="I15" s="37"/>
      <c r="J15" s="37"/>
      <c r="K15" s="37"/>
      <c r="L15" s="37">
        <f>D15-F15</f>
        <v>12000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41000</v>
      </c>
      <c r="E17" s="37" t="s">
        <v>525</v>
      </c>
      <c r="F17" s="37">
        <f>ROUND($D17/12,0)</f>
        <v>3417</v>
      </c>
      <c r="G17" s="37">
        <f t="shared" si="1"/>
        <v>3417</v>
      </c>
      <c r="H17" s="37">
        <f t="shared" si="1"/>
        <v>3417</v>
      </c>
      <c r="I17" s="37">
        <f t="shared" si="1"/>
        <v>3417</v>
      </c>
      <c r="J17" s="37">
        <f t="shared" si="1"/>
        <v>3417</v>
      </c>
      <c r="K17" s="37">
        <f t="shared" si="1"/>
        <v>3417</v>
      </c>
      <c r="L17" s="37">
        <f t="shared" si="1"/>
        <v>3417</v>
      </c>
      <c r="M17" s="37">
        <f t="shared" si="1"/>
        <v>3417</v>
      </c>
      <c r="N17" s="37">
        <f t="shared" si="1"/>
        <v>3417</v>
      </c>
      <c r="O17" s="37">
        <f t="shared" si="1"/>
        <v>3417</v>
      </c>
      <c r="P17" s="37">
        <f t="shared" si="1"/>
        <v>3417</v>
      </c>
      <c r="Q17" s="37">
        <f>D17-SUM(F17:P17)</f>
        <v>3413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18000</v>
      </c>
      <c r="E24" s="37" t="s">
        <v>193</v>
      </c>
      <c r="F24" s="37">
        <f>ROUND($D24/2,-3)</f>
        <v>9000</v>
      </c>
      <c r="G24" s="37"/>
      <c r="H24" s="37"/>
      <c r="I24" s="37"/>
      <c r="J24" s="37"/>
      <c r="K24" s="37"/>
      <c r="L24" s="37">
        <f>D24-F24</f>
        <v>9000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534000</v>
      </c>
      <c r="E25" s="108"/>
      <c r="F25" s="108">
        <f>ROUND(SUM(F3:F24),-3)</f>
        <v>62000</v>
      </c>
      <c r="G25" s="108">
        <f t="shared" ref="G25:P25" si="5">ROUND(SUM(G3:G24),-3)</f>
        <v>41000</v>
      </c>
      <c r="H25" s="108">
        <f t="shared" si="5"/>
        <v>41000</v>
      </c>
      <c r="I25" s="108">
        <f t="shared" si="5"/>
        <v>41000</v>
      </c>
      <c r="J25" s="108">
        <f t="shared" si="5"/>
        <v>41000</v>
      </c>
      <c r="K25" s="108">
        <f t="shared" si="5"/>
        <v>41000</v>
      </c>
      <c r="L25" s="108">
        <f t="shared" si="5"/>
        <v>62000</v>
      </c>
      <c r="M25" s="108">
        <f t="shared" si="5"/>
        <v>41000</v>
      </c>
      <c r="N25" s="108">
        <f t="shared" si="5"/>
        <v>41000</v>
      </c>
      <c r="O25" s="108">
        <f t="shared" si="5"/>
        <v>41000</v>
      </c>
      <c r="P25" s="108">
        <f t="shared" si="5"/>
        <v>41000</v>
      </c>
      <c r="Q25" s="108">
        <f t="shared" ref="Q25:Q33" si="6">D25-SUM(F25:P25)</f>
        <v>41000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235000</v>
      </c>
      <c r="E27" s="37" t="s">
        <v>525</v>
      </c>
      <c r="F27" s="37">
        <f t="shared" ref="F27:P33" si="8">ROUND($D27/12,0)</f>
        <v>19583</v>
      </c>
      <c r="G27" s="37">
        <f t="shared" si="8"/>
        <v>19583</v>
      </c>
      <c r="H27" s="37">
        <f t="shared" si="8"/>
        <v>19583</v>
      </c>
      <c r="I27" s="37">
        <f t="shared" si="8"/>
        <v>19583</v>
      </c>
      <c r="J27" s="37">
        <f t="shared" si="8"/>
        <v>19583</v>
      </c>
      <c r="K27" s="37">
        <f t="shared" si="8"/>
        <v>19583</v>
      </c>
      <c r="L27" s="37">
        <f t="shared" si="8"/>
        <v>19583</v>
      </c>
      <c r="M27" s="37">
        <f t="shared" si="8"/>
        <v>19583</v>
      </c>
      <c r="N27" s="37">
        <f t="shared" si="8"/>
        <v>19583</v>
      </c>
      <c r="O27" s="37">
        <f t="shared" si="8"/>
        <v>19583</v>
      </c>
      <c r="P27" s="37">
        <f t="shared" si="8"/>
        <v>19583</v>
      </c>
      <c r="Q27" s="37">
        <f t="shared" si="6"/>
        <v>19587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17000</v>
      </c>
      <c r="E29" s="37" t="s">
        <v>525</v>
      </c>
      <c r="F29" s="37">
        <f t="shared" si="8"/>
        <v>1417</v>
      </c>
      <c r="G29" s="37">
        <f t="shared" si="8"/>
        <v>1417</v>
      </c>
      <c r="H29" s="37">
        <f t="shared" si="8"/>
        <v>1417</v>
      </c>
      <c r="I29" s="37">
        <f t="shared" si="8"/>
        <v>1417</v>
      </c>
      <c r="J29" s="37">
        <f t="shared" si="8"/>
        <v>1417</v>
      </c>
      <c r="K29" s="37">
        <f t="shared" si="8"/>
        <v>1417</v>
      </c>
      <c r="L29" s="37">
        <f t="shared" si="8"/>
        <v>1417</v>
      </c>
      <c r="M29" s="37">
        <f t="shared" si="8"/>
        <v>1417</v>
      </c>
      <c r="N29" s="37">
        <f t="shared" si="8"/>
        <v>1417</v>
      </c>
      <c r="O29" s="37">
        <f t="shared" si="8"/>
        <v>1417</v>
      </c>
      <c r="P29" s="37">
        <f t="shared" si="8"/>
        <v>1417</v>
      </c>
      <c r="Q29" s="37">
        <f t="shared" si="6"/>
        <v>1413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4000</v>
      </c>
      <c r="E30" s="37" t="s">
        <v>525</v>
      </c>
      <c r="F30" s="37">
        <f t="shared" si="8"/>
        <v>333</v>
      </c>
      <c r="G30" s="37">
        <f t="shared" si="8"/>
        <v>333</v>
      </c>
      <c r="H30" s="37">
        <f t="shared" si="8"/>
        <v>333</v>
      </c>
      <c r="I30" s="37">
        <f t="shared" si="8"/>
        <v>333</v>
      </c>
      <c r="J30" s="37">
        <f t="shared" si="8"/>
        <v>333</v>
      </c>
      <c r="K30" s="37">
        <f t="shared" si="8"/>
        <v>333</v>
      </c>
      <c r="L30" s="37">
        <f t="shared" si="8"/>
        <v>333</v>
      </c>
      <c r="M30" s="37">
        <f t="shared" si="8"/>
        <v>333</v>
      </c>
      <c r="N30" s="37">
        <f t="shared" si="8"/>
        <v>333</v>
      </c>
      <c r="O30" s="37">
        <f t="shared" si="8"/>
        <v>333</v>
      </c>
      <c r="P30" s="37">
        <f t="shared" si="8"/>
        <v>333</v>
      </c>
      <c r="Q30" s="37">
        <f t="shared" si="6"/>
        <v>337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2000</v>
      </c>
      <c r="E31" s="37" t="s">
        <v>525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258000</v>
      </c>
      <c r="E37" s="108"/>
      <c r="F37" s="108">
        <f t="shared" ref="F37:P37" si="9">ROUND(SUM(F26:F36),-3)</f>
        <v>22000</v>
      </c>
      <c r="G37" s="108">
        <f t="shared" si="9"/>
        <v>22000</v>
      </c>
      <c r="H37" s="108">
        <f t="shared" si="9"/>
        <v>22000</v>
      </c>
      <c r="I37" s="108">
        <f t="shared" si="9"/>
        <v>22000</v>
      </c>
      <c r="J37" s="108">
        <f t="shared" si="9"/>
        <v>22000</v>
      </c>
      <c r="K37" s="108">
        <f t="shared" si="9"/>
        <v>22000</v>
      </c>
      <c r="L37" s="108">
        <f t="shared" si="9"/>
        <v>22000</v>
      </c>
      <c r="M37" s="108">
        <f t="shared" si="9"/>
        <v>22000</v>
      </c>
      <c r="N37" s="108">
        <f t="shared" si="9"/>
        <v>22000</v>
      </c>
      <c r="O37" s="108">
        <f t="shared" si="9"/>
        <v>22000</v>
      </c>
      <c r="P37" s="108">
        <f t="shared" si="9"/>
        <v>22000</v>
      </c>
      <c r="Q37" s="108">
        <f>D37-SUM(F37:P37)</f>
        <v>16000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798000</v>
      </c>
      <c r="E48" s="37"/>
      <c r="F48" s="115">
        <f>F25+F37+F45+F47</f>
        <v>86000</v>
      </c>
      <c r="G48" s="115">
        <f t="shared" ref="G48:R48" si="14">G25+G37+G45+G47</f>
        <v>63000</v>
      </c>
      <c r="H48" s="115">
        <f t="shared" si="14"/>
        <v>63000</v>
      </c>
      <c r="I48" s="115">
        <f t="shared" si="14"/>
        <v>63000</v>
      </c>
      <c r="J48" s="115">
        <f t="shared" si="14"/>
        <v>63000</v>
      </c>
      <c r="K48" s="115">
        <f t="shared" si="14"/>
        <v>65000</v>
      </c>
      <c r="L48" s="115">
        <f t="shared" si="14"/>
        <v>84000</v>
      </c>
      <c r="M48" s="115">
        <f t="shared" si="14"/>
        <v>63000</v>
      </c>
      <c r="N48" s="115">
        <f t="shared" si="14"/>
        <v>65000</v>
      </c>
      <c r="O48" s="115">
        <f t="shared" si="14"/>
        <v>63000</v>
      </c>
      <c r="P48" s="115">
        <f t="shared" si="14"/>
        <v>63000</v>
      </c>
      <c r="Q48" s="115">
        <f t="shared" si="14"/>
        <v>57000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11265000</v>
      </c>
      <c r="E49" s="114" t="s">
        <v>202</v>
      </c>
      <c r="F49" s="37">
        <f>ROUND($D49/12*3,-3)</f>
        <v>2816000</v>
      </c>
      <c r="G49" s="37">
        <f>ROUND($D49/12,-3)</f>
        <v>939000</v>
      </c>
      <c r="H49" s="37">
        <f t="shared" ref="H49:N53" si="15">ROUND($D49/12,-3)</f>
        <v>939000</v>
      </c>
      <c r="I49" s="37">
        <f t="shared" si="15"/>
        <v>939000</v>
      </c>
      <c r="J49" s="37">
        <f t="shared" si="15"/>
        <v>939000</v>
      </c>
      <c r="K49" s="37">
        <f t="shared" si="15"/>
        <v>939000</v>
      </c>
      <c r="L49" s="37">
        <f t="shared" si="15"/>
        <v>939000</v>
      </c>
      <c r="M49" s="37">
        <f t="shared" si="15"/>
        <v>939000</v>
      </c>
      <c r="N49" s="37">
        <f t="shared" si="15"/>
        <v>939000</v>
      </c>
      <c r="O49" s="37">
        <f>D49-SUM(F49:N49)</f>
        <v>937000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0</v>
      </c>
      <c r="E51" s="114" t="s">
        <v>202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5"/>
        <v>0</v>
      </c>
      <c r="N51" s="37">
        <f t="shared" si="15"/>
        <v>0</v>
      </c>
      <c r="O51" s="37">
        <f t="shared" si="18"/>
        <v>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0</v>
      </c>
      <c r="E52" s="114" t="s">
        <v>202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5"/>
        <v>0</v>
      </c>
      <c r="N52" s="37">
        <f t="shared" si="15"/>
        <v>0</v>
      </c>
      <c r="O52" s="37">
        <f t="shared" si="18"/>
        <v>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22000</v>
      </c>
      <c r="E54" s="37" t="s">
        <v>525</v>
      </c>
      <c r="F54" s="37">
        <f t="shared" ref="F54:P61" si="19">ROUND($D54/12,0)</f>
        <v>1833</v>
      </c>
      <c r="G54" s="37">
        <f t="shared" si="19"/>
        <v>1833</v>
      </c>
      <c r="H54" s="37">
        <f t="shared" si="19"/>
        <v>1833</v>
      </c>
      <c r="I54" s="37">
        <f t="shared" si="19"/>
        <v>1833</v>
      </c>
      <c r="J54" s="37">
        <f t="shared" si="19"/>
        <v>1833</v>
      </c>
      <c r="K54" s="37">
        <f t="shared" si="19"/>
        <v>1833</v>
      </c>
      <c r="L54" s="37">
        <f t="shared" si="19"/>
        <v>1833</v>
      </c>
      <c r="M54" s="37">
        <f t="shared" si="19"/>
        <v>1833</v>
      </c>
      <c r="N54" s="37">
        <f t="shared" si="19"/>
        <v>1833</v>
      </c>
      <c r="O54" s="37">
        <f t="shared" si="19"/>
        <v>1833</v>
      </c>
      <c r="P54" s="37">
        <f t="shared" si="19"/>
        <v>1833</v>
      </c>
      <c r="Q54" s="37">
        <f t="shared" ref="Q54:Q61" si="20">D54-SUM(F54:P54)</f>
        <v>1837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368000</v>
      </c>
      <c r="E60" s="37" t="s">
        <v>195</v>
      </c>
      <c r="F60" s="37">
        <f>D60</f>
        <v>368000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1560000</v>
      </c>
      <c r="E62" s="37" t="s">
        <v>197</v>
      </c>
      <c r="F62" s="37"/>
      <c r="G62" s="37"/>
      <c r="H62" s="37"/>
      <c r="I62" s="37">
        <f>ROUND($D62/5,-3)</f>
        <v>312000</v>
      </c>
      <c r="J62" s="37"/>
      <c r="K62" s="37"/>
      <c r="L62" s="37"/>
      <c r="M62" s="37"/>
      <c r="N62" s="37">
        <f>D62-I62</f>
        <v>1248000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1378000</v>
      </c>
      <c r="E63" s="37" t="s">
        <v>195</v>
      </c>
      <c r="F63" s="37">
        <f>D63</f>
        <v>1378000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1256000</v>
      </c>
      <c r="E64" s="114" t="s">
        <v>202</v>
      </c>
      <c r="F64" s="37">
        <f>ROUND($D64/12*3,-3)</f>
        <v>314000</v>
      </c>
      <c r="G64" s="37">
        <f>ROUND($D64/12,-3)</f>
        <v>105000</v>
      </c>
      <c r="H64" s="37">
        <f t="shared" ref="H64:N66" si="21">ROUND($D64/12,-3)</f>
        <v>105000</v>
      </c>
      <c r="I64" s="37">
        <f t="shared" si="21"/>
        <v>105000</v>
      </c>
      <c r="J64" s="37">
        <f t="shared" si="21"/>
        <v>105000</v>
      </c>
      <c r="K64" s="37">
        <f t="shared" si="21"/>
        <v>105000</v>
      </c>
      <c r="L64" s="37">
        <f t="shared" si="21"/>
        <v>105000</v>
      </c>
      <c r="M64" s="37">
        <f t="shared" si="21"/>
        <v>105000</v>
      </c>
      <c r="N64" s="37">
        <f t="shared" si="21"/>
        <v>105000</v>
      </c>
      <c r="O64" s="37">
        <f>D64-SUM(F64:N64)</f>
        <v>102000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318000</v>
      </c>
      <c r="E65" s="114" t="s">
        <v>202</v>
      </c>
      <c r="F65" s="37">
        <f t="shared" ref="F65:F66" si="22">ROUND($D65/12*3,-3)</f>
        <v>80000</v>
      </c>
      <c r="G65" s="37">
        <f t="shared" ref="G65:G66" si="23">ROUND($D65/12,-3)</f>
        <v>27000</v>
      </c>
      <c r="H65" s="37">
        <f t="shared" si="21"/>
        <v>27000</v>
      </c>
      <c r="I65" s="37">
        <f t="shared" si="21"/>
        <v>27000</v>
      </c>
      <c r="J65" s="37">
        <f t="shared" si="21"/>
        <v>27000</v>
      </c>
      <c r="K65" s="37">
        <f t="shared" si="21"/>
        <v>27000</v>
      </c>
      <c r="L65" s="37">
        <f t="shared" si="21"/>
        <v>27000</v>
      </c>
      <c r="M65" s="37">
        <f t="shared" si="21"/>
        <v>27000</v>
      </c>
      <c r="N65" s="37">
        <f t="shared" si="21"/>
        <v>27000</v>
      </c>
      <c r="O65" s="37">
        <f t="shared" ref="O65:O66" si="24">D65-SUM(F65:N65)</f>
        <v>22000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703000</v>
      </c>
      <c r="E66" s="114" t="s">
        <v>202</v>
      </c>
      <c r="F66" s="37">
        <f t="shared" si="22"/>
        <v>176000</v>
      </c>
      <c r="G66" s="37">
        <f t="shared" si="23"/>
        <v>59000</v>
      </c>
      <c r="H66" s="37">
        <f t="shared" si="21"/>
        <v>59000</v>
      </c>
      <c r="I66" s="37">
        <f t="shared" si="21"/>
        <v>59000</v>
      </c>
      <c r="J66" s="37">
        <f t="shared" si="21"/>
        <v>59000</v>
      </c>
      <c r="K66" s="37">
        <f t="shared" si="21"/>
        <v>59000</v>
      </c>
      <c r="L66" s="37">
        <f t="shared" si="21"/>
        <v>59000</v>
      </c>
      <c r="M66" s="37">
        <f t="shared" si="21"/>
        <v>59000</v>
      </c>
      <c r="N66" s="37">
        <f t="shared" si="21"/>
        <v>59000</v>
      </c>
      <c r="O66" s="37">
        <f t="shared" si="24"/>
        <v>55000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22000</v>
      </c>
      <c r="E67" s="37" t="s">
        <v>196</v>
      </c>
      <c r="F67" s="37"/>
      <c r="G67" s="37"/>
      <c r="H67" s="37">
        <f>D67</f>
        <v>22000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112000</v>
      </c>
      <c r="E68" s="37" t="s">
        <v>195</v>
      </c>
      <c r="F68" s="37">
        <f>D68</f>
        <v>112000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17028000</v>
      </c>
      <c r="E70" s="108"/>
      <c r="F70" s="108">
        <f t="shared" ref="F70:P70" si="25">ROUND(SUM(F49:F69),-3)</f>
        <v>5248000</v>
      </c>
      <c r="G70" s="108">
        <f t="shared" si="25"/>
        <v>1134000</v>
      </c>
      <c r="H70" s="108">
        <f t="shared" si="25"/>
        <v>1156000</v>
      </c>
      <c r="I70" s="108">
        <f t="shared" si="25"/>
        <v>1446000</v>
      </c>
      <c r="J70" s="108">
        <f t="shared" si="25"/>
        <v>1134000</v>
      </c>
      <c r="K70" s="108">
        <f t="shared" si="25"/>
        <v>1134000</v>
      </c>
      <c r="L70" s="108">
        <f t="shared" si="25"/>
        <v>1134000</v>
      </c>
      <c r="M70" s="108">
        <f t="shared" si="25"/>
        <v>1134000</v>
      </c>
      <c r="N70" s="108">
        <f t="shared" si="25"/>
        <v>2382000</v>
      </c>
      <c r="O70" s="108">
        <f t="shared" si="25"/>
        <v>1120000</v>
      </c>
      <c r="P70" s="108">
        <f t="shared" si="25"/>
        <v>4000</v>
      </c>
      <c r="Q70" s="108">
        <f>D70-SUM(F70:P70)</f>
        <v>2000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2431000</v>
      </c>
      <c r="E72" s="114" t="s">
        <v>202</v>
      </c>
      <c r="F72" s="37">
        <f>ROUND($D72/12*3,-3)</f>
        <v>608000</v>
      </c>
      <c r="G72" s="37">
        <f>ROUND($D72/12,-3)</f>
        <v>203000</v>
      </c>
      <c r="H72" s="37">
        <f t="shared" ref="H72:N75" si="26">ROUND($D72/12,-3)</f>
        <v>203000</v>
      </c>
      <c r="I72" s="37">
        <f t="shared" si="26"/>
        <v>203000</v>
      </c>
      <c r="J72" s="37">
        <f t="shared" si="26"/>
        <v>203000</v>
      </c>
      <c r="K72" s="37">
        <f t="shared" si="26"/>
        <v>203000</v>
      </c>
      <c r="L72" s="37">
        <f t="shared" si="26"/>
        <v>203000</v>
      </c>
      <c r="M72" s="37">
        <f t="shared" si="26"/>
        <v>203000</v>
      </c>
      <c r="N72" s="37">
        <f t="shared" si="26"/>
        <v>203000</v>
      </c>
      <c r="O72" s="37">
        <f>D72-SUM(F72:N72)</f>
        <v>199000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556000</v>
      </c>
      <c r="E75" s="114" t="s">
        <v>202</v>
      </c>
      <c r="F75" s="37">
        <f>ROUND($D75/12*3,-3)</f>
        <v>139000</v>
      </c>
      <c r="G75" s="37">
        <f>ROUND($D75/12,-3)</f>
        <v>46000</v>
      </c>
      <c r="H75" s="37">
        <f t="shared" si="26"/>
        <v>46000</v>
      </c>
      <c r="I75" s="37">
        <f t="shared" si="26"/>
        <v>46000</v>
      </c>
      <c r="J75" s="37">
        <f t="shared" si="26"/>
        <v>46000</v>
      </c>
      <c r="K75" s="37">
        <f t="shared" si="26"/>
        <v>46000</v>
      </c>
      <c r="L75" s="37">
        <f t="shared" si="26"/>
        <v>46000</v>
      </c>
      <c r="M75" s="37">
        <f t="shared" si="26"/>
        <v>46000</v>
      </c>
      <c r="N75" s="37">
        <f t="shared" si="26"/>
        <v>46000</v>
      </c>
      <c r="O75" s="37">
        <f>D75-SUM(F75:N75)</f>
        <v>49000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2987000</v>
      </c>
      <c r="E76" s="108"/>
      <c r="F76" s="108">
        <f>ROUND(SUM(F71:F75),-3)</f>
        <v>747000</v>
      </c>
      <c r="G76" s="108">
        <f t="shared" ref="G76:N76" si="27">ROUND(SUM(G71:G75),-3)</f>
        <v>249000</v>
      </c>
      <c r="H76" s="108">
        <f t="shared" si="27"/>
        <v>249000</v>
      </c>
      <c r="I76" s="108">
        <f t="shared" si="27"/>
        <v>249000</v>
      </c>
      <c r="J76" s="108">
        <f t="shared" si="27"/>
        <v>249000</v>
      </c>
      <c r="K76" s="108">
        <f t="shared" si="27"/>
        <v>249000</v>
      </c>
      <c r="L76" s="108">
        <f t="shared" si="27"/>
        <v>249000</v>
      </c>
      <c r="M76" s="108">
        <f t="shared" si="27"/>
        <v>249000</v>
      </c>
      <c r="N76" s="108">
        <f t="shared" si="27"/>
        <v>249000</v>
      </c>
      <c r="O76" s="108">
        <f>D76-SUM(F76:N76)</f>
        <v>248000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69000</v>
      </c>
      <c r="E77" s="37" t="s">
        <v>681</v>
      </c>
      <c r="F77" s="224"/>
      <c r="G77" s="224"/>
      <c r="H77" s="224">
        <f>ROUND($D77/2,-3)</f>
        <v>35000</v>
      </c>
      <c r="I77" s="224"/>
      <c r="J77" s="224"/>
      <c r="K77" s="224"/>
      <c r="L77" s="224"/>
      <c r="M77" s="224"/>
      <c r="N77" s="224">
        <f>D77-H77</f>
        <v>34000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20084000</v>
      </c>
      <c r="E78" s="227"/>
      <c r="F78" s="227">
        <f>F76+F70+F77</f>
        <v>5995000</v>
      </c>
      <c r="G78" s="227">
        <f t="shared" ref="G78:Q78" si="29">G76+G70+G77</f>
        <v>1383000</v>
      </c>
      <c r="H78" s="227">
        <f t="shared" si="29"/>
        <v>1440000</v>
      </c>
      <c r="I78" s="227">
        <f t="shared" si="29"/>
        <v>1695000</v>
      </c>
      <c r="J78" s="227">
        <f t="shared" si="29"/>
        <v>1383000</v>
      </c>
      <c r="K78" s="227">
        <f t="shared" si="29"/>
        <v>1383000</v>
      </c>
      <c r="L78" s="227">
        <f t="shared" si="29"/>
        <v>1383000</v>
      </c>
      <c r="M78" s="227">
        <f t="shared" si="29"/>
        <v>1383000</v>
      </c>
      <c r="N78" s="227">
        <f t="shared" si="29"/>
        <v>2665000</v>
      </c>
      <c r="O78" s="227">
        <f t="shared" si="29"/>
        <v>1368000</v>
      </c>
      <c r="P78" s="227">
        <f t="shared" si="29"/>
        <v>4000</v>
      </c>
      <c r="Q78" s="227">
        <f t="shared" si="29"/>
        <v>2000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20882000</v>
      </c>
      <c r="E87" s="37"/>
      <c r="F87" s="37">
        <f>F88+F89+F90+F91</f>
        <v>6081000</v>
      </c>
      <c r="G87" s="37">
        <f t="shared" ref="G87:Q87" si="32">G88+G89+G90+G91</f>
        <v>1446000</v>
      </c>
      <c r="H87" s="37">
        <f t="shared" si="32"/>
        <v>1503000</v>
      </c>
      <c r="I87" s="37">
        <f t="shared" si="32"/>
        <v>1758000</v>
      </c>
      <c r="J87" s="37">
        <f t="shared" si="32"/>
        <v>1446000</v>
      </c>
      <c r="K87" s="37">
        <f t="shared" si="32"/>
        <v>1448000</v>
      </c>
      <c r="L87" s="37">
        <f t="shared" si="32"/>
        <v>1467000</v>
      </c>
      <c r="M87" s="37">
        <f t="shared" si="32"/>
        <v>1446000</v>
      </c>
      <c r="N87" s="37">
        <f t="shared" si="32"/>
        <v>2730000</v>
      </c>
      <c r="O87" s="37">
        <f t="shared" si="32"/>
        <v>1431000</v>
      </c>
      <c r="P87" s="37">
        <f t="shared" si="32"/>
        <v>67000</v>
      </c>
      <c r="Q87" s="37">
        <f t="shared" si="32"/>
        <v>59000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18000</v>
      </c>
      <c r="E88" s="108" t="s">
        <v>193</v>
      </c>
      <c r="F88" s="108">
        <f>ROUND($D88/2,-3)</f>
        <v>9000</v>
      </c>
      <c r="G88" s="108"/>
      <c r="H88" s="108"/>
      <c r="I88" s="108"/>
      <c r="J88" s="108"/>
      <c r="K88" s="108"/>
      <c r="L88" s="108">
        <f>D88-F88</f>
        <v>9000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20863000</v>
      </c>
      <c r="E91" s="108"/>
      <c r="F91" s="108">
        <f>F92+F93+F94+F95</f>
        <v>6072000</v>
      </c>
      <c r="G91" s="108">
        <f t="shared" ref="G91:Q91" si="34">G92+G93+G94+G95</f>
        <v>1446000</v>
      </c>
      <c r="H91" s="108">
        <f t="shared" si="34"/>
        <v>1503000</v>
      </c>
      <c r="I91" s="108">
        <f t="shared" si="34"/>
        <v>1758000</v>
      </c>
      <c r="J91" s="108">
        <f t="shared" si="34"/>
        <v>1446000</v>
      </c>
      <c r="K91" s="108">
        <f t="shared" si="34"/>
        <v>1448000</v>
      </c>
      <c r="L91" s="108">
        <f t="shared" si="34"/>
        <v>1458000</v>
      </c>
      <c r="M91" s="108">
        <f t="shared" si="34"/>
        <v>1446000</v>
      </c>
      <c r="N91" s="108">
        <f t="shared" si="34"/>
        <v>2730000</v>
      </c>
      <c r="O91" s="108">
        <f t="shared" si="34"/>
        <v>1431000</v>
      </c>
      <c r="P91" s="108">
        <f t="shared" si="34"/>
        <v>67000</v>
      </c>
      <c r="Q91" s="108">
        <f t="shared" si="34"/>
        <v>58000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650000</v>
      </c>
      <c r="E92" s="114" t="s">
        <v>537</v>
      </c>
      <c r="F92" s="37">
        <f>ROUND($D92/12*5,-3)</f>
        <v>271000</v>
      </c>
      <c r="G92" s="37">
        <f>ROUND($D92/12,-3)</f>
        <v>54000</v>
      </c>
      <c r="H92" s="37">
        <f t="shared" ref="H92:L92" si="35">ROUND($D92/12,-3)</f>
        <v>54000</v>
      </c>
      <c r="I92" s="37">
        <f t="shared" si="35"/>
        <v>54000</v>
      </c>
      <c r="J92" s="37">
        <f t="shared" si="35"/>
        <v>54000</v>
      </c>
      <c r="K92" s="37">
        <f t="shared" si="35"/>
        <v>54000</v>
      </c>
      <c r="L92" s="37">
        <f t="shared" si="35"/>
        <v>54000</v>
      </c>
      <c r="M92" s="37">
        <f>D92-SUM(F92:L92)</f>
        <v>55000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64000</v>
      </c>
      <c r="E93" s="109" t="s">
        <v>227</v>
      </c>
      <c r="F93" s="37">
        <f>ROUND($D93/12,-3)</f>
        <v>5000</v>
      </c>
      <c r="G93" s="37">
        <f t="shared" ref="G93:P93" si="36">ROUND($D93/12,-3)</f>
        <v>5000</v>
      </c>
      <c r="H93" s="37">
        <f t="shared" si="36"/>
        <v>5000</v>
      </c>
      <c r="I93" s="37">
        <f t="shared" si="36"/>
        <v>5000</v>
      </c>
      <c r="J93" s="37">
        <f t="shared" si="36"/>
        <v>5000</v>
      </c>
      <c r="K93" s="37">
        <f t="shared" si="36"/>
        <v>5000</v>
      </c>
      <c r="L93" s="37">
        <f t="shared" si="36"/>
        <v>5000</v>
      </c>
      <c r="M93" s="37">
        <f t="shared" si="36"/>
        <v>5000</v>
      </c>
      <c r="N93" s="37">
        <f t="shared" si="36"/>
        <v>5000</v>
      </c>
      <c r="O93" s="37">
        <f t="shared" si="36"/>
        <v>5000</v>
      </c>
      <c r="P93" s="37">
        <f t="shared" si="36"/>
        <v>5000</v>
      </c>
      <c r="Q93" s="37">
        <f>D93-SUM(F93:P93)</f>
        <v>9000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1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20149000</v>
      </c>
      <c r="E95" s="37"/>
      <c r="F95" s="37">
        <f>F2+F86-F88-F89-F90-F92-F93-F94</f>
        <v>5796000</v>
      </c>
      <c r="G95" s="37">
        <f t="shared" ref="G95:Q95" si="37">G2-G88-G89-G90-G92-G93-G94</f>
        <v>1387000</v>
      </c>
      <c r="H95" s="37">
        <f t="shared" si="37"/>
        <v>1444000</v>
      </c>
      <c r="I95" s="37">
        <f t="shared" si="37"/>
        <v>1699000</v>
      </c>
      <c r="J95" s="37">
        <f t="shared" si="37"/>
        <v>1387000</v>
      </c>
      <c r="K95" s="37">
        <f t="shared" si="37"/>
        <v>1389000</v>
      </c>
      <c r="L95" s="37">
        <f t="shared" si="37"/>
        <v>1399000</v>
      </c>
      <c r="M95" s="37">
        <f t="shared" si="37"/>
        <v>1386000</v>
      </c>
      <c r="N95" s="37">
        <f t="shared" si="37"/>
        <v>2725000</v>
      </c>
      <c r="O95" s="37">
        <f t="shared" si="37"/>
        <v>1426000</v>
      </c>
      <c r="P95" s="37">
        <f t="shared" si="37"/>
        <v>62000</v>
      </c>
      <c r="Q95" s="37">
        <f t="shared" si="37"/>
        <v>49000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0</v>
      </c>
    </row>
    <row r="99" spans="2:17" ht="32.4">
      <c r="B99" s="72" t="s">
        <v>235</v>
      </c>
      <c r="D99" s="30">
        <f>HLOOKUP(D1,縣庫撥款收入明細表!H:DD,5,FALSE)</f>
        <v>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0</v>
      </c>
    </row>
    <row r="102" spans="2:17" ht="32.4">
      <c r="B102" s="71" t="s">
        <v>238</v>
      </c>
      <c r="D102" s="30">
        <f>HLOOKUP(D1,縣庫撥款收入明細表!H:DD,16,FALSE)</f>
        <v>60000</v>
      </c>
    </row>
    <row r="103" spans="2:17" ht="32.4">
      <c r="B103" s="72" t="s">
        <v>239</v>
      </c>
      <c r="D103" s="30">
        <f>HLOOKUP(D1,縣庫撥款收入明細表!H:DD,17,FALSE)</f>
        <v>650000</v>
      </c>
    </row>
    <row r="104" spans="2:17" ht="32.4">
      <c r="B104" s="76" t="s">
        <v>240</v>
      </c>
      <c r="D104" s="30">
        <f>HLOOKUP(D1,縣庫撥款收入明細表!H:DD,18,FALSE)</f>
        <v>0</v>
      </c>
    </row>
    <row r="105" spans="2:17" ht="32.4">
      <c r="B105" s="72" t="s">
        <v>380</v>
      </c>
      <c r="D105" s="30">
        <f>HLOOKUP(D1,縣庫撥款收入明細表!H:DD,19,FALSE)</f>
        <v>0</v>
      </c>
    </row>
    <row r="106" spans="2:17" ht="32.4">
      <c r="B106" s="71" t="s">
        <v>241</v>
      </c>
      <c r="D106" s="30">
        <f>HLOOKUP(D1,縣庫撥款收入明細表!H:DD,20,FALSE)</f>
        <v>4000</v>
      </c>
    </row>
    <row r="107" spans="2:17" ht="32.4">
      <c r="B107" s="77" t="s">
        <v>242</v>
      </c>
      <c r="D107" s="30">
        <f>HLOOKUP(D1,縣庫撥款收入明細表!H:DD,21,FALSE)</f>
        <v>20149000</v>
      </c>
    </row>
    <row r="108" spans="2:17" ht="16.5" customHeight="1"/>
    <row r="109" spans="2:17" ht="16.5" customHeight="1">
      <c r="B109" s="4" t="s">
        <v>682</v>
      </c>
      <c r="D109" s="30">
        <f>D91-D76</f>
        <v>17876000</v>
      </c>
      <c r="F109" s="30">
        <f>F91-F76</f>
        <v>5325000</v>
      </c>
      <c r="G109" s="30">
        <f t="shared" ref="G109:Q109" si="38">G91-G76</f>
        <v>1197000</v>
      </c>
      <c r="H109" s="30">
        <f t="shared" si="38"/>
        <v>1254000</v>
      </c>
      <c r="I109" s="30">
        <f t="shared" si="38"/>
        <v>1509000</v>
      </c>
      <c r="J109" s="30">
        <f t="shared" si="38"/>
        <v>1197000</v>
      </c>
      <c r="K109" s="30">
        <f t="shared" si="38"/>
        <v>1199000</v>
      </c>
      <c r="L109" s="30">
        <f t="shared" si="38"/>
        <v>1209000</v>
      </c>
      <c r="M109" s="30">
        <f t="shared" si="38"/>
        <v>1197000</v>
      </c>
      <c r="N109" s="30">
        <f t="shared" si="38"/>
        <v>2481000</v>
      </c>
      <c r="O109" s="30">
        <f t="shared" si="38"/>
        <v>1183000</v>
      </c>
      <c r="P109" s="30">
        <f t="shared" si="38"/>
        <v>67000</v>
      </c>
      <c r="Q109" s="30">
        <f t="shared" si="38"/>
        <v>58000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40" priority="1" operator="lessThan">
      <formula>0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633</v>
      </c>
      <c r="D1" s="240" t="str">
        <f>VLOOKUP(C1,學校編號!A:B,2,FALSE)</f>
        <v>633鳳林國小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50748000</v>
      </c>
      <c r="E2" s="37"/>
      <c r="F2" s="37">
        <f>F48+F70+F76+F77+F83</f>
        <v>14557000</v>
      </c>
      <c r="G2" s="37">
        <f t="shared" ref="G2:Q2" si="0">G48+G70+G76+G77+G83</f>
        <v>3667000</v>
      </c>
      <c r="H2" s="37">
        <f t="shared" si="0"/>
        <v>3792000</v>
      </c>
      <c r="I2" s="37">
        <f t="shared" si="0"/>
        <v>4203000</v>
      </c>
      <c r="J2" s="37">
        <f t="shared" si="0"/>
        <v>3680000</v>
      </c>
      <c r="K2" s="37">
        <f t="shared" si="0"/>
        <v>3688000</v>
      </c>
      <c r="L2" s="37">
        <f t="shared" si="0"/>
        <v>3769000</v>
      </c>
      <c r="M2" s="37">
        <f t="shared" si="0"/>
        <v>3680000</v>
      </c>
      <c r="N2" s="37">
        <f t="shared" si="0"/>
        <v>5776000</v>
      </c>
      <c r="O2" s="37">
        <f t="shared" si="0"/>
        <v>3686000</v>
      </c>
      <c r="P2" s="37">
        <f t="shared" si="0"/>
        <v>127000</v>
      </c>
      <c r="Q2" s="37">
        <f t="shared" si="0"/>
        <v>123000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258000</v>
      </c>
      <c r="E3" s="37" t="s">
        <v>525</v>
      </c>
      <c r="F3" s="37">
        <f t="shared" ref="F3:P17" si="1">ROUND($D3/12,0)</f>
        <v>21500</v>
      </c>
      <c r="G3" s="37">
        <f t="shared" si="1"/>
        <v>21500</v>
      </c>
      <c r="H3" s="37">
        <f t="shared" si="1"/>
        <v>21500</v>
      </c>
      <c r="I3" s="37">
        <f t="shared" si="1"/>
        <v>21500</v>
      </c>
      <c r="J3" s="37">
        <f t="shared" si="1"/>
        <v>21500</v>
      </c>
      <c r="K3" s="37">
        <f t="shared" si="1"/>
        <v>21500</v>
      </c>
      <c r="L3" s="37">
        <f t="shared" si="1"/>
        <v>21500</v>
      </c>
      <c r="M3" s="37">
        <f t="shared" si="1"/>
        <v>21500</v>
      </c>
      <c r="N3" s="37">
        <f t="shared" si="1"/>
        <v>21500</v>
      </c>
      <c r="O3" s="37">
        <f t="shared" si="1"/>
        <v>21500</v>
      </c>
      <c r="P3" s="37">
        <f t="shared" si="1"/>
        <v>21500</v>
      </c>
      <c r="Q3" s="37">
        <f t="shared" ref="Q3:Q10" si="2">D3-SUM(F3:P3)</f>
        <v>21500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111000</v>
      </c>
      <c r="E4" s="37" t="s">
        <v>525</v>
      </c>
      <c r="F4" s="37">
        <f t="shared" si="1"/>
        <v>9250</v>
      </c>
      <c r="G4" s="37">
        <f t="shared" si="1"/>
        <v>9250</v>
      </c>
      <c r="H4" s="37">
        <f t="shared" si="1"/>
        <v>9250</v>
      </c>
      <c r="I4" s="37">
        <f t="shared" si="1"/>
        <v>9250</v>
      </c>
      <c r="J4" s="37">
        <f t="shared" si="1"/>
        <v>9250</v>
      </c>
      <c r="K4" s="37">
        <f t="shared" si="1"/>
        <v>9250</v>
      </c>
      <c r="L4" s="37">
        <f t="shared" si="1"/>
        <v>9250</v>
      </c>
      <c r="M4" s="37">
        <f t="shared" si="1"/>
        <v>9250</v>
      </c>
      <c r="N4" s="37">
        <f t="shared" si="1"/>
        <v>9250</v>
      </c>
      <c r="O4" s="37">
        <f t="shared" si="1"/>
        <v>9250</v>
      </c>
      <c r="P4" s="37">
        <f t="shared" si="1"/>
        <v>9250</v>
      </c>
      <c r="Q4" s="37">
        <f t="shared" si="2"/>
        <v>9250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69000</v>
      </c>
      <c r="E7" s="37" t="s">
        <v>525</v>
      </c>
      <c r="F7" s="37">
        <f t="shared" si="1"/>
        <v>5750</v>
      </c>
      <c r="G7" s="37">
        <f t="shared" si="1"/>
        <v>5750</v>
      </c>
      <c r="H7" s="37">
        <f t="shared" si="1"/>
        <v>5750</v>
      </c>
      <c r="I7" s="37">
        <f t="shared" si="1"/>
        <v>5750</v>
      </c>
      <c r="J7" s="37">
        <f t="shared" si="1"/>
        <v>5750</v>
      </c>
      <c r="K7" s="37">
        <f t="shared" si="1"/>
        <v>5750</v>
      </c>
      <c r="L7" s="37">
        <f t="shared" si="1"/>
        <v>5750</v>
      </c>
      <c r="M7" s="37">
        <f t="shared" si="1"/>
        <v>5750</v>
      </c>
      <c r="N7" s="37">
        <f t="shared" si="1"/>
        <v>5750</v>
      </c>
      <c r="O7" s="37">
        <f t="shared" si="1"/>
        <v>5750</v>
      </c>
      <c r="P7" s="37">
        <f t="shared" si="1"/>
        <v>5750</v>
      </c>
      <c r="Q7" s="37">
        <f t="shared" si="2"/>
        <v>5750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30000</v>
      </c>
      <c r="E8" s="37" t="s">
        <v>525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3000</v>
      </c>
      <c r="E9" s="37" t="s">
        <v>525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76000</v>
      </c>
      <c r="E10" s="37" t="s">
        <v>525</v>
      </c>
      <c r="F10" s="37">
        <f t="shared" si="1"/>
        <v>6333</v>
      </c>
      <c r="G10" s="37">
        <f t="shared" si="1"/>
        <v>6333</v>
      </c>
      <c r="H10" s="37">
        <f t="shared" si="1"/>
        <v>6333</v>
      </c>
      <c r="I10" s="37">
        <f t="shared" si="1"/>
        <v>6333</v>
      </c>
      <c r="J10" s="37">
        <f t="shared" si="1"/>
        <v>6333</v>
      </c>
      <c r="K10" s="37">
        <f t="shared" si="1"/>
        <v>6333</v>
      </c>
      <c r="L10" s="37">
        <f t="shared" si="1"/>
        <v>6333</v>
      </c>
      <c r="M10" s="37">
        <f t="shared" si="1"/>
        <v>6333</v>
      </c>
      <c r="N10" s="37">
        <f t="shared" si="1"/>
        <v>6333</v>
      </c>
      <c r="O10" s="37">
        <f t="shared" si="1"/>
        <v>6333</v>
      </c>
      <c r="P10" s="37">
        <f t="shared" si="1"/>
        <v>6333</v>
      </c>
      <c r="Q10" s="37">
        <f t="shared" si="2"/>
        <v>6337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27000</v>
      </c>
      <c r="E11" s="37" t="s">
        <v>195</v>
      </c>
      <c r="F11" s="37">
        <f>D11</f>
        <v>27000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769000</v>
      </c>
      <c r="E12" s="113" t="s">
        <v>202</v>
      </c>
      <c r="F12" s="37">
        <f>ROUND($D12/12*3,-3)</f>
        <v>192000</v>
      </c>
      <c r="G12" s="37">
        <f>ROUND($D12/12,-3)</f>
        <v>64000</v>
      </c>
      <c r="H12" s="37">
        <f t="shared" ref="H12:N12" si="4">ROUND($D12/12,-3)</f>
        <v>64000</v>
      </c>
      <c r="I12" s="37">
        <f t="shared" si="4"/>
        <v>64000</v>
      </c>
      <c r="J12" s="37">
        <f t="shared" si="4"/>
        <v>64000</v>
      </c>
      <c r="K12" s="37">
        <f t="shared" si="4"/>
        <v>64000</v>
      </c>
      <c r="L12" s="37">
        <f t="shared" si="4"/>
        <v>64000</v>
      </c>
      <c r="M12" s="37">
        <f t="shared" si="4"/>
        <v>64000</v>
      </c>
      <c r="N12" s="37">
        <f t="shared" si="4"/>
        <v>64000</v>
      </c>
      <c r="O12" s="37">
        <f>D12-SUM(F12:N12)</f>
        <v>65000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164000</v>
      </c>
      <c r="E13" s="37" t="s">
        <v>525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80000</v>
      </c>
      <c r="E14" s="37" t="s">
        <v>525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58000</v>
      </c>
      <c r="E15" s="37" t="s">
        <v>193</v>
      </c>
      <c r="F15" s="37">
        <f>ROUND($D15/2,-3)</f>
        <v>29000</v>
      </c>
      <c r="G15" s="37"/>
      <c r="H15" s="37"/>
      <c r="I15" s="37"/>
      <c r="J15" s="37"/>
      <c r="K15" s="37"/>
      <c r="L15" s="37">
        <f>D15-F15</f>
        <v>29000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0</v>
      </c>
      <c r="E16" s="37" t="s">
        <v>525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52000</v>
      </c>
      <c r="E17" s="37" t="s">
        <v>525</v>
      </c>
      <c r="F17" s="37">
        <f>ROUND($D17/12,0)</f>
        <v>4333</v>
      </c>
      <c r="G17" s="37">
        <f t="shared" si="1"/>
        <v>4333</v>
      </c>
      <c r="H17" s="37">
        <f t="shared" si="1"/>
        <v>4333</v>
      </c>
      <c r="I17" s="37">
        <f t="shared" si="1"/>
        <v>4333</v>
      </c>
      <c r="J17" s="37">
        <f t="shared" si="1"/>
        <v>4333</v>
      </c>
      <c r="K17" s="37">
        <f t="shared" si="1"/>
        <v>4333</v>
      </c>
      <c r="L17" s="37">
        <f t="shared" si="1"/>
        <v>4333</v>
      </c>
      <c r="M17" s="37">
        <f t="shared" si="1"/>
        <v>4333</v>
      </c>
      <c r="N17" s="37">
        <f t="shared" si="1"/>
        <v>4333</v>
      </c>
      <c r="O17" s="37">
        <f t="shared" si="1"/>
        <v>4333</v>
      </c>
      <c r="P17" s="37">
        <f t="shared" si="1"/>
        <v>4333</v>
      </c>
      <c r="Q17" s="37">
        <f>D17-SUM(F17:P17)</f>
        <v>4337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90000</v>
      </c>
      <c r="E24" s="37" t="s">
        <v>193</v>
      </c>
      <c r="F24" s="37">
        <f>ROUND($D24/2,-3)</f>
        <v>45000</v>
      </c>
      <c r="G24" s="37"/>
      <c r="H24" s="37"/>
      <c r="I24" s="37"/>
      <c r="J24" s="37"/>
      <c r="K24" s="37"/>
      <c r="L24" s="37">
        <f>D24-F24</f>
        <v>45000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1787000</v>
      </c>
      <c r="E25" s="108"/>
      <c r="F25" s="108">
        <f>ROUND(SUM(F3:F24),-3)</f>
        <v>363000</v>
      </c>
      <c r="G25" s="108">
        <f t="shared" ref="G25:P25" si="5">ROUND(SUM(G3:G24),-3)</f>
        <v>134000</v>
      </c>
      <c r="H25" s="108">
        <f t="shared" si="5"/>
        <v>134000</v>
      </c>
      <c r="I25" s="108">
        <f t="shared" si="5"/>
        <v>134000</v>
      </c>
      <c r="J25" s="108">
        <f t="shared" si="5"/>
        <v>134000</v>
      </c>
      <c r="K25" s="108">
        <f t="shared" si="5"/>
        <v>134000</v>
      </c>
      <c r="L25" s="108">
        <f t="shared" si="5"/>
        <v>208000</v>
      </c>
      <c r="M25" s="108">
        <f t="shared" si="5"/>
        <v>134000</v>
      </c>
      <c r="N25" s="108">
        <f t="shared" si="5"/>
        <v>134000</v>
      </c>
      <c r="O25" s="108">
        <f t="shared" si="5"/>
        <v>135000</v>
      </c>
      <c r="P25" s="108">
        <f t="shared" si="5"/>
        <v>70000</v>
      </c>
      <c r="Q25" s="108">
        <f t="shared" ref="Q25:Q33" si="6">D25-SUM(F25:P25)</f>
        <v>73000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127000</v>
      </c>
      <c r="E26" s="114" t="s">
        <v>204</v>
      </c>
      <c r="F26" s="37">
        <f>ROUND($D26/10,-3)</f>
        <v>13000</v>
      </c>
      <c r="G26" s="37"/>
      <c r="H26" s="37">
        <f>ROUND($D26/10,-3)</f>
        <v>13000</v>
      </c>
      <c r="I26" s="37">
        <f>ROUND($D26/10,-3)</f>
        <v>13000</v>
      </c>
      <c r="J26" s="37">
        <f>ROUND($D26/10,-3)</f>
        <v>13000</v>
      </c>
      <c r="K26" s="37">
        <f>ROUND($D26/10,-3)</f>
        <v>13000</v>
      </c>
      <c r="L26" s="37"/>
      <c r="M26" s="37">
        <f>ROUND($D26/10,-3)</f>
        <v>13000</v>
      </c>
      <c r="N26" s="37">
        <f>ROUND($D26/10,-3)</f>
        <v>13000</v>
      </c>
      <c r="O26" s="37">
        <f>ROUND($D26/10,-3)</f>
        <v>13000</v>
      </c>
      <c r="P26" s="37">
        <f>ROUND($D26/10,-3)</f>
        <v>13000</v>
      </c>
      <c r="Q26" s="37">
        <f t="shared" si="6"/>
        <v>10000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296000</v>
      </c>
      <c r="E27" s="37" t="s">
        <v>525</v>
      </c>
      <c r="F27" s="37">
        <f t="shared" ref="F27:P33" si="8">ROUND($D27/12,0)</f>
        <v>24667</v>
      </c>
      <c r="G27" s="37">
        <f t="shared" si="8"/>
        <v>24667</v>
      </c>
      <c r="H27" s="37">
        <f t="shared" si="8"/>
        <v>24667</v>
      </c>
      <c r="I27" s="37">
        <f t="shared" si="8"/>
        <v>24667</v>
      </c>
      <c r="J27" s="37">
        <f t="shared" si="8"/>
        <v>24667</v>
      </c>
      <c r="K27" s="37">
        <f t="shared" si="8"/>
        <v>24667</v>
      </c>
      <c r="L27" s="37">
        <f t="shared" si="8"/>
        <v>24667</v>
      </c>
      <c r="M27" s="37">
        <f t="shared" si="8"/>
        <v>24667</v>
      </c>
      <c r="N27" s="37">
        <f t="shared" si="8"/>
        <v>24667</v>
      </c>
      <c r="O27" s="37">
        <f t="shared" si="8"/>
        <v>24667</v>
      </c>
      <c r="P27" s="37">
        <f t="shared" si="8"/>
        <v>24667</v>
      </c>
      <c r="Q27" s="37">
        <f t="shared" si="6"/>
        <v>24663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27000</v>
      </c>
      <c r="E29" s="37" t="s">
        <v>525</v>
      </c>
      <c r="F29" s="37">
        <f t="shared" si="8"/>
        <v>2250</v>
      </c>
      <c r="G29" s="37">
        <f t="shared" si="8"/>
        <v>2250</v>
      </c>
      <c r="H29" s="37">
        <f t="shared" si="8"/>
        <v>2250</v>
      </c>
      <c r="I29" s="37">
        <f t="shared" si="8"/>
        <v>2250</v>
      </c>
      <c r="J29" s="37">
        <f t="shared" si="8"/>
        <v>2250</v>
      </c>
      <c r="K29" s="37">
        <f t="shared" si="8"/>
        <v>2250</v>
      </c>
      <c r="L29" s="37">
        <f t="shared" si="8"/>
        <v>2250</v>
      </c>
      <c r="M29" s="37">
        <f t="shared" si="8"/>
        <v>2250</v>
      </c>
      <c r="N29" s="37">
        <f t="shared" si="8"/>
        <v>2250</v>
      </c>
      <c r="O29" s="37">
        <f t="shared" si="8"/>
        <v>2250</v>
      </c>
      <c r="P29" s="37">
        <f t="shared" si="8"/>
        <v>2250</v>
      </c>
      <c r="Q29" s="37">
        <f t="shared" si="6"/>
        <v>2250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35000</v>
      </c>
      <c r="E30" s="37" t="s">
        <v>525</v>
      </c>
      <c r="F30" s="37">
        <f t="shared" si="8"/>
        <v>2917</v>
      </c>
      <c r="G30" s="37">
        <f t="shared" si="8"/>
        <v>2917</v>
      </c>
      <c r="H30" s="37">
        <f t="shared" si="8"/>
        <v>2917</v>
      </c>
      <c r="I30" s="37">
        <f t="shared" si="8"/>
        <v>2917</v>
      </c>
      <c r="J30" s="37">
        <f t="shared" si="8"/>
        <v>2917</v>
      </c>
      <c r="K30" s="37">
        <f t="shared" si="8"/>
        <v>2917</v>
      </c>
      <c r="L30" s="37">
        <f t="shared" si="8"/>
        <v>2917</v>
      </c>
      <c r="M30" s="37">
        <f t="shared" si="8"/>
        <v>2917</v>
      </c>
      <c r="N30" s="37">
        <f t="shared" si="8"/>
        <v>2917</v>
      </c>
      <c r="O30" s="37">
        <f t="shared" si="8"/>
        <v>2917</v>
      </c>
      <c r="P30" s="37">
        <f t="shared" si="8"/>
        <v>2917</v>
      </c>
      <c r="Q30" s="37">
        <f t="shared" si="6"/>
        <v>2913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17000</v>
      </c>
      <c r="E31" s="37" t="s">
        <v>525</v>
      </c>
      <c r="F31" s="37">
        <f t="shared" si="8"/>
        <v>1417</v>
      </c>
      <c r="G31" s="37">
        <f t="shared" si="8"/>
        <v>1417</v>
      </c>
      <c r="H31" s="37">
        <f t="shared" si="8"/>
        <v>1417</v>
      </c>
      <c r="I31" s="37">
        <f t="shared" si="8"/>
        <v>1417</v>
      </c>
      <c r="J31" s="37">
        <f t="shared" si="8"/>
        <v>1417</v>
      </c>
      <c r="K31" s="37">
        <f t="shared" si="8"/>
        <v>1417</v>
      </c>
      <c r="L31" s="37">
        <f t="shared" si="8"/>
        <v>1417</v>
      </c>
      <c r="M31" s="37">
        <f t="shared" si="8"/>
        <v>1417</v>
      </c>
      <c r="N31" s="37">
        <f t="shared" si="8"/>
        <v>1417</v>
      </c>
      <c r="O31" s="37">
        <f t="shared" si="8"/>
        <v>1417</v>
      </c>
      <c r="P31" s="37">
        <f t="shared" si="8"/>
        <v>1417</v>
      </c>
      <c r="Q31" s="37">
        <f t="shared" si="6"/>
        <v>1413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36000</v>
      </c>
      <c r="E32" s="37" t="s">
        <v>525</v>
      </c>
      <c r="F32" s="37">
        <f t="shared" si="8"/>
        <v>3000</v>
      </c>
      <c r="G32" s="37">
        <f t="shared" si="8"/>
        <v>3000</v>
      </c>
      <c r="H32" s="37">
        <f t="shared" si="8"/>
        <v>3000</v>
      </c>
      <c r="I32" s="37">
        <f t="shared" si="8"/>
        <v>3000</v>
      </c>
      <c r="J32" s="37">
        <f t="shared" si="8"/>
        <v>3000</v>
      </c>
      <c r="K32" s="37">
        <f t="shared" si="8"/>
        <v>3000</v>
      </c>
      <c r="L32" s="37">
        <f t="shared" si="8"/>
        <v>3000</v>
      </c>
      <c r="M32" s="37">
        <f t="shared" si="8"/>
        <v>3000</v>
      </c>
      <c r="N32" s="37">
        <f t="shared" si="8"/>
        <v>3000</v>
      </c>
      <c r="O32" s="37">
        <f t="shared" si="8"/>
        <v>3000</v>
      </c>
      <c r="P32" s="37">
        <f t="shared" si="8"/>
        <v>3000</v>
      </c>
      <c r="Q32" s="37">
        <f t="shared" si="6"/>
        <v>3000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22000</v>
      </c>
      <c r="E33" s="37" t="s">
        <v>525</v>
      </c>
      <c r="F33" s="37">
        <f t="shared" si="8"/>
        <v>1833</v>
      </c>
      <c r="G33" s="37">
        <f t="shared" si="8"/>
        <v>1833</v>
      </c>
      <c r="H33" s="37">
        <f t="shared" si="8"/>
        <v>1833</v>
      </c>
      <c r="I33" s="37">
        <f t="shared" si="8"/>
        <v>1833</v>
      </c>
      <c r="J33" s="37">
        <f t="shared" si="8"/>
        <v>1833</v>
      </c>
      <c r="K33" s="37">
        <f t="shared" si="8"/>
        <v>1833</v>
      </c>
      <c r="L33" s="37">
        <f t="shared" si="8"/>
        <v>1833</v>
      </c>
      <c r="M33" s="37">
        <f t="shared" si="8"/>
        <v>1833</v>
      </c>
      <c r="N33" s="37">
        <f t="shared" si="8"/>
        <v>1833</v>
      </c>
      <c r="O33" s="37">
        <f t="shared" si="8"/>
        <v>1833</v>
      </c>
      <c r="P33" s="37">
        <f t="shared" si="8"/>
        <v>1833</v>
      </c>
      <c r="Q33" s="37">
        <f t="shared" si="6"/>
        <v>1837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30000</v>
      </c>
      <c r="E36" s="37" t="s">
        <v>193</v>
      </c>
      <c r="F36" s="37">
        <f>ROUND($D36/2,-3)</f>
        <v>15000</v>
      </c>
      <c r="G36" s="37"/>
      <c r="H36" s="37"/>
      <c r="I36" s="37"/>
      <c r="J36" s="37"/>
      <c r="K36" s="37"/>
      <c r="L36" s="37">
        <f>D36-F36</f>
        <v>15000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590000</v>
      </c>
      <c r="E37" s="108"/>
      <c r="F37" s="108">
        <f t="shared" ref="F37:P37" si="9">ROUND(SUM(F26:F36),-3)</f>
        <v>64000</v>
      </c>
      <c r="G37" s="108">
        <f t="shared" si="9"/>
        <v>36000</v>
      </c>
      <c r="H37" s="108">
        <f t="shared" si="9"/>
        <v>49000</v>
      </c>
      <c r="I37" s="108">
        <f t="shared" si="9"/>
        <v>49000</v>
      </c>
      <c r="J37" s="108">
        <f t="shared" si="9"/>
        <v>49000</v>
      </c>
      <c r="K37" s="108">
        <f t="shared" si="9"/>
        <v>49000</v>
      </c>
      <c r="L37" s="108">
        <f t="shared" si="9"/>
        <v>51000</v>
      </c>
      <c r="M37" s="108">
        <f t="shared" si="9"/>
        <v>49000</v>
      </c>
      <c r="N37" s="108">
        <f t="shared" si="9"/>
        <v>49000</v>
      </c>
      <c r="O37" s="108">
        <f t="shared" si="9"/>
        <v>49000</v>
      </c>
      <c r="P37" s="108">
        <f t="shared" si="9"/>
        <v>49000</v>
      </c>
      <c r="Q37" s="108">
        <f>D37-SUM(F37:P37)</f>
        <v>47000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18000</v>
      </c>
      <c r="E42" s="37" t="s">
        <v>199</v>
      </c>
      <c r="F42" s="37"/>
      <c r="G42" s="37"/>
      <c r="H42" s="37"/>
      <c r="I42" s="37">
        <f>D42</f>
        <v>18000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2000</v>
      </c>
      <c r="E43" s="37" t="s">
        <v>195</v>
      </c>
      <c r="F43" s="37">
        <f>D43</f>
        <v>2000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13000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13000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33000</v>
      </c>
      <c r="E45" s="108"/>
      <c r="F45" s="108">
        <f t="shared" ref="F45:P45" si="12">ROUND(SUM(F42:F44),-3)</f>
        <v>2000</v>
      </c>
      <c r="G45" s="108">
        <f t="shared" si="12"/>
        <v>0</v>
      </c>
      <c r="H45" s="108">
        <f t="shared" si="12"/>
        <v>0</v>
      </c>
      <c r="I45" s="108">
        <f t="shared" si="12"/>
        <v>18000</v>
      </c>
      <c r="J45" s="108">
        <f t="shared" si="12"/>
        <v>0</v>
      </c>
      <c r="K45" s="108">
        <f t="shared" si="12"/>
        <v>0</v>
      </c>
      <c r="L45" s="108">
        <f t="shared" si="12"/>
        <v>13000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24000</v>
      </c>
      <c r="E46" s="37" t="s">
        <v>194</v>
      </c>
      <c r="F46" s="37">
        <f>ROUND($D46/3,0)</f>
        <v>8000</v>
      </c>
      <c r="G46" s="37"/>
      <c r="H46" s="37"/>
      <c r="I46" s="37"/>
      <c r="J46" s="37"/>
      <c r="K46" s="37">
        <f>ROUND($D46/3,0)</f>
        <v>8000</v>
      </c>
      <c r="L46" s="37"/>
      <c r="M46" s="37"/>
      <c r="N46" s="37">
        <f>ROUND($D46/3,0)</f>
        <v>8000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24000</v>
      </c>
      <c r="E47" s="108"/>
      <c r="F47" s="108">
        <f t="shared" ref="F47:P47" si="13">ROUND(SUM(F46),-3)</f>
        <v>8000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8000</v>
      </c>
      <c r="L47" s="108">
        <f t="shared" si="13"/>
        <v>0</v>
      </c>
      <c r="M47" s="108">
        <f t="shared" si="13"/>
        <v>0</v>
      </c>
      <c r="N47" s="108">
        <f t="shared" si="13"/>
        <v>8000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2434000</v>
      </c>
      <c r="E48" s="37"/>
      <c r="F48" s="115">
        <f>F25+F37+F45+F47</f>
        <v>437000</v>
      </c>
      <c r="G48" s="115">
        <f t="shared" ref="G48:R48" si="14">G25+G37+G45+G47</f>
        <v>170000</v>
      </c>
      <c r="H48" s="115">
        <f t="shared" si="14"/>
        <v>183000</v>
      </c>
      <c r="I48" s="115">
        <f t="shared" si="14"/>
        <v>201000</v>
      </c>
      <c r="J48" s="115">
        <f t="shared" si="14"/>
        <v>183000</v>
      </c>
      <c r="K48" s="115">
        <f t="shared" si="14"/>
        <v>191000</v>
      </c>
      <c r="L48" s="115">
        <f t="shared" si="14"/>
        <v>272000</v>
      </c>
      <c r="M48" s="115">
        <f t="shared" si="14"/>
        <v>183000</v>
      </c>
      <c r="N48" s="115">
        <f t="shared" si="14"/>
        <v>191000</v>
      </c>
      <c r="O48" s="115">
        <f t="shared" si="14"/>
        <v>184000</v>
      </c>
      <c r="P48" s="115">
        <f t="shared" si="14"/>
        <v>119000</v>
      </c>
      <c r="Q48" s="115">
        <f t="shared" si="14"/>
        <v>120000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24037000</v>
      </c>
      <c r="E49" s="114" t="s">
        <v>202</v>
      </c>
      <c r="F49" s="37">
        <f>ROUND($D49/12*3,-3)</f>
        <v>6009000</v>
      </c>
      <c r="G49" s="37">
        <f>ROUND($D49/12,-3)</f>
        <v>2003000</v>
      </c>
      <c r="H49" s="37">
        <f t="shared" ref="H49:N53" si="15">ROUND($D49/12,-3)</f>
        <v>2003000</v>
      </c>
      <c r="I49" s="37">
        <f t="shared" si="15"/>
        <v>2003000</v>
      </c>
      <c r="J49" s="37">
        <f t="shared" si="15"/>
        <v>2003000</v>
      </c>
      <c r="K49" s="37">
        <f t="shared" si="15"/>
        <v>2003000</v>
      </c>
      <c r="L49" s="37">
        <f t="shared" si="15"/>
        <v>2003000</v>
      </c>
      <c r="M49" s="37">
        <f t="shared" si="15"/>
        <v>2003000</v>
      </c>
      <c r="N49" s="37">
        <f t="shared" si="15"/>
        <v>2003000</v>
      </c>
      <c r="O49" s="37">
        <f>D49-SUM(F49:N49)</f>
        <v>2004000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1960000</v>
      </c>
      <c r="E51" s="114" t="s">
        <v>202</v>
      </c>
      <c r="F51" s="37">
        <f t="shared" si="16"/>
        <v>490000</v>
      </c>
      <c r="G51" s="37">
        <f t="shared" si="17"/>
        <v>163000</v>
      </c>
      <c r="H51" s="37">
        <f t="shared" si="15"/>
        <v>163000</v>
      </c>
      <c r="I51" s="37">
        <f t="shared" si="15"/>
        <v>163000</v>
      </c>
      <c r="J51" s="37">
        <f t="shared" si="15"/>
        <v>163000</v>
      </c>
      <c r="K51" s="37">
        <f t="shared" si="15"/>
        <v>163000</v>
      </c>
      <c r="L51" s="37">
        <f t="shared" si="15"/>
        <v>163000</v>
      </c>
      <c r="M51" s="37">
        <f t="shared" si="15"/>
        <v>163000</v>
      </c>
      <c r="N51" s="37">
        <f t="shared" si="15"/>
        <v>163000</v>
      </c>
      <c r="O51" s="37">
        <f t="shared" si="18"/>
        <v>166000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398000</v>
      </c>
      <c r="E52" s="114" t="s">
        <v>202</v>
      </c>
      <c r="F52" s="37">
        <f t="shared" si="16"/>
        <v>100000</v>
      </c>
      <c r="G52" s="37">
        <f t="shared" si="17"/>
        <v>33000</v>
      </c>
      <c r="H52" s="37">
        <f t="shared" si="15"/>
        <v>33000</v>
      </c>
      <c r="I52" s="37">
        <f t="shared" si="15"/>
        <v>33000</v>
      </c>
      <c r="J52" s="37">
        <f t="shared" si="15"/>
        <v>33000</v>
      </c>
      <c r="K52" s="37">
        <f t="shared" si="15"/>
        <v>33000</v>
      </c>
      <c r="L52" s="37">
        <f t="shared" si="15"/>
        <v>33000</v>
      </c>
      <c r="M52" s="37">
        <f t="shared" si="15"/>
        <v>33000</v>
      </c>
      <c r="N52" s="37">
        <f t="shared" si="15"/>
        <v>33000</v>
      </c>
      <c r="O52" s="37">
        <f t="shared" si="18"/>
        <v>34000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67000</v>
      </c>
      <c r="E54" s="37" t="s">
        <v>525</v>
      </c>
      <c r="F54" s="37">
        <f t="shared" ref="F54:P61" si="19">ROUND($D54/12,0)</f>
        <v>5583</v>
      </c>
      <c r="G54" s="37">
        <f t="shared" si="19"/>
        <v>5583</v>
      </c>
      <c r="H54" s="37">
        <f t="shared" si="19"/>
        <v>5583</v>
      </c>
      <c r="I54" s="37">
        <f t="shared" si="19"/>
        <v>5583</v>
      </c>
      <c r="J54" s="37">
        <f t="shared" si="19"/>
        <v>5583</v>
      </c>
      <c r="K54" s="37">
        <f t="shared" si="19"/>
        <v>5583</v>
      </c>
      <c r="L54" s="37">
        <f t="shared" si="19"/>
        <v>5583</v>
      </c>
      <c r="M54" s="37">
        <f t="shared" si="19"/>
        <v>5583</v>
      </c>
      <c r="N54" s="37">
        <f t="shared" si="19"/>
        <v>5583</v>
      </c>
      <c r="O54" s="37">
        <f t="shared" si="19"/>
        <v>5583</v>
      </c>
      <c r="P54" s="37">
        <f t="shared" si="19"/>
        <v>5583</v>
      </c>
      <c r="Q54" s="37">
        <f t="shared" ref="Q54:Q61" si="20">D54-SUM(F54:P54)</f>
        <v>5587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491000</v>
      </c>
      <c r="E60" s="37" t="s">
        <v>195</v>
      </c>
      <c r="F60" s="37">
        <f>D60</f>
        <v>491000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2526000</v>
      </c>
      <c r="E62" s="37" t="s">
        <v>197</v>
      </c>
      <c r="F62" s="37"/>
      <c r="G62" s="37"/>
      <c r="H62" s="37"/>
      <c r="I62" s="37">
        <f>ROUND($D62/5,-3)</f>
        <v>505000</v>
      </c>
      <c r="J62" s="37"/>
      <c r="K62" s="37"/>
      <c r="L62" s="37"/>
      <c r="M62" s="37"/>
      <c r="N62" s="37">
        <f>D62-I62</f>
        <v>2021000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2956000</v>
      </c>
      <c r="E63" s="37" t="s">
        <v>195</v>
      </c>
      <c r="F63" s="37">
        <f>D63</f>
        <v>2956000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2440000</v>
      </c>
      <c r="E64" s="114" t="s">
        <v>202</v>
      </c>
      <c r="F64" s="37">
        <f>ROUND($D64/12*3,-3)</f>
        <v>610000</v>
      </c>
      <c r="G64" s="37">
        <f>ROUND($D64/12,-3)</f>
        <v>203000</v>
      </c>
      <c r="H64" s="37">
        <f t="shared" ref="H64:N66" si="21">ROUND($D64/12,-3)</f>
        <v>203000</v>
      </c>
      <c r="I64" s="37">
        <f t="shared" si="21"/>
        <v>203000</v>
      </c>
      <c r="J64" s="37">
        <f t="shared" si="21"/>
        <v>203000</v>
      </c>
      <c r="K64" s="37">
        <f t="shared" si="21"/>
        <v>203000</v>
      </c>
      <c r="L64" s="37">
        <f t="shared" si="21"/>
        <v>203000</v>
      </c>
      <c r="M64" s="37">
        <f t="shared" si="21"/>
        <v>203000</v>
      </c>
      <c r="N64" s="37">
        <f t="shared" si="21"/>
        <v>203000</v>
      </c>
      <c r="O64" s="37">
        <f>D64-SUM(F64:N64)</f>
        <v>206000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509000</v>
      </c>
      <c r="E65" s="114" t="s">
        <v>202</v>
      </c>
      <c r="F65" s="37">
        <f t="shared" ref="F65:F66" si="22">ROUND($D65/12*3,-3)</f>
        <v>127000</v>
      </c>
      <c r="G65" s="37">
        <f t="shared" ref="G65:G66" si="23">ROUND($D65/12,-3)</f>
        <v>42000</v>
      </c>
      <c r="H65" s="37">
        <f t="shared" si="21"/>
        <v>42000</v>
      </c>
      <c r="I65" s="37">
        <f t="shared" si="21"/>
        <v>42000</v>
      </c>
      <c r="J65" s="37">
        <f t="shared" si="21"/>
        <v>42000</v>
      </c>
      <c r="K65" s="37">
        <f t="shared" si="21"/>
        <v>42000</v>
      </c>
      <c r="L65" s="37">
        <f t="shared" si="21"/>
        <v>42000</v>
      </c>
      <c r="M65" s="37">
        <f t="shared" si="21"/>
        <v>42000</v>
      </c>
      <c r="N65" s="37">
        <f t="shared" si="21"/>
        <v>42000</v>
      </c>
      <c r="O65" s="37">
        <f t="shared" ref="O65:O66" si="24">D65-SUM(F65:N65)</f>
        <v>46000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1992000</v>
      </c>
      <c r="E66" s="114" t="s">
        <v>202</v>
      </c>
      <c r="F66" s="37">
        <f t="shared" si="22"/>
        <v>498000</v>
      </c>
      <c r="G66" s="37">
        <f t="shared" si="23"/>
        <v>166000</v>
      </c>
      <c r="H66" s="37">
        <f t="shared" si="21"/>
        <v>166000</v>
      </c>
      <c r="I66" s="37">
        <f t="shared" si="21"/>
        <v>166000</v>
      </c>
      <c r="J66" s="37">
        <f t="shared" si="21"/>
        <v>166000</v>
      </c>
      <c r="K66" s="37">
        <f t="shared" si="21"/>
        <v>166000</v>
      </c>
      <c r="L66" s="37">
        <f t="shared" si="21"/>
        <v>166000</v>
      </c>
      <c r="M66" s="37">
        <f t="shared" si="21"/>
        <v>166000</v>
      </c>
      <c r="N66" s="37">
        <f t="shared" si="21"/>
        <v>166000</v>
      </c>
      <c r="O66" s="37">
        <f t="shared" si="24"/>
        <v>166000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45000</v>
      </c>
      <c r="E67" s="37" t="s">
        <v>196</v>
      </c>
      <c r="F67" s="37"/>
      <c r="G67" s="37"/>
      <c r="H67" s="37">
        <f>D67</f>
        <v>45000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176000</v>
      </c>
      <c r="E68" s="37" t="s">
        <v>195</v>
      </c>
      <c r="F68" s="37">
        <f>D68</f>
        <v>176000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37621000</v>
      </c>
      <c r="E70" s="108"/>
      <c r="F70" s="108">
        <f t="shared" ref="F70:P70" si="25">ROUND(SUM(F49:F69),-3)</f>
        <v>11465000</v>
      </c>
      <c r="G70" s="108">
        <f t="shared" si="25"/>
        <v>2618000</v>
      </c>
      <c r="H70" s="108">
        <f t="shared" si="25"/>
        <v>2663000</v>
      </c>
      <c r="I70" s="108">
        <f t="shared" si="25"/>
        <v>3123000</v>
      </c>
      <c r="J70" s="108">
        <f t="shared" si="25"/>
        <v>2618000</v>
      </c>
      <c r="K70" s="108">
        <f t="shared" si="25"/>
        <v>2618000</v>
      </c>
      <c r="L70" s="108">
        <f t="shared" si="25"/>
        <v>2618000</v>
      </c>
      <c r="M70" s="108">
        <f t="shared" si="25"/>
        <v>2618000</v>
      </c>
      <c r="N70" s="108">
        <f t="shared" si="25"/>
        <v>4639000</v>
      </c>
      <c r="O70" s="108">
        <f t="shared" si="25"/>
        <v>2630000</v>
      </c>
      <c r="P70" s="108">
        <f t="shared" si="25"/>
        <v>8000</v>
      </c>
      <c r="Q70" s="108">
        <f>D70-SUM(F70:P70)</f>
        <v>3000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20000</v>
      </c>
      <c r="E71" s="37" t="s">
        <v>195</v>
      </c>
      <c r="F71" s="37">
        <f>D71</f>
        <v>20000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9031000</v>
      </c>
      <c r="E72" s="114" t="s">
        <v>202</v>
      </c>
      <c r="F72" s="37">
        <f>ROUND($D72/12*3,-3)</f>
        <v>2258000</v>
      </c>
      <c r="G72" s="37">
        <f>ROUND($D72/12,-3)</f>
        <v>753000</v>
      </c>
      <c r="H72" s="37">
        <f t="shared" ref="H72:N75" si="26">ROUND($D72/12,-3)</f>
        <v>753000</v>
      </c>
      <c r="I72" s="37">
        <f t="shared" si="26"/>
        <v>753000</v>
      </c>
      <c r="J72" s="37">
        <f t="shared" si="26"/>
        <v>753000</v>
      </c>
      <c r="K72" s="37">
        <f t="shared" si="26"/>
        <v>753000</v>
      </c>
      <c r="L72" s="37">
        <f t="shared" si="26"/>
        <v>753000</v>
      </c>
      <c r="M72" s="37">
        <f t="shared" si="26"/>
        <v>753000</v>
      </c>
      <c r="N72" s="37">
        <f t="shared" si="26"/>
        <v>753000</v>
      </c>
      <c r="O72" s="37">
        <f>D72-SUM(F72:N72)</f>
        <v>749000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92000</v>
      </c>
      <c r="E74" s="114" t="s">
        <v>202</v>
      </c>
      <c r="F74" s="37">
        <f>ROUND($D74/12*3,-3)</f>
        <v>23000</v>
      </c>
      <c r="G74" s="37">
        <f>ROUND($D74/12,-3)</f>
        <v>8000</v>
      </c>
      <c r="H74" s="37">
        <f t="shared" si="26"/>
        <v>8000</v>
      </c>
      <c r="I74" s="37">
        <f t="shared" si="26"/>
        <v>8000</v>
      </c>
      <c r="J74" s="37">
        <f t="shared" si="26"/>
        <v>8000</v>
      </c>
      <c r="K74" s="37">
        <f t="shared" si="26"/>
        <v>8000</v>
      </c>
      <c r="L74" s="37">
        <f t="shared" si="26"/>
        <v>8000</v>
      </c>
      <c r="M74" s="37">
        <f t="shared" si="26"/>
        <v>8000</v>
      </c>
      <c r="N74" s="37">
        <f t="shared" si="26"/>
        <v>8000</v>
      </c>
      <c r="O74" s="37">
        <f>D74-SUM(F74:N74)</f>
        <v>5000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1416000</v>
      </c>
      <c r="E75" s="114" t="s">
        <v>202</v>
      </c>
      <c r="F75" s="37">
        <f>ROUND($D75/12*3,-3)</f>
        <v>354000</v>
      </c>
      <c r="G75" s="37">
        <f>ROUND($D75/12,-3)</f>
        <v>118000</v>
      </c>
      <c r="H75" s="37">
        <f t="shared" si="26"/>
        <v>118000</v>
      </c>
      <c r="I75" s="37">
        <f t="shared" si="26"/>
        <v>118000</v>
      </c>
      <c r="J75" s="37">
        <f t="shared" si="26"/>
        <v>118000</v>
      </c>
      <c r="K75" s="37">
        <f t="shared" si="26"/>
        <v>118000</v>
      </c>
      <c r="L75" s="37">
        <f t="shared" si="26"/>
        <v>118000</v>
      </c>
      <c r="M75" s="37">
        <f t="shared" si="26"/>
        <v>118000</v>
      </c>
      <c r="N75" s="37">
        <f t="shared" si="26"/>
        <v>118000</v>
      </c>
      <c r="O75" s="37">
        <f>D75-SUM(F75:N75)</f>
        <v>118000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10559000</v>
      </c>
      <c r="E76" s="108"/>
      <c r="F76" s="108">
        <f>ROUND(SUM(F71:F75),-3)</f>
        <v>2655000</v>
      </c>
      <c r="G76" s="108">
        <f t="shared" ref="G76:N76" si="27">ROUND(SUM(G71:G75),-3)</f>
        <v>879000</v>
      </c>
      <c r="H76" s="108">
        <f t="shared" si="27"/>
        <v>879000</v>
      </c>
      <c r="I76" s="108">
        <f t="shared" si="27"/>
        <v>879000</v>
      </c>
      <c r="J76" s="108">
        <f t="shared" si="27"/>
        <v>879000</v>
      </c>
      <c r="K76" s="108">
        <f t="shared" si="27"/>
        <v>879000</v>
      </c>
      <c r="L76" s="108">
        <f t="shared" si="27"/>
        <v>879000</v>
      </c>
      <c r="M76" s="108">
        <f t="shared" si="27"/>
        <v>879000</v>
      </c>
      <c r="N76" s="108">
        <f t="shared" si="27"/>
        <v>879000</v>
      </c>
      <c r="O76" s="108">
        <f>D76-SUM(F76:N76)</f>
        <v>872000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134000</v>
      </c>
      <c r="E77" s="37" t="s">
        <v>681</v>
      </c>
      <c r="F77" s="224"/>
      <c r="G77" s="224"/>
      <c r="H77" s="224">
        <f>ROUND($D77/2,-3)</f>
        <v>67000</v>
      </c>
      <c r="I77" s="224"/>
      <c r="J77" s="224"/>
      <c r="K77" s="224"/>
      <c r="L77" s="224"/>
      <c r="M77" s="224"/>
      <c r="N77" s="224">
        <f>D77-H77</f>
        <v>67000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48314000</v>
      </c>
      <c r="E78" s="227"/>
      <c r="F78" s="227">
        <f>F76+F70+F77</f>
        <v>14120000</v>
      </c>
      <c r="G78" s="227">
        <f t="shared" ref="G78:Q78" si="29">G76+G70+G77</f>
        <v>3497000</v>
      </c>
      <c r="H78" s="227">
        <f t="shared" si="29"/>
        <v>3609000</v>
      </c>
      <c r="I78" s="227">
        <f t="shared" si="29"/>
        <v>4002000</v>
      </c>
      <c r="J78" s="227">
        <f t="shared" si="29"/>
        <v>3497000</v>
      </c>
      <c r="K78" s="227">
        <f t="shared" si="29"/>
        <v>3497000</v>
      </c>
      <c r="L78" s="227">
        <f t="shared" si="29"/>
        <v>3497000</v>
      </c>
      <c r="M78" s="227">
        <f t="shared" si="29"/>
        <v>3497000</v>
      </c>
      <c r="N78" s="227">
        <f t="shared" si="29"/>
        <v>5585000</v>
      </c>
      <c r="O78" s="227">
        <f t="shared" si="29"/>
        <v>3502000</v>
      </c>
      <c r="P78" s="227">
        <f t="shared" si="29"/>
        <v>8000</v>
      </c>
      <c r="Q78" s="227">
        <f t="shared" si="29"/>
        <v>3000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50748000</v>
      </c>
      <c r="E87" s="37"/>
      <c r="F87" s="37">
        <f>F88+F89+F90+F91</f>
        <v>14557000</v>
      </c>
      <c r="G87" s="37">
        <f t="shared" ref="G87:Q87" si="32">G88+G89+G90+G91</f>
        <v>3667000</v>
      </c>
      <c r="H87" s="37">
        <f t="shared" si="32"/>
        <v>3792000</v>
      </c>
      <c r="I87" s="37">
        <f t="shared" si="32"/>
        <v>4203000</v>
      </c>
      <c r="J87" s="37">
        <f t="shared" si="32"/>
        <v>3680000</v>
      </c>
      <c r="K87" s="37">
        <f t="shared" si="32"/>
        <v>3688000</v>
      </c>
      <c r="L87" s="37">
        <f t="shared" si="32"/>
        <v>3769000</v>
      </c>
      <c r="M87" s="37">
        <f t="shared" si="32"/>
        <v>3680000</v>
      </c>
      <c r="N87" s="37">
        <f t="shared" si="32"/>
        <v>5776000</v>
      </c>
      <c r="O87" s="37">
        <f t="shared" si="32"/>
        <v>3686000</v>
      </c>
      <c r="P87" s="37">
        <f t="shared" si="32"/>
        <v>127000</v>
      </c>
      <c r="Q87" s="37">
        <f t="shared" si="32"/>
        <v>123000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120000</v>
      </c>
      <c r="E88" s="108" t="s">
        <v>193</v>
      </c>
      <c r="F88" s="108">
        <f>ROUND($D88/2,-3)</f>
        <v>60000</v>
      </c>
      <c r="G88" s="108"/>
      <c r="H88" s="108"/>
      <c r="I88" s="108"/>
      <c r="J88" s="108"/>
      <c r="K88" s="108"/>
      <c r="L88" s="108">
        <f>D88-F88</f>
        <v>60000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2000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1000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50626000</v>
      </c>
      <c r="E91" s="108"/>
      <c r="F91" s="108">
        <f>F92+F93+F94+F95</f>
        <v>14497000</v>
      </c>
      <c r="G91" s="108">
        <f t="shared" ref="G91:Q91" si="34">G92+G93+G94+G95</f>
        <v>3667000</v>
      </c>
      <c r="H91" s="108">
        <f t="shared" si="34"/>
        <v>3792000</v>
      </c>
      <c r="I91" s="108">
        <f t="shared" si="34"/>
        <v>4203000</v>
      </c>
      <c r="J91" s="108">
        <f t="shared" si="34"/>
        <v>3680000</v>
      </c>
      <c r="K91" s="108">
        <f t="shared" si="34"/>
        <v>3688000</v>
      </c>
      <c r="L91" s="108">
        <f t="shared" si="34"/>
        <v>3708000</v>
      </c>
      <c r="M91" s="108">
        <f t="shared" si="34"/>
        <v>3680000</v>
      </c>
      <c r="N91" s="108">
        <f t="shared" si="34"/>
        <v>5776000</v>
      </c>
      <c r="O91" s="108">
        <f t="shared" si="34"/>
        <v>3686000</v>
      </c>
      <c r="P91" s="108">
        <f t="shared" si="34"/>
        <v>127000</v>
      </c>
      <c r="Q91" s="108">
        <f t="shared" si="34"/>
        <v>122000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2359000</v>
      </c>
      <c r="E92" s="114" t="s">
        <v>537</v>
      </c>
      <c r="F92" s="37">
        <f>ROUND($D92/12*5,-3)</f>
        <v>983000</v>
      </c>
      <c r="G92" s="37">
        <f>ROUND($D92/12,-3)</f>
        <v>197000</v>
      </c>
      <c r="H92" s="37">
        <f t="shared" ref="H92:L92" si="35">ROUND($D92/12,-3)</f>
        <v>197000</v>
      </c>
      <c r="I92" s="37">
        <f t="shared" si="35"/>
        <v>197000</v>
      </c>
      <c r="J92" s="37">
        <f t="shared" si="35"/>
        <v>197000</v>
      </c>
      <c r="K92" s="37">
        <f t="shared" si="35"/>
        <v>197000</v>
      </c>
      <c r="L92" s="37">
        <f t="shared" si="35"/>
        <v>197000</v>
      </c>
      <c r="M92" s="37">
        <f>D92-SUM(F92:L92)</f>
        <v>194000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265000</v>
      </c>
      <c r="E93" s="109" t="s">
        <v>227</v>
      </c>
      <c r="F93" s="37">
        <f>ROUND($D93/12,-3)</f>
        <v>22000</v>
      </c>
      <c r="G93" s="37">
        <f t="shared" ref="G93:P93" si="36">ROUND($D93/12,-3)</f>
        <v>22000</v>
      </c>
      <c r="H93" s="37">
        <f t="shared" si="36"/>
        <v>22000</v>
      </c>
      <c r="I93" s="37">
        <f t="shared" si="36"/>
        <v>22000</v>
      </c>
      <c r="J93" s="37">
        <f t="shared" si="36"/>
        <v>22000</v>
      </c>
      <c r="K93" s="37">
        <f t="shared" si="36"/>
        <v>22000</v>
      </c>
      <c r="L93" s="37">
        <f t="shared" si="36"/>
        <v>22000</v>
      </c>
      <c r="M93" s="37">
        <f t="shared" si="36"/>
        <v>22000</v>
      </c>
      <c r="N93" s="37">
        <f t="shared" si="36"/>
        <v>22000</v>
      </c>
      <c r="O93" s="37">
        <f t="shared" si="36"/>
        <v>22000</v>
      </c>
      <c r="P93" s="37">
        <f t="shared" si="36"/>
        <v>22000</v>
      </c>
      <c r="Q93" s="37">
        <f>D93-SUM(F93:P93)</f>
        <v>23000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350000</v>
      </c>
      <c r="E94" s="110" t="s">
        <v>229</v>
      </c>
      <c r="F94" s="37"/>
      <c r="G94" s="37"/>
      <c r="H94" s="37">
        <f>ROUND($D94/2,-3)</f>
        <v>175000</v>
      </c>
      <c r="I94" s="37"/>
      <c r="J94" s="37"/>
      <c r="K94" s="37"/>
      <c r="L94" s="37"/>
      <c r="M94" s="37"/>
      <c r="N94" s="37"/>
      <c r="O94" s="37">
        <f>D94-H94</f>
        <v>175000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47652000</v>
      </c>
      <c r="E95" s="37"/>
      <c r="F95" s="37">
        <f>F2+F86-F88-F89-F90-F92-F93-F94</f>
        <v>13492000</v>
      </c>
      <c r="G95" s="37">
        <f t="shared" ref="G95:Q95" si="37">G2-G88-G89-G90-G92-G93-G94</f>
        <v>3448000</v>
      </c>
      <c r="H95" s="37">
        <f t="shared" si="37"/>
        <v>3398000</v>
      </c>
      <c r="I95" s="37">
        <f t="shared" si="37"/>
        <v>3984000</v>
      </c>
      <c r="J95" s="37">
        <f t="shared" si="37"/>
        <v>3461000</v>
      </c>
      <c r="K95" s="37">
        <f t="shared" si="37"/>
        <v>3469000</v>
      </c>
      <c r="L95" s="37">
        <f t="shared" si="37"/>
        <v>3489000</v>
      </c>
      <c r="M95" s="37">
        <f t="shared" si="37"/>
        <v>3464000</v>
      </c>
      <c r="N95" s="37">
        <f t="shared" si="37"/>
        <v>5754000</v>
      </c>
      <c r="O95" s="37">
        <f t="shared" si="37"/>
        <v>3489000</v>
      </c>
      <c r="P95" s="37">
        <f t="shared" si="37"/>
        <v>105000</v>
      </c>
      <c r="Q95" s="37">
        <f t="shared" si="37"/>
        <v>99000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0</v>
      </c>
    </row>
    <row r="99" spans="2:17" ht="32.4">
      <c r="B99" s="72" t="s">
        <v>235</v>
      </c>
      <c r="D99" s="30">
        <f>HLOOKUP(D1,縣庫撥款收入明細表!H:DD,5,FALSE)</f>
        <v>1200000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1159000</v>
      </c>
    </row>
    <row r="102" spans="2:17" ht="32.4">
      <c r="B102" s="71" t="s">
        <v>238</v>
      </c>
      <c r="D102" s="30">
        <f>HLOOKUP(D1,縣庫撥款收入明細表!H:DD,16,FALSE)</f>
        <v>252000</v>
      </c>
    </row>
    <row r="103" spans="2:17" ht="32.4">
      <c r="B103" s="72" t="s">
        <v>239</v>
      </c>
      <c r="D103" s="30">
        <f>HLOOKUP(D1,縣庫撥款收入明細表!H:DD,17,FALSE)</f>
        <v>0</v>
      </c>
    </row>
    <row r="104" spans="2:17" ht="32.4">
      <c r="B104" s="76" t="s">
        <v>240</v>
      </c>
      <c r="D104" s="30">
        <f>HLOOKUP(D1,縣庫撥款收入明細表!H:DD,18,FALSE)</f>
        <v>350000</v>
      </c>
    </row>
    <row r="105" spans="2:17" ht="32.4">
      <c r="B105" s="72" t="s">
        <v>380</v>
      </c>
      <c r="D105" s="30">
        <f>HLOOKUP(D1,縣庫撥款收入明細表!H:DD,19,FALSE)</f>
        <v>0</v>
      </c>
    </row>
    <row r="106" spans="2:17" ht="32.4">
      <c r="B106" s="71" t="s">
        <v>241</v>
      </c>
      <c r="D106" s="30">
        <f>HLOOKUP(D1,縣庫撥款收入明細表!H:DD,20,FALSE)</f>
        <v>13000</v>
      </c>
    </row>
    <row r="107" spans="2:17" ht="32.4">
      <c r="B107" s="77" t="s">
        <v>242</v>
      </c>
      <c r="D107" s="30">
        <f>HLOOKUP(D1,縣庫撥款收入明細表!H:DD,21,FALSE)</f>
        <v>47652000</v>
      </c>
    </row>
    <row r="108" spans="2:17" ht="16.5" customHeight="1"/>
    <row r="109" spans="2:17" ht="16.5" customHeight="1">
      <c r="B109" s="4" t="s">
        <v>682</v>
      </c>
      <c r="D109" s="30">
        <f>D91-D76</f>
        <v>40067000</v>
      </c>
      <c r="F109" s="30">
        <f>F91-F76</f>
        <v>11842000</v>
      </c>
      <c r="G109" s="30">
        <f t="shared" ref="G109:Q109" si="38">G91-G76</f>
        <v>2788000</v>
      </c>
      <c r="H109" s="30">
        <f t="shared" si="38"/>
        <v>2913000</v>
      </c>
      <c r="I109" s="30">
        <f t="shared" si="38"/>
        <v>3324000</v>
      </c>
      <c r="J109" s="30">
        <f t="shared" si="38"/>
        <v>2801000</v>
      </c>
      <c r="K109" s="30">
        <f t="shared" si="38"/>
        <v>2809000</v>
      </c>
      <c r="L109" s="30">
        <f t="shared" si="38"/>
        <v>2829000</v>
      </c>
      <c r="M109" s="30">
        <f t="shared" si="38"/>
        <v>2801000</v>
      </c>
      <c r="N109" s="30">
        <f t="shared" si="38"/>
        <v>4897000</v>
      </c>
      <c r="O109" s="30">
        <f t="shared" si="38"/>
        <v>2814000</v>
      </c>
      <c r="P109" s="30">
        <f t="shared" si="38"/>
        <v>127000</v>
      </c>
      <c r="Q109" s="30">
        <f t="shared" si="38"/>
        <v>122000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38" priority="1" operator="lessThan">
      <formula>0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topLeftCell="A100"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634</v>
      </c>
      <c r="D1" s="240" t="str">
        <f>VLOOKUP(C1,學校編號!A:B,2,FALSE)</f>
        <v>634大榮國小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25559000</v>
      </c>
      <c r="E2" s="37"/>
      <c r="F2" s="37">
        <f>F48+F70+F76+F77+F83</f>
        <v>7378000</v>
      </c>
      <c r="G2" s="37">
        <f t="shared" ref="G2:Q2" si="0">G48+G70+G76+G77+G83</f>
        <v>1842000</v>
      </c>
      <c r="H2" s="37">
        <f t="shared" si="0"/>
        <v>1942000</v>
      </c>
      <c r="I2" s="37">
        <f t="shared" si="0"/>
        <v>2097000</v>
      </c>
      <c r="J2" s="37">
        <f t="shared" si="0"/>
        <v>1848000</v>
      </c>
      <c r="K2" s="37">
        <f t="shared" si="0"/>
        <v>1852000</v>
      </c>
      <c r="L2" s="37">
        <f t="shared" si="0"/>
        <v>1864000</v>
      </c>
      <c r="M2" s="37">
        <f t="shared" si="0"/>
        <v>1848000</v>
      </c>
      <c r="N2" s="37">
        <f t="shared" si="0"/>
        <v>2899000</v>
      </c>
      <c r="O2" s="37">
        <f t="shared" si="0"/>
        <v>1846000</v>
      </c>
      <c r="P2" s="37">
        <f t="shared" si="0"/>
        <v>75000</v>
      </c>
      <c r="Q2" s="37">
        <f t="shared" si="0"/>
        <v>68000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25000</v>
      </c>
      <c r="E10" s="37" t="s">
        <v>525</v>
      </c>
      <c r="F10" s="37">
        <f t="shared" si="1"/>
        <v>2083</v>
      </c>
      <c r="G10" s="37">
        <f t="shared" si="1"/>
        <v>2083</v>
      </c>
      <c r="H10" s="37">
        <f t="shared" si="1"/>
        <v>2083</v>
      </c>
      <c r="I10" s="37">
        <f t="shared" si="1"/>
        <v>2083</v>
      </c>
      <c r="J10" s="37">
        <f t="shared" si="1"/>
        <v>2083</v>
      </c>
      <c r="K10" s="37">
        <f t="shared" si="1"/>
        <v>2083</v>
      </c>
      <c r="L10" s="37">
        <f t="shared" si="1"/>
        <v>2083</v>
      </c>
      <c r="M10" s="37">
        <f t="shared" si="1"/>
        <v>2083</v>
      </c>
      <c r="N10" s="37">
        <f t="shared" si="1"/>
        <v>2083</v>
      </c>
      <c r="O10" s="37">
        <f t="shared" si="1"/>
        <v>2083</v>
      </c>
      <c r="P10" s="37">
        <f t="shared" si="1"/>
        <v>2083</v>
      </c>
      <c r="Q10" s="37">
        <f t="shared" si="2"/>
        <v>2087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23000</v>
      </c>
      <c r="E11" s="37" t="s">
        <v>195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515000</v>
      </c>
      <c r="E12" s="113" t="s">
        <v>202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42000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34000</v>
      </c>
      <c r="E15" s="37" t="s">
        <v>193</v>
      </c>
      <c r="F15" s="37">
        <f>ROUND($D15/2,-3)</f>
        <v>17000</v>
      </c>
      <c r="G15" s="37"/>
      <c r="H15" s="37"/>
      <c r="I15" s="37"/>
      <c r="J15" s="37"/>
      <c r="K15" s="37"/>
      <c r="L15" s="37">
        <f>D15-F15</f>
        <v>17000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1063000</v>
      </c>
      <c r="E25" s="108"/>
      <c r="F25" s="108">
        <f>ROUND(SUM(F3:F24),-3)</f>
        <v>210000</v>
      </c>
      <c r="G25" s="108">
        <f t="shared" ref="G25:P25" si="5">ROUND(SUM(G3:G24),-3)</f>
        <v>84000</v>
      </c>
      <c r="H25" s="108">
        <f t="shared" si="5"/>
        <v>84000</v>
      </c>
      <c r="I25" s="108">
        <f t="shared" si="5"/>
        <v>84000</v>
      </c>
      <c r="J25" s="108">
        <f t="shared" si="5"/>
        <v>84000</v>
      </c>
      <c r="K25" s="108">
        <f t="shared" si="5"/>
        <v>84000</v>
      </c>
      <c r="L25" s="108">
        <f t="shared" si="5"/>
        <v>101000</v>
      </c>
      <c r="M25" s="108">
        <f t="shared" si="5"/>
        <v>84000</v>
      </c>
      <c r="N25" s="108">
        <f t="shared" si="5"/>
        <v>84000</v>
      </c>
      <c r="O25" s="108">
        <f t="shared" si="5"/>
        <v>83000</v>
      </c>
      <c r="P25" s="108">
        <f t="shared" si="5"/>
        <v>41000</v>
      </c>
      <c r="Q25" s="108">
        <f t="shared" ref="Q25:Q33" si="6">D25-SUM(F25:P25)</f>
        <v>40000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55000</v>
      </c>
      <c r="E26" s="114" t="s">
        <v>204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1000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9000</v>
      </c>
      <c r="E30" s="37" t="s">
        <v>525</v>
      </c>
      <c r="F30" s="37">
        <f t="shared" si="8"/>
        <v>750</v>
      </c>
      <c r="G30" s="37">
        <f t="shared" si="8"/>
        <v>750</v>
      </c>
      <c r="H30" s="37">
        <f t="shared" si="8"/>
        <v>750</v>
      </c>
      <c r="I30" s="37">
        <f t="shared" si="8"/>
        <v>750</v>
      </c>
      <c r="J30" s="37">
        <f t="shared" si="8"/>
        <v>750</v>
      </c>
      <c r="K30" s="37">
        <f t="shared" si="8"/>
        <v>750</v>
      </c>
      <c r="L30" s="37">
        <f t="shared" si="8"/>
        <v>750</v>
      </c>
      <c r="M30" s="37">
        <f t="shared" si="8"/>
        <v>750</v>
      </c>
      <c r="N30" s="37">
        <f t="shared" si="8"/>
        <v>750</v>
      </c>
      <c r="O30" s="37">
        <f t="shared" si="8"/>
        <v>750</v>
      </c>
      <c r="P30" s="37">
        <f t="shared" si="8"/>
        <v>750</v>
      </c>
      <c r="Q30" s="37">
        <f t="shared" si="6"/>
        <v>750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5000</v>
      </c>
      <c r="E31" s="37" t="s">
        <v>525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335000</v>
      </c>
      <c r="E37" s="108"/>
      <c r="F37" s="108">
        <f t="shared" ref="F37:P37" si="9">ROUND(SUM(F26:F36),-3)</f>
        <v>29000</v>
      </c>
      <c r="G37" s="108">
        <f t="shared" si="9"/>
        <v>23000</v>
      </c>
      <c r="H37" s="108">
        <f t="shared" si="9"/>
        <v>29000</v>
      </c>
      <c r="I37" s="108">
        <f t="shared" si="9"/>
        <v>29000</v>
      </c>
      <c r="J37" s="108">
        <f t="shared" si="9"/>
        <v>29000</v>
      </c>
      <c r="K37" s="108">
        <f t="shared" si="9"/>
        <v>29000</v>
      </c>
      <c r="L37" s="108">
        <f t="shared" si="9"/>
        <v>23000</v>
      </c>
      <c r="M37" s="108">
        <f t="shared" si="9"/>
        <v>29000</v>
      </c>
      <c r="N37" s="108">
        <f t="shared" si="9"/>
        <v>29000</v>
      </c>
      <c r="O37" s="108">
        <f t="shared" si="9"/>
        <v>29000</v>
      </c>
      <c r="P37" s="108">
        <f t="shared" si="9"/>
        <v>29000</v>
      </c>
      <c r="Q37" s="108">
        <f>D37-SUM(F37:P37)</f>
        <v>28000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5000</v>
      </c>
      <c r="E42" s="37" t="s">
        <v>199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5000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11000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5000</v>
      </c>
      <c r="J45" s="108">
        <f t="shared" si="12"/>
        <v>0</v>
      </c>
      <c r="K45" s="108">
        <f t="shared" si="12"/>
        <v>0</v>
      </c>
      <c r="L45" s="108">
        <f t="shared" si="12"/>
        <v>5000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1421000</v>
      </c>
      <c r="E48" s="37"/>
      <c r="F48" s="115">
        <f>F25+F37+F45+F47</f>
        <v>244000</v>
      </c>
      <c r="G48" s="115">
        <f t="shared" ref="G48:R48" si="14">G25+G37+G45+G47</f>
        <v>107000</v>
      </c>
      <c r="H48" s="115">
        <f t="shared" si="14"/>
        <v>113000</v>
      </c>
      <c r="I48" s="115">
        <f t="shared" si="14"/>
        <v>118000</v>
      </c>
      <c r="J48" s="115">
        <f t="shared" si="14"/>
        <v>113000</v>
      </c>
      <c r="K48" s="115">
        <f t="shared" si="14"/>
        <v>117000</v>
      </c>
      <c r="L48" s="115">
        <f t="shared" si="14"/>
        <v>129000</v>
      </c>
      <c r="M48" s="115">
        <f t="shared" si="14"/>
        <v>113000</v>
      </c>
      <c r="N48" s="115">
        <f t="shared" si="14"/>
        <v>117000</v>
      </c>
      <c r="O48" s="115">
        <f t="shared" si="14"/>
        <v>112000</v>
      </c>
      <c r="P48" s="115">
        <f t="shared" si="14"/>
        <v>70000</v>
      </c>
      <c r="Q48" s="115">
        <f t="shared" si="14"/>
        <v>68000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11554000</v>
      </c>
      <c r="E49" s="114" t="s">
        <v>202</v>
      </c>
      <c r="F49" s="37">
        <f>ROUND($D49/12*3,-3)</f>
        <v>2889000</v>
      </c>
      <c r="G49" s="37">
        <f>ROUND($D49/12,-3)</f>
        <v>963000</v>
      </c>
      <c r="H49" s="37">
        <f t="shared" ref="H49:N53" si="15">ROUND($D49/12,-3)</f>
        <v>963000</v>
      </c>
      <c r="I49" s="37">
        <f t="shared" si="15"/>
        <v>963000</v>
      </c>
      <c r="J49" s="37">
        <f t="shared" si="15"/>
        <v>963000</v>
      </c>
      <c r="K49" s="37">
        <f t="shared" si="15"/>
        <v>963000</v>
      </c>
      <c r="L49" s="37">
        <f t="shared" si="15"/>
        <v>963000</v>
      </c>
      <c r="M49" s="37">
        <f t="shared" si="15"/>
        <v>963000</v>
      </c>
      <c r="N49" s="37">
        <f t="shared" si="15"/>
        <v>963000</v>
      </c>
      <c r="O49" s="37">
        <f>D49-SUM(F49:N49)</f>
        <v>961000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406000</v>
      </c>
      <c r="E50" s="114" t="s">
        <v>202</v>
      </c>
      <c r="F50" s="37">
        <f t="shared" ref="F50:F53" si="16">ROUND($D50/12*3,-3)</f>
        <v>102000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si="15"/>
        <v>34000</v>
      </c>
      <c r="N50" s="37">
        <f t="shared" si="15"/>
        <v>34000</v>
      </c>
      <c r="O50" s="37">
        <f t="shared" ref="O50:O53" si="18">D50-SUM(F50:N50)</f>
        <v>32000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1349000</v>
      </c>
      <c r="E51" s="114" t="s">
        <v>202</v>
      </c>
      <c r="F51" s="37">
        <f t="shared" si="16"/>
        <v>337000</v>
      </c>
      <c r="G51" s="37">
        <f t="shared" si="17"/>
        <v>112000</v>
      </c>
      <c r="H51" s="37">
        <f t="shared" si="15"/>
        <v>112000</v>
      </c>
      <c r="I51" s="37">
        <f t="shared" si="15"/>
        <v>112000</v>
      </c>
      <c r="J51" s="37">
        <f t="shared" si="15"/>
        <v>112000</v>
      </c>
      <c r="K51" s="37">
        <f t="shared" si="15"/>
        <v>112000</v>
      </c>
      <c r="L51" s="37">
        <f t="shared" si="15"/>
        <v>112000</v>
      </c>
      <c r="M51" s="37">
        <f t="shared" si="15"/>
        <v>112000</v>
      </c>
      <c r="N51" s="37">
        <f t="shared" si="15"/>
        <v>112000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343000</v>
      </c>
      <c r="E60" s="37" t="s">
        <v>195</v>
      </c>
      <c r="F60" s="37">
        <f>D60</f>
        <v>343000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1219000</v>
      </c>
      <c r="E62" s="37" t="s">
        <v>197</v>
      </c>
      <c r="F62" s="37"/>
      <c r="G62" s="37"/>
      <c r="H62" s="37"/>
      <c r="I62" s="37">
        <f>ROUND($D62/5,-3)</f>
        <v>244000</v>
      </c>
      <c r="J62" s="37"/>
      <c r="K62" s="37"/>
      <c r="L62" s="37"/>
      <c r="M62" s="37"/>
      <c r="N62" s="37">
        <f>D62-I62</f>
        <v>975000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1479000</v>
      </c>
      <c r="E63" s="37" t="s">
        <v>195</v>
      </c>
      <c r="F63" s="37">
        <f>D63</f>
        <v>1479000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1148000</v>
      </c>
      <c r="E64" s="114" t="s">
        <v>202</v>
      </c>
      <c r="F64" s="37">
        <f>ROUND($D64/12*3,-3)</f>
        <v>287000</v>
      </c>
      <c r="G64" s="37">
        <f>ROUND($D64/12,-3)</f>
        <v>96000</v>
      </c>
      <c r="H64" s="37">
        <f t="shared" ref="H64:N66" si="21">ROUND($D64/12,-3)</f>
        <v>96000</v>
      </c>
      <c r="I64" s="37">
        <f t="shared" si="21"/>
        <v>96000</v>
      </c>
      <c r="J64" s="37">
        <f t="shared" si="21"/>
        <v>96000</v>
      </c>
      <c r="K64" s="37">
        <f t="shared" si="21"/>
        <v>96000</v>
      </c>
      <c r="L64" s="37">
        <f t="shared" si="21"/>
        <v>96000</v>
      </c>
      <c r="M64" s="37">
        <f t="shared" si="21"/>
        <v>96000</v>
      </c>
      <c r="N64" s="37">
        <f t="shared" si="21"/>
        <v>96000</v>
      </c>
      <c r="O64" s="37">
        <f>D64-SUM(F64:N64)</f>
        <v>93000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231000</v>
      </c>
      <c r="E65" s="114" t="s">
        <v>202</v>
      </c>
      <c r="F65" s="37">
        <f t="shared" ref="F65:F66" si="22">ROUND($D65/12*3,-3)</f>
        <v>58000</v>
      </c>
      <c r="G65" s="37">
        <f t="shared" ref="G65:G66" si="23">ROUND($D65/12,-3)</f>
        <v>19000</v>
      </c>
      <c r="H65" s="37">
        <f t="shared" si="21"/>
        <v>19000</v>
      </c>
      <c r="I65" s="37">
        <f t="shared" si="21"/>
        <v>19000</v>
      </c>
      <c r="J65" s="37">
        <f t="shared" si="21"/>
        <v>19000</v>
      </c>
      <c r="K65" s="37">
        <f t="shared" si="21"/>
        <v>19000</v>
      </c>
      <c r="L65" s="37">
        <f t="shared" si="21"/>
        <v>19000</v>
      </c>
      <c r="M65" s="37">
        <f t="shared" si="21"/>
        <v>19000</v>
      </c>
      <c r="N65" s="37">
        <f t="shared" si="21"/>
        <v>19000</v>
      </c>
      <c r="O65" s="37">
        <f t="shared" ref="O65:O66" si="24">D65-SUM(F65:N65)</f>
        <v>21000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1046000</v>
      </c>
      <c r="E66" s="114" t="s">
        <v>202</v>
      </c>
      <c r="F66" s="37">
        <f t="shared" si="22"/>
        <v>262000</v>
      </c>
      <c r="G66" s="37">
        <f t="shared" si="23"/>
        <v>87000</v>
      </c>
      <c r="H66" s="37">
        <f t="shared" si="21"/>
        <v>87000</v>
      </c>
      <c r="I66" s="37">
        <f t="shared" si="21"/>
        <v>87000</v>
      </c>
      <c r="J66" s="37">
        <f t="shared" si="21"/>
        <v>87000</v>
      </c>
      <c r="K66" s="37">
        <f t="shared" si="21"/>
        <v>87000</v>
      </c>
      <c r="L66" s="37">
        <f t="shared" si="21"/>
        <v>87000</v>
      </c>
      <c r="M66" s="37">
        <f t="shared" si="21"/>
        <v>87000</v>
      </c>
      <c r="N66" s="37">
        <f t="shared" si="21"/>
        <v>87000</v>
      </c>
      <c r="O66" s="37">
        <f t="shared" si="24"/>
        <v>88000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22000</v>
      </c>
      <c r="E67" s="37" t="s">
        <v>196</v>
      </c>
      <c r="F67" s="37"/>
      <c r="G67" s="37"/>
      <c r="H67" s="37">
        <f>D67</f>
        <v>22000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115000</v>
      </c>
      <c r="E68" s="37" t="s">
        <v>195</v>
      </c>
      <c r="F68" s="37">
        <f>D68</f>
        <v>115000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19232000</v>
      </c>
      <c r="E70" s="108"/>
      <c r="F70" s="108">
        <f t="shared" ref="F70:P70" si="25">ROUND(SUM(F49:F69),-3)</f>
        <v>5943000</v>
      </c>
      <c r="G70" s="108">
        <f t="shared" si="25"/>
        <v>1338000</v>
      </c>
      <c r="H70" s="108">
        <f t="shared" si="25"/>
        <v>1360000</v>
      </c>
      <c r="I70" s="108">
        <f t="shared" si="25"/>
        <v>1582000</v>
      </c>
      <c r="J70" s="108">
        <f t="shared" si="25"/>
        <v>1338000</v>
      </c>
      <c r="K70" s="108">
        <f t="shared" si="25"/>
        <v>1338000</v>
      </c>
      <c r="L70" s="108">
        <f t="shared" si="25"/>
        <v>1338000</v>
      </c>
      <c r="M70" s="108">
        <f t="shared" si="25"/>
        <v>1338000</v>
      </c>
      <c r="N70" s="108">
        <f t="shared" si="25"/>
        <v>2313000</v>
      </c>
      <c r="O70" s="108">
        <f t="shared" si="25"/>
        <v>1339000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4358000</v>
      </c>
      <c r="E72" s="114" t="s">
        <v>202</v>
      </c>
      <c r="F72" s="37">
        <f>ROUND($D72/12*3,-3)</f>
        <v>1090000</v>
      </c>
      <c r="G72" s="37">
        <f>ROUND($D72/12,-3)</f>
        <v>363000</v>
      </c>
      <c r="H72" s="37">
        <f t="shared" ref="H72:N75" si="26">ROUND($D72/12,-3)</f>
        <v>363000</v>
      </c>
      <c r="I72" s="37">
        <f t="shared" si="26"/>
        <v>363000</v>
      </c>
      <c r="J72" s="37">
        <f t="shared" si="26"/>
        <v>363000</v>
      </c>
      <c r="K72" s="37">
        <f t="shared" si="26"/>
        <v>363000</v>
      </c>
      <c r="L72" s="37">
        <f t="shared" si="26"/>
        <v>363000</v>
      </c>
      <c r="M72" s="37">
        <f t="shared" si="26"/>
        <v>363000</v>
      </c>
      <c r="N72" s="37">
        <f t="shared" si="26"/>
        <v>363000</v>
      </c>
      <c r="O72" s="37">
        <f>D72-SUM(F72:N72)</f>
        <v>364000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404000</v>
      </c>
      <c r="E75" s="114" t="s">
        <v>202</v>
      </c>
      <c r="F75" s="37">
        <f>ROUND($D75/12*3,-3)</f>
        <v>101000</v>
      </c>
      <c r="G75" s="37">
        <f>ROUND($D75/12,-3)</f>
        <v>34000</v>
      </c>
      <c r="H75" s="37">
        <f t="shared" si="26"/>
        <v>34000</v>
      </c>
      <c r="I75" s="37">
        <f t="shared" si="26"/>
        <v>34000</v>
      </c>
      <c r="J75" s="37">
        <f t="shared" si="26"/>
        <v>34000</v>
      </c>
      <c r="K75" s="37">
        <f t="shared" si="26"/>
        <v>34000</v>
      </c>
      <c r="L75" s="37">
        <f t="shared" si="26"/>
        <v>34000</v>
      </c>
      <c r="M75" s="37">
        <f t="shared" si="26"/>
        <v>34000</v>
      </c>
      <c r="N75" s="37">
        <f t="shared" si="26"/>
        <v>34000</v>
      </c>
      <c r="O75" s="37">
        <f>D75-SUM(F75:N75)</f>
        <v>31000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4762000</v>
      </c>
      <c r="E76" s="108"/>
      <c r="F76" s="108">
        <f>ROUND(SUM(F71:F75),-3)</f>
        <v>1191000</v>
      </c>
      <c r="G76" s="108">
        <f t="shared" ref="G76:N76" si="27">ROUND(SUM(G71:G75),-3)</f>
        <v>397000</v>
      </c>
      <c r="H76" s="108">
        <f t="shared" si="27"/>
        <v>397000</v>
      </c>
      <c r="I76" s="108">
        <f t="shared" si="27"/>
        <v>397000</v>
      </c>
      <c r="J76" s="108">
        <f t="shared" si="27"/>
        <v>397000</v>
      </c>
      <c r="K76" s="108">
        <f t="shared" si="27"/>
        <v>397000</v>
      </c>
      <c r="L76" s="108">
        <f t="shared" si="27"/>
        <v>397000</v>
      </c>
      <c r="M76" s="108">
        <f t="shared" si="27"/>
        <v>397000</v>
      </c>
      <c r="N76" s="108">
        <f t="shared" si="27"/>
        <v>397000</v>
      </c>
      <c r="O76" s="108">
        <f>D76-SUM(F76:N76)</f>
        <v>395000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144000</v>
      </c>
      <c r="E77" s="37" t="s">
        <v>681</v>
      </c>
      <c r="F77" s="224"/>
      <c r="G77" s="224"/>
      <c r="H77" s="224">
        <f>ROUND($D77/2,-3)</f>
        <v>72000</v>
      </c>
      <c r="I77" s="224"/>
      <c r="J77" s="224"/>
      <c r="K77" s="224"/>
      <c r="L77" s="224"/>
      <c r="M77" s="224"/>
      <c r="N77" s="224">
        <f>D77-H77</f>
        <v>72000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24138000</v>
      </c>
      <c r="E78" s="227"/>
      <c r="F78" s="227">
        <f>F76+F70+F77</f>
        <v>7134000</v>
      </c>
      <c r="G78" s="227">
        <f t="shared" ref="G78:Q78" si="29">G76+G70+G77</f>
        <v>1735000</v>
      </c>
      <c r="H78" s="227">
        <f t="shared" si="29"/>
        <v>1829000</v>
      </c>
      <c r="I78" s="227">
        <f t="shared" si="29"/>
        <v>1979000</v>
      </c>
      <c r="J78" s="227">
        <f t="shared" si="29"/>
        <v>1735000</v>
      </c>
      <c r="K78" s="227">
        <f t="shared" si="29"/>
        <v>1735000</v>
      </c>
      <c r="L78" s="227">
        <f t="shared" si="29"/>
        <v>1735000</v>
      </c>
      <c r="M78" s="227">
        <f t="shared" si="29"/>
        <v>1735000</v>
      </c>
      <c r="N78" s="227">
        <f t="shared" si="29"/>
        <v>2782000</v>
      </c>
      <c r="O78" s="227">
        <f t="shared" si="29"/>
        <v>1734000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25559000</v>
      </c>
      <c r="E87" s="37"/>
      <c r="F87" s="37">
        <f>F88+F89+F90+F91</f>
        <v>7378000</v>
      </c>
      <c r="G87" s="37">
        <f t="shared" ref="G87:Q87" si="32">G88+G89+G90+G91</f>
        <v>1842000</v>
      </c>
      <c r="H87" s="37">
        <f t="shared" si="32"/>
        <v>1942000</v>
      </c>
      <c r="I87" s="37">
        <f t="shared" si="32"/>
        <v>2097000</v>
      </c>
      <c r="J87" s="37">
        <f t="shared" si="32"/>
        <v>1848000</v>
      </c>
      <c r="K87" s="37">
        <f t="shared" si="32"/>
        <v>1852000</v>
      </c>
      <c r="L87" s="37">
        <f t="shared" si="32"/>
        <v>1864000</v>
      </c>
      <c r="M87" s="37">
        <f t="shared" si="32"/>
        <v>1848000</v>
      </c>
      <c r="N87" s="37">
        <f t="shared" si="32"/>
        <v>2899000</v>
      </c>
      <c r="O87" s="37">
        <f t="shared" si="32"/>
        <v>1846000</v>
      </c>
      <c r="P87" s="37">
        <f t="shared" si="32"/>
        <v>75000</v>
      </c>
      <c r="Q87" s="37">
        <f t="shared" si="32"/>
        <v>68000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0</v>
      </c>
      <c r="E88" s="108" t="s">
        <v>193</v>
      </c>
      <c r="F88" s="108">
        <f>ROUND($D88/2,-3)</f>
        <v>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25558000</v>
      </c>
      <c r="E91" s="108"/>
      <c r="F91" s="108">
        <f>F92+F93+F94+F95</f>
        <v>7378000</v>
      </c>
      <c r="G91" s="108">
        <f t="shared" ref="G91:Q91" si="34">G92+G93+G94+G95</f>
        <v>1842000</v>
      </c>
      <c r="H91" s="108">
        <f t="shared" si="34"/>
        <v>1942000</v>
      </c>
      <c r="I91" s="108">
        <f t="shared" si="34"/>
        <v>2097000</v>
      </c>
      <c r="J91" s="108">
        <f t="shared" si="34"/>
        <v>1848000</v>
      </c>
      <c r="K91" s="108">
        <f t="shared" si="34"/>
        <v>1852000</v>
      </c>
      <c r="L91" s="108">
        <f t="shared" si="34"/>
        <v>1864000</v>
      </c>
      <c r="M91" s="108">
        <f t="shared" si="34"/>
        <v>1848000</v>
      </c>
      <c r="N91" s="108">
        <f t="shared" si="34"/>
        <v>2899000</v>
      </c>
      <c r="O91" s="108">
        <f t="shared" si="34"/>
        <v>1846000</v>
      </c>
      <c r="P91" s="108">
        <f t="shared" si="34"/>
        <v>75000</v>
      </c>
      <c r="Q91" s="108">
        <f t="shared" si="34"/>
        <v>67000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3615000</v>
      </c>
      <c r="E92" s="114" t="s">
        <v>537</v>
      </c>
      <c r="F92" s="37">
        <f>ROUND($D92/12*5,-3)</f>
        <v>1506000</v>
      </c>
      <c r="G92" s="37">
        <f>ROUND($D92/12,-3)</f>
        <v>301000</v>
      </c>
      <c r="H92" s="37">
        <f t="shared" ref="H92:L92" si="35">ROUND($D92/12,-3)</f>
        <v>301000</v>
      </c>
      <c r="I92" s="37">
        <f t="shared" si="35"/>
        <v>301000</v>
      </c>
      <c r="J92" s="37">
        <f t="shared" si="35"/>
        <v>301000</v>
      </c>
      <c r="K92" s="37">
        <f t="shared" si="35"/>
        <v>301000</v>
      </c>
      <c r="L92" s="37">
        <f t="shared" si="35"/>
        <v>301000</v>
      </c>
      <c r="M92" s="37">
        <f>D92-SUM(F92:L92)</f>
        <v>303000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0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1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21853000</v>
      </c>
      <c r="E95" s="37"/>
      <c r="F95" s="37">
        <f>F2+F86-F88-F89-F90-F92-F93-F94</f>
        <v>5864000</v>
      </c>
      <c r="G95" s="37">
        <f t="shared" ref="G95:Q95" si="37">G2-G88-G89-G90-G92-G93-G94</f>
        <v>1533000</v>
      </c>
      <c r="H95" s="37">
        <f t="shared" si="37"/>
        <v>1633000</v>
      </c>
      <c r="I95" s="37">
        <f t="shared" si="37"/>
        <v>1788000</v>
      </c>
      <c r="J95" s="37">
        <f t="shared" si="37"/>
        <v>1539000</v>
      </c>
      <c r="K95" s="37">
        <f t="shared" si="37"/>
        <v>1543000</v>
      </c>
      <c r="L95" s="37">
        <f t="shared" si="37"/>
        <v>1555000</v>
      </c>
      <c r="M95" s="37">
        <f t="shared" si="37"/>
        <v>1537000</v>
      </c>
      <c r="N95" s="37">
        <f t="shared" si="37"/>
        <v>2891000</v>
      </c>
      <c r="O95" s="37">
        <f t="shared" si="37"/>
        <v>1838000</v>
      </c>
      <c r="P95" s="37">
        <f t="shared" si="37"/>
        <v>67000</v>
      </c>
      <c r="Q95" s="37">
        <f t="shared" si="37"/>
        <v>65000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0</v>
      </c>
    </row>
    <row r="99" spans="2:17" ht="32.4">
      <c r="B99" s="72" t="s">
        <v>235</v>
      </c>
      <c r="D99" s="30">
        <f>HLOOKUP(D1,縣庫撥款收入明細表!H:DD,5,FALSE)</f>
        <v>1300000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1015000</v>
      </c>
    </row>
    <row r="102" spans="2:17" ht="32.4">
      <c r="B102" s="71" t="s">
        <v>238</v>
      </c>
      <c r="D102" s="30">
        <f>HLOOKUP(D1,縣庫撥款收入明細表!H:DD,16,FALSE)</f>
        <v>84000</v>
      </c>
    </row>
    <row r="103" spans="2:17" ht="32.4">
      <c r="B103" s="72" t="s">
        <v>239</v>
      </c>
      <c r="D103" s="30">
        <f>HLOOKUP(D1,縣庫撥款收入明細表!H:DD,17,FALSE)</f>
        <v>650000</v>
      </c>
    </row>
    <row r="104" spans="2:17" ht="32.4">
      <c r="B104" s="76" t="s">
        <v>240</v>
      </c>
      <c r="D104" s="30">
        <f>HLOOKUP(D1,縣庫撥款收入明細表!H:DD,18,FALSE)</f>
        <v>0</v>
      </c>
    </row>
    <row r="105" spans="2:17" ht="32.4">
      <c r="B105" s="72" t="s">
        <v>380</v>
      </c>
      <c r="D105" s="30">
        <f>HLOOKUP(D1,縣庫撥款收入明細表!H:DD,19,FALSE)</f>
        <v>650000</v>
      </c>
    </row>
    <row r="106" spans="2:17" ht="32.4">
      <c r="B106" s="71" t="s">
        <v>241</v>
      </c>
      <c r="D106" s="30">
        <f>HLOOKUP(D1,縣庫撥款收入明細表!H:DD,20,FALSE)</f>
        <v>6000</v>
      </c>
    </row>
    <row r="107" spans="2:17" ht="32.4">
      <c r="B107" s="77" t="s">
        <v>242</v>
      </c>
      <c r="D107" s="30">
        <f>HLOOKUP(D1,縣庫撥款收入明細表!H:DD,21,FALSE)</f>
        <v>21853000</v>
      </c>
    </row>
    <row r="108" spans="2:17" ht="16.5" customHeight="1"/>
    <row r="109" spans="2:17" ht="16.5" customHeight="1">
      <c r="B109" s="4" t="s">
        <v>682</v>
      </c>
      <c r="D109" s="30">
        <f>D91-D76</f>
        <v>20796000</v>
      </c>
      <c r="F109" s="30">
        <f>F91-F76</f>
        <v>6187000</v>
      </c>
      <c r="G109" s="30">
        <f t="shared" ref="G109:Q109" si="38">G91-G76</f>
        <v>1445000</v>
      </c>
      <c r="H109" s="30">
        <f t="shared" si="38"/>
        <v>1545000</v>
      </c>
      <c r="I109" s="30">
        <f t="shared" si="38"/>
        <v>1700000</v>
      </c>
      <c r="J109" s="30">
        <f t="shared" si="38"/>
        <v>1451000</v>
      </c>
      <c r="K109" s="30">
        <f t="shared" si="38"/>
        <v>1455000</v>
      </c>
      <c r="L109" s="30">
        <f t="shared" si="38"/>
        <v>1467000</v>
      </c>
      <c r="M109" s="30">
        <f t="shared" si="38"/>
        <v>1451000</v>
      </c>
      <c r="N109" s="30">
        <f t="shared" si="38"/>
        <v>2502000</v>
      </c>
      <c r="O109" s="30">
        <f t="shared" si="38"/>
        <v>1451000</v>
      </c>
      <c r="P109" s="30">
        <f t="shared" si="38"/>
        <v>75000</v>
      </c>
      <c r="Q109" s="30">
        <f t="shared" si="38"/>
        <v>67000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36" priority="1" operator="lessThan">
      <formula>0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635</v>
      </c>
      <c r="D1" s="240" t="str">
        <f>VLOOKUP(C1,學校編號!A:B,2,FALSE)</f>
        <v>635林榮國小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HLOOKUP($D$1,概算表!$E$12:$DA$78,2,FALSE)</f>
        <v>21051000</v>
      </c>
      <c r="E2" s="37"/>
      <c r="F2" s="37">
        <f>F48+F70+F76+F77+F83</f>
        <v>6104000</v>
      </c>
      <c r="G2" s="37">
        <f t="shared" ref="G2:Q2" si="0">G48+G70+G76+G77+G83</f>
        <v>1495000</v>
      </c>
      <c r="H2" s="37">
        <f t="shared" si="0"/>
        <v>1558000</v>
      </c>
      <c r="I2" s="37">
        <f t="shared" si="0"/>
        <v>1742000</v>
      </c>
      <c r="J2" s="37">
        <f t="shared" si="0"/>
        <v>1495000</v>
      </c>
      <c r="K2" s="37">
        <f t="shared" si="0"/>
        <v>1495000</v>
      </c>
      <c r="L2" s="37">
        <f t="shared" si="0"/>
        <v>1509000</v>
      </c>
      <c r="M2" s="37">
        <f t="shared" si="0"/>
        <v>1495000</v>
      </c>
      <c r="N2" s="37">
        <f t="shared" si="0"/>
        <v>2529000</v>
      </c>
      <c r="O2" s="37">
        <f t="shared" si="0"/>
        <v>1492000</v>
      </c>
      <c r="P2" s="37">
        <f t="shared" si="0"/>
        <v>72000</v>
      </c>
      <c r="Q2" s="37">
        <f t="shared" si="0"/>
        <v>65000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164000</v>
      </c>
      <c r="E13" s="37" t="s">
        <v>525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28000</v>
      </c>
      <c r="E15" s="37" t="s">
        <v>193</v>
      </c>
      <c r="F15" s="37">
        <f>ROUND($D15/2,-3)</f>
        <v>14000</v>
      </c>
      <c r="G15" s="37"/>
      <c r="H15" s="37"/>
      <c r="I15" s="37"/>
      <c r="J15" s="37"/>
      <c r="K15" s="37"/>
      <c r="L15" s="37">
        <f>D15-F15</f>
        <v>14000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0</v>
      </c>
      <c r="E16" s="37" t="s">
        <v>525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554000</v>
      </c>
      <c r="E25" s="108"/>
      <c r="F25" s="108">
        <f>ROUND(SUM(F3:F24),-3)</f>
        <v>58000</v>
      </c>
      <c r="G25" s="108">
        <f t="shared" ref="G25:P25" si="5">ROUND(SUM(G3:G24),-3)</f>
        <v>44000</v>
      </c>
      <c r="H25" s="108">
        <f t="shared" si="5"/>
        <v>44000</v>
      </c>
      <c r="I25" s="108">
        <f t="shared" si="5"/>
        <v>44000</v>
      </c>
      <c r="J25" s="108">
        <f t="shared" si="5"/>
        <v>44000</v>
      </c>
      <c r="K25" s="108">
        <f t="shared" si="5"/>
        <v>44000</v>
      </c>
      <c r="L25" s="108">
        <f t="shared" si="5"/>
        <v>58000</v>
      </c>
      <c r="M25" s="108">
        <f t="shared" si="5"/>
        <v>44000</v>
      </c>
      <c r="N25" s="108">
        <f t="shared" si="5"/>
        <v>44000</v>
      </c>
      <c r="O25" s="108">
        <f t="shared" si="5"/>
        <v>44000</v>
      </c>
      <c r="P25" s="108">
        <f t="shared" si="5"/>
        <v>44000</v>
      </c>
      <c r="Q25" s="108">
        <f t="shared" ref="Q25:Q33" si="6">D25-SUM(F25:P25)</f>
        <v>42000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7000</v>
      </c>
      <c r="E30" s="37" t="s">
        <v>525</v>
      </c>
      <c r="F30" s="37">
        <f t="shared" si="8"/>
        <v>583</v>
      </c>
      <c r="G30" s="37">
        <f t="shared" si="8"/>
        <v>583</v>
      </c>
      <c r="H30" s="37">
        <f t="shared" si="8"/>
        <v>583</v>
      </c>
      <c r="I30" s="37">
        <f t="shared" si="8"/>
        <v>583</v>
      </c>
      <c r="J30" s="37">
        <f t="shared" si="8"/>
        <v>583</v>
      </c>
      <c r="K30" s="37">
        <f t="shared" si="8"/>
        <v>583</v>
      </c>
      <c r="L30" s="37">
        <f t="shared" si="8"/>
        <v>583</v>
      </c>
      <c r="M30" s="37">
        <f t="shared" si="8"/>
        <v>583</v>
      </c>
      <c r="N30" s="37">
        <f t="shared" si="8"/>
        <v>583</v>
      </c>
      <c r="O30" s="37">
        <f t="shared" si="8"/>
        <v>583</v>
      </c>
      <c r="P30" s="37">
        <f t="shared" si="8"/>
        <v>583</v>
      </c>
      <c r="Q30" s="37">
        <f t="shared" si="6"/>
        <v>587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3000</v>
      </c>
      <c r="E31" s="37" t="s">
        <v>525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276000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23000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830000</v>
      </c>
      <c r="E48" s="37"/>
      <c r="F48" s="115">
        <f>F25+F37+F45+F47</f>
        <v>81000</v>
      </c>
      <c r="G48" s="115">
        <f t="shared" ref="G48:R48" si="14">G25+G37+G45+G47</f>
        <v>67000</v>
      </c>
      <c r="H48" s="115">
        <f t="shared" si="14"/>
        <v>67000</v>
      </c>
      <c r="I48" s="115">
        <f t="shared" si="14"/>
        <v>67000</v>
      </c>
      <c r="J48" s="115">
        <f t="shared" si="14"/>
        <v>67000</v>
      </c>
      <c r="K48" s="115">
        <f t="shared" si="14"/>
        <v>67000</v>
      </c>
      <c r="L48" s="115">
        <f t="shared" si="14"/>
        <v>81000</v>
      </c>
      <c r="M48" s="115">
        <f t="shared" si="14"/>
        <v>67000</v>
      </c>
      <c r="N48" s="115">
        <f t="shared" si="14"/>
        <v>67000</v>
      </c>
      <c r="O48" s="115">
        <f t="shared" si="14"/>
        <v>67000</v>
      </c>
      <c r="P48" s="115">
        <f t="shared" si="14"/>
        <v>67000</v>
      </c>
      <c r="Q48" s="115">
        <f t="shared" si="14"/>
        <v>65000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10847000</v>
      </c>
      <c r="E49" s="114" t="s">
        <v>202</v>
      </c>
      <c r="F49" s="37">
        <f>ROUND($D49/12*3,-3)</f>
        <v>2712000</v>
      </c>
      <c r="G49" s="37">
        <f>ROUND($D49/12,-3)</f>
        <v>904000</v>
      </c>
      <c r="H49" s="37">
        <f t="shared" ref="H49:N53" si="15">ROUND($D49/12,-3)</f>
        <v>904000</v>
      </c>
      <c r="I49" s="37">
        <f t="shared" si="15"/>
        <v>904000</v>
      </c>
      <c r="J49" s="37">
        <f t="shared" si="15"/>
        <v>904000</v>
      </c>
      <c r="K49" s="37">
        <f t="shared" si="15"/>
        <v>904000</v>
      </c>
      <c r="L49" s="37">
        <f t="shared" si="15"/>
        <v>904000</v>
      </c>
      <c r="M49" s="37">
        <f t="shared" si="15"/>
        <v>904000</v>
      </c>
      <c r="N49" s="37">
        <f t="shared" si="15"/>
        <v>904000</v>
      </c>
      <c r="O49" s="37">
        <f>D49-SUM(F49:N49)</f>
        <v>903000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1349000</v>
      </c>
      <c r="E51" s="114" t="s">
        <v>202</v>
      </c>
      <c r="F51" s="37">
        <f t="shared" si="16"/>
        <v>337000</v>
      </c>
      <c r="G51" s="37">
        <f t="shared" si="17"/>
        <v>112000</v>
      </c>
      <c r="H51" s="37">
        <f t="shared" si="15"/>
        <v>112000</v>
      </c>
      <c r="I51" s="37">
        <f t="shared" si="15"/>
        <v>112000</v>
      </c>
      <c r="J51" s="37">
        <f t="shared" si="15"/>
        <v>112000</v>
      </c>
      <c r="K51" s="37">
        <f t="shared" si="15"/>
        <v>112000</v>
      </c>
      <c r="L51" s="37">
        <f t="shared" si="15"/>
        <v>112000</v>
      </c>
      <c r="M51" s="37">
        <f t="shared" si="15"/>
        <v>112000</v>
      </c>
      <c r="N51" s="37">
        <f t="shared" si="15"/>
        <v>112000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HLOOKUP($D$1,概算表!$E$12:$DA$78,47,FALSE)</f>
        <v>326000</v>
      </c>
      <c r="E60" s="37" t="s">
        <v>195</v>
      </c>
      <c r="F60" s="37">
        <f>D60</f>
        <v>326000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1237000</v>
      </c>
      <c r="E62" s="37" t="s">
        <v>197</v>
      </c>
      <c r="F62" s="37"/>
      <c r="G62" s="37"/>
      <c r="H62" s="37"/>
      <c r="I62" s="37">
        <f>ROUND($D62/5,-3)</f>
        <v>247000</v>
      </c>
      <c r="J62" s="37"/>
      <c r="K62" s="37"/>
      <c r="L62" s="37"/>
      <c r="M62" s="37"/>
      <c r="N62" s="37">
        <f>D62-I62</f>
        <v>990000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1324000</v>
      </c>
      <c r="E63" s="37" t="s">
        <v>195</v>
      </c>
      <c r="F63" s="37">
        <f>D63</f>
        <v>1324000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1082000</v>
      </c>
      <c r="E64" s="114" t="s">
        <v>202</v>
      </c>
      <c r="F64" s="37">
        <f>ROUND($D64/12*3,-3)</f>
        <v>271000</v>
      </c>
      <c r="G64" s="37">
        <f>ROUND($D64/12,-3)</f>
        <v>90000</v>
      </c>
      <c r="H64" s="37">
        <f t="shared" ref="H64:N66" si="21">ROUND($D64/12,-3)</f>
        <v>90000</v>
      </c>
      <c r="I64" s="37">
        <f t="shared" si="21"/>
        <v>90000</v>
      </c>
      <c r="J64" s="37">
        <f t="shared" si="21"/>
        <v>90000</v>
      </c>
      <c r="K64" s="37">
        <f t="shared" si="21"/>
        <v>90000</v>
      </c>
      <c r="L64" s="37">
        <f t="shared" si="21"/>
        <v>90000</v>
      </c>
      <c r="M64" s="37">
        <f t="shared" si="21"/>
        <v>90000</v>
      </c>
      <c r="N64" s="37">
        <f t="shared" si="21"/>
        <v>90000</v>
      </c>
      <c r="O64" s="37">
        <f>D64-SUM(F64:N64)</f>
        <v>91000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235000</v>
      </c>
      <c r="E65" s="114" t="s">
        <v>202</v>
      </c>
      <c r="F65" s="37">
        <f t="shared" ref="F65:F66" si="22">ROUND($D65/12*3,-3)</f>
        <v>59000</v>
      </c>
      <c r="G65" s="37">
        <f t="shared" ref="G65:G66" si="23">ROUND($D65/12,-3)</f>
        <v>20000</v>
      </c>
      <c r="H65" s="37">
        <f t="shared" si="21"/>
        <v>20000</v>
      </c>
      <c r="I65" s="37">
        <f t="shared" si="21"/>
        <v>20000</v>
      </c>
      <c r="J65" s="37">
        <f t="shared" si="21"/>
        <v>20000</v>
      </c>
      <c r="K65" s="37">
        <f t="shared" si="21"/>
        <v>20000</v>
      </c>
      <c r="L65" s="37">
        <f t="shared" si="21"/>
        <v>20000</v>
      </c>
      <c r="M65" s="37">
        <f t="shared" si="21"/>
        <v>20000</v>
      </c>
      <c r="N65" s="37">
        <f t="shared" si="21"/>
        <v>20000</v>
      </c>
      <c r="O65" s="37">
        <f t="shared" ref="O65:O66" si="24">D65-SUM(F65:N65)</f>
        <v>16000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858000</v>
      </c>
      <c r="E66" s="114" t="s">
        <v>202</v>
      </c>
      <c r="F66" s="37">
        <f t="shared" si="22"/>
        <v>215000</v>
      </c>
      <c r="G66" s="37">
        <f t="shared" si="23"/>
        <v>72000</v>
      </c>
      <c r="H66" s="37">
        <f t="shared" si="21"/>
        <v>72000</v>
      </c>
      <c r="I66" s="37">
        <f t="shared" si="21"/>
        <v>72000</v>
      </c>
      <c r="J66" s="37">
        <f t="shared" si="21"/>
        <v>72000</v>
      </c>
      <c r="K66" s="37">
        <f t="shared" si="21"/>
        <v>72000</v>
      </c>
      <c r="L66" s="37">
        <f t="shared" si="21"/>
        <v>72000</v>
      </c>
      <c r="M66" s="37">
        <f t="shared" si="21"/>
        <v>72000</v>
      </c>
      <c r="N66" s="37">
        <f t="shared" si="21"/>
        <v>72000</v>
      </c>
      <c r="O66" s="37">
        <f t="shared" si="24"/>
        <v>67000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18000</v>
      </c>
      <c r="E67" s="37" t="s">
        <v>196</v>
      </c>
      <c r="F67" s="37"/>
      <c r="G67" s="37"/>
      <c r="H67" s="37">
        <f>D67</f>
        <v>18000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99000</v>
      </c>
      <c r="E68" s="37" t="s">
        <v>195</v>
      </c>
      <c r="F68" s="37">
        <f>D68</f>
        <v>99000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17695000</v>
      </c>
      <c r="E70" s="108"/>
      <c r="F70" s="108">
        <f t="shared" ref="F70:P70" si="25">ROUND(SUM(F49:F69),-3)</f>
        <v>5414000</v>
      </c>
      <c r="G70" s="108">
        <f t="shared" si="25"/>
        <v>1225000</v>
      </c>
      <c r="H70" s="108">
        <f t="shared" si="25"/>
        <v>1243000</v>
      </c>
      <c r="I70" s="108">
        <f t="shared" si="25"/>
        <v>1472000</v>
      </c>
      <c r="J70" s="108">
        <f t="shared" si="25"/>
        <v>1225000</v>
      </c>
      <c r="K70" s="108">
        <f t="shared" si="25"/>
        <v>1225000</v>
      </c>
      <c r="L70" s="108">
        <f t="shared" si="25"/>
        <v>1225000</v>
      </c>
      <c r="M70" s="108">
        <f t="shared" si="25"/>
        <v>1225000</v>
      </c>
      <c r="N70" s="108">
        <f t="shared" si="25"/>
        <v>2215000</v>
      </c>
      <c r="O70" s="108">
        <f t="shared" si="25"/>
        <v>1221000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2304000</v>
      </c>
      <c r="E72" s="114" t="s">
        <v>202</v>
      </c>
      <c r="F72" s="37">
        <f>ROUND($D72/12*3,-3)</f>
        <v>576000</v>
      </c>
      <c r="G72" s="37">
        <f>ROUND($D72/12,-3)</f>
        <v>192000</v>
      </c>
      <c r="H72" s="37">
        <f t="shared" ref="H72:N75" si="26">ROUND($D72/12,-3)</f>
        <v>192000</v>
      </c>
      <c r="I72" s="37">
        <f t="shared" si="26"/>
        <v>192000</v>
      </c>
      <c r="J72" s="37">
        <f t="shared" si="26"/>
        <v>192000</v>
      </c>
      <c r="K72" s="37">
        <f t="shared" si="26"/>
        <v>192000</v>
      </c>
      <c r="L72" s="37">
        <f t="shared" si="26"/>
        <v>192000</v>
      </c>
      <c r="M72" s="37">
        <f t="shared" si="26"/>
        <v>192000</v>
      </c>
      <c r="N72" s="37">
        <f t="shared" si="26"/>
        <v>192000</v>
      </c>
      <c r="O72" s="37">
        <f>D72-SUM(F72:N72)</f>
        <v>192000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133000</v>
      </c>
      <c r="E75" s="114" t="s">
        <v>202</v>
      </c>
      <c r="F75" s="37">
        <f>ROUND($D75/12*3,-3)</f>
        <v>33000</v>
      </c>
      <c r="G75" s="37">
        <f>ROUND($D75/12,-3)</f>
        <v>11000</v>
      </c>
      <c r="H75" s="37">
        <f t="shared" si="26"/>
        <v>11000</v>
      </c>
      <c r="I75" s="37">
        <f t="shared" si="26"/>
        <v>11000</v>
      </c>
      <c r="J75" s="37">
        <f t="shared" si="26"/>
        <v>11000</v>
      </c>
      <c r="K75" s="37">
        <f t="shared" si="26"/>
        <v>11000</v>
      </c>
      <c r="L75" s="37">
        <f t="shared" si="26"/>
        <v>11000</v>
      </c>
      <c r="M75" s="37">
        <f t="shared" si="26"/>
        <v>11000</v>
      </c>
      <c r="N75" s="37">
        <f t="shared" si="26"/>
        <v>11000</v>
      </c>
      <c r="O75" s="37">
        <f>D75-SUM(F75:N75)</f>
        <v>12000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2437000</v>
      </c>
      <c r="E76" s="108"/>
      <c r="F76" s="108">
        <f>ROUND(SUM(F71:F75),-3)</f>
        <v>609000</v>
      </c>
      <c r="G76" s="108">
        <f t="shared" ref="G76:N76" si="27">ROUND(SUM(G71:G75),-3)</f>
        <v>203000</v>
      </c>
      <c r="H76" s="108">
        <f t="shared" si="27"/>
        <v>203000</v>
      </c>
      <c r="I76" s="108">
        <f t="shared" si="27"/>
        <v>203000</v>
      </c>
      <c r="J76" s="108">
        <f t="shared" si="27"/>
        <v>203000</v>
      </c>
      <c r="K76" s="108">
        <f t="shared" si="27"/>
        <v>203000</v>
      </c>
      <c r="L76" s="108">
        <f t="shared" si="27"/>
        <v>203000</v>
      </c>
      <c r="M76" s="108">
        <f t="shared" si="27"/>
        <v>203000</v>
      </c>
      <c r="N76" s="108">
        <f t="shared" si="27"/>
        <v>203000</v>
      </c>
      <c r="O76" s="108">
        <f>D76-SUM(F76:N76)</f>
        <v>204000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89000</v>
      </c>
      <c r="E77" s="37" t="s">
        <v>681</v>
      </c>
      <c r="F77" s="224"/>
      <c r="G77" s="224"/>
      <c r="H77" s="224">
        <f>ROUND($D77/2,-3)</f>
        <v>45000</v>
      </c>
      <c r="I77" s="224"/>
      <c r="J77" s="224"/>
      <c r="K77" s="224"/>
      <c r="L77" s="224"/>
      <c r="M77" s="224"/>
      <c r="N77" s="224">
        <f>D77-H77</f>
        <v>44000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20221000</v>
      </c>
      <c r="E78" s="227"/>
      <c r="F78" s="227">
        <f>F76+F70+F77</f>
        <v>6023000</v>
      </c>
      <c r="G78" s="227">
        <f t="shared" ref="G78:Q78" si="29">G76+G70+G77</f>
        <v>1428000</v>
      </c>
      <c r="H78" s="227">
        <f t="shared" si="29"/>
        <v>1491000</v>
      </c>
      <c r="I78" s="227">
        <f t="shared" si="29"/>
        <v>1675000</v>
      </c>
      <c r="J78" s="227">
        <f t="shared" si="29"/>
        <v>1428000</v>
      </c>
      <c r="K78" s="227">
        <f t="shared" si="29"/>
        <v>1428000</v>
      </c>
      <c r="L78" s="227">
        <f t="shared" si="29"/>
        <v>1428000</v>
      </c>
      <c r="M78" s="227">
        <f t="shared" si="29"/>
        <v>1428000</v>
      </c>
      <c r="N78" s="227">
        <f t="shared" si="29"/>
        <v>2462000</v>
      </c>
      <c r="O78" s="227">
        <f t="shared" si="29"/>
        <v>1425000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21051000</v>
      </c>
      <c r="E87" s="37"/>
      <c r="F87" s="37">
        <f>F88+F89+F90+F91</f>
        <v>6104000</v>
      </c>
      <c r="G87" s="37">
        <f t="shared" ref="G87:Q87" si="32">G88+G89+G90+G91</f>
        <v>1495000</v>
      </c>
      <c r="H87" s="37">
        <f t="shared" si="32"/>
        <v>1558000</v>
      </c>
      <c r="I87" s="37">
        <f t="shared" si="32"/>
        <v>1742000</v>
      </c>
      <c r="J87" s="37">
        <f t="shared" si="32"/>
        <v>1495000</v>
      </c>
      <c r="K87" s="37">
        <f t="shared" si="32"/>
        <v>1495000</v>
      </c>
      <c r="L87" s="37">
        <f t="shared" si="32"/>
        <v>1509000</v>
      </c>
      <c r="M87" s="37">
        <f t="shared" si="32"/>
        <v>1495000</v>
      </c>
      <c r="N87" s="37">
        <f t="shared" si="32"/>
        <v>2529000</v>
      </c>
      <c r="O87" s="37">
        <f t="shared" si="32"/>
        <v>1492000</v>
      </c>
      <c r="P87" s="37">
        <f t="shared" si="32"/>
        <v>72000</v>
      </c>
      <c r="Q87" s="37">
        <f t="shared" si="32"/>
        <v>65000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HLOOKUP(D1,基金來源明細表!B:CX,2,FALSE)</f>
        <v>6000</v>
      </c>
      <c r="E88" s="108" t="s">
        <v>193</v>
      </c>
      <c r="F88" s="108">
        <f>ROUND($D88/2,-3)</f>
        <v>3000</v>
      </c>
      <c r="G88" s="108"/>
      <c r="H88" s="108"/>
      <c r="I88" s="108"/>
      <c r="J88" s="108"/>
      <c r="K88" s="108"/>
      <c r="L88" s="108">
        <f>D88-F88</f>
        <v>3000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HLOOKUP(D1,基金來源明細表!B:CX,5,FALSE)</f>
        <v>21044000</v>
      </c>
      <c r="E91" s="108"/>
      <c r="F91" s="108">
        <f>F92+F93+F94+F95</f>
        <v>6101000</v>
      </c>
      <c r="G91" s="108">
        <f t="shared" ref="G91:Q91" si="34">G92+G93+G94+G95</f>
        <v>1495000</v>
      </c>
      <c r="H91" s="108">
        <f t="shared" si="34"/>
        <v>1558000</v>
      </c>
      <c r="I91" s="108">
        <f t="shared" si="34"/>
        <v>1742000</v>
      </c>
      <c r="J91" s="108">
        <f t="shared" si="34"/>
        <v>1495000</v>
      </c>
      <c r="K91" s="108">
        <f t="shared" si="34"/>
        <v>1495000</v>
      </c>
      <c r="L91" s="108">
        <f t="shared" si="34"/>
        <v>1506000</v>
      </c>
      <c r="M91" s="108">
        <f t="shared" si="34"/>
        <v>1495000</v>
      </c>
      <c r="N91" s="108">
        <f t="shared" si="34"/>
        <v>2529000</v>
      </c>
      <c r="O91" s="108">
        <f t="shared" si="34"/>
        <v>1492000</v>
      </c>
      <c r="P91" s="108">
        <f t="shared" si="34"/>
        <v>72000</v>
      </c>
      <c r="Q91" s="108">
        <f t="shared" si="34"/>
        <v>64000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2965000</v>
      </c>
      <c r="E92" s="114" t="s">
        <v>537</v>
      </c>
      <c r="F92" s="37">
        <f>ROUND($D92/12*5,-3)</f>
        <v>1235000</v>
      </c>
      <c r="G92" s="37">
        <f>ROUND($D92/12,-3)</f>
        <v>247000</v>
      </c>
      <c r="H92" s="37">
        <f t="shared" ref="H92:L92" si="35">ROUND($D92/12,-3)</f>
        <v>247000</v>
      </c>
      <c r="I92" s="37">
        <f t="shared" si="35"/>
        <v>247000</v>
      </c>
      <c r="J92" s="37">
        <f t="shared" si="35"/>
        <v>247000</v>
      </c>
      <c r="K92" s="37">
        <f t="shared" si="35"/>
        <v>247000</v>
      </c>
      <c r="L92" s="37">
        <f t="shared" si="35"/>
        <v>247000</v>
      </c>
      <c r="M92" s="37">
        <f>D92-SUM(F92:L92)</f>
        <v>248000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0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1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17989000</v>
      </c>
      <c r="E95" s="37"/>
      <c r="F95" s="37">
        <f>F2+F86-F88-F89-F90-F92-F93-F94</f>
        <v>4858000</v>
      </c>
      <c r="G95" s="37">
        <f t="shared" ref="G95:Q95" si="37">G2-G88-G89-G90-G92-G93-G94</f>
        <v>1240000</v>
      </c>
      <c r="H95" s="37">
        <f t="shared" si="37"/>
        <v>1303000</v>
      </c>
      <c r="I95" s="37">
        <f t="shared" si="37"/>
        <v>1487000</v>
      </c>
      <c r="J95" s="37">
        <f t="shared" si="37"/>
        <v>1240000</v>
      </c>
      <c r="K95" s="37">
        <f t="shared" si="37"/>
        <v>1240000</v>
      </c>
      <c r="L95" s="37">
        <f t="shared" si="37"/>
        <v>1251000</v>
      </c>
      <c r="M95" s="37">
        <f t="shared" si="37"/>
        <v>1239000</v>
      </c>
      <c r="N95" s="37">
        <f t="shared" si="37"/>
        <v>2521000</v>
      </c>
      <c r="O95" s="37">
        <f t="shared" si="37"/>
        <v>1484000</v>
      </c>
      <c r="P95" s="37">
        <f t="shared" si="37"/>
        <v>64000</v>
      </c>
      <c r="Q95" s="37">
        <f t="shared" si="37"/>
        <v>62000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0</v>
      </c>
    </row>
    <row r="99" spans="2:17" ht="32.4">
      <c r="B99" s="72" t="s">
        <v>235</v>
      </c>
      <c r="D99" s="30">
        <f>HLOOKUP(D1,縣庫撥款收入明細表!H:DD,5,FALSE)</f>
        <v>1300000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1015000</v>
      </c>
    </row>
    <row r="102" spans="2:17" ht="32.4">
      <c r="B102" s="71" t="s">
        <v>238</v>
      </c>
      <c r="D102" s="30">
        <f>HLOOKUP(D1,縣庫撥款收入明細表!H:DD,16,FALSE)</f>
        <v>84000</v>
      </c>
    </row>
    <row r="103" spans="2:17" ht="32.4">
      <c r="B103" s="72" t="s">
        <v>239</v>
      </c>
      <c r="D103" s="30">
        <f>HLOOKUP(D1,縣庫撥款收入明細表!H:DD,17,FALSE)</f>
        <v>650000</v>
      </c>
    </row>
    <row r="104" spans="2:17" ht="32.4">
      <c r="B104" s="76" t="s">
        <v>240</v>
      </c>
      <c r="D104" s="30">
        <f>HLOOKUP(D1,縣庫撥款收入明細表!H:DD,18,FALSE)</f>
        <v>0</v>
      </c>
    </row>
    <row r="105" spans="2:17" ht="32.4">
      <c r="B105" s="72" t="s">
        <v>380</v>
      </c>
      <c r="D105" s="30">
        <f>HLOOKUP(D1,縣庫撥款收入明細表!H:DD,19,FALSE)</f>
        <v>0</v>
      </c>
    </row>
    <row r="106" spans="2:17" ht="32.4">
      <c r="B106" s="71" t="s">
        <v>241</v>
      </c>
      <c r="D106" s="30">
        <f>HLOOKUP(D1,縣庫撥款收入明細表!H:DD,20,FALSE)</f>
        <v>6000</v>
      </c>
    </row>
    <row r="107" spans="2:17" ht="32.4">
      <c r="B107" s="77" t="s">
        <v>242</v>
      </c>
      <c r="D107" s="30">
        <f>HLOOKUP(D1,縣庫撥款收入明細表!H:DD,21,FALSE)</f>
        <v>17989000</v>
      </c>
    </row>
    <row r="108" spans="2:17" ht="16.5" customHeight="1"/>
    <row r="109" spans="2:17" ht="16.5" customHeight="1">
      <c r="B109" s="4" t="s">
        <v>682</v>
      </c>
      <c r="D109" s="30">
        <f>D91-D76</f>
        <v>18607000</v>
      </c>
      <c r="F109" s="30">
        <f>F91-F76</f>
        <v>5492000</v>
      </c>
      <c r="G109" s="30">
        <f t="shared" ref="G109:Q109" si="38">G91-G76</f>
        <v>1292000</v>
      </c>
      <c r="H109" s="30">
        <f t="shared" si="38"/>
        <v>1355000</v>
      </c>
      <c r="I109" s="30">
        <f t="shared" si="38"/>
        <v>1539000</v>
      </c>
      <c r="J109" s="30">
        <f t="shared" si="38"/>
        <v>1292000</v>
      </c>
      <c r="K109" s="30">
        <f t="shared" si="38"/>
        <v>1292000</v>
      </c>
      <c r="L109" s="30">
        <f t="shared" si="38"/>
        <v>1303000</v>
      </c>
      <c r="M109" s="30">
        <f t="shared" si="38"/>
        <v>1292000</v>
      </c>
      <c r="N109" s="30">
        <f t="shared" si="38"/>
        <v>2326000</v>
      </c>
      <c r="O109" s="30">
        <f t="shared" si="38"/>
        <v>1288000</v>
      </c>
      <c r="P109" s="30">
        <f t="shared" si="38"/>
        <v>72000</v>
      </c>
      <c r="Q109" s="30">
        <f t="shared" si="38"/>
        <v>64000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34" priority="1" operator="lessThan">
      <formula>0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topLeftCell="A100"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636</v>
      </c>
      <c r="D1" s="28" t="str">
        <f>VLOOKUP(C1,[1]學校編號!A:B,2,FALSE)</f>
        <v>636長橋國小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25392000</v>
      </c>
      <c r="E2" s="37"/>
      <c r="F2" s="37">
        <f>F48+F70+F76+F77+F83</f>
        <v>7318000</v>
      </c>
      <c r="G2" s="37">
        <f t="shared" ref="G2:Q2" si="0">G48+G70+G76+G77+G83</f>
        <v>1792000</v>
      </c>
      <c r="H2" s="37">
        <f t="shared" si="0"/>
        <v>2031000</v>
      </c>
      <c r="I2" s="37">
        <f t="shared" si="0"/>
        <v>2060000</v>
      </c>
      <c r="J2" s="37">
        <f t="shared" si="0"/>
        <v>1792000</v>
      </c>
      <c r="K2" s="37">
        <f t="shared" si="0"/>
        <v>1794000</v>
      </c>
      <c r="L2" s="37">
        <f t="shared" si="0"/>
        <v>1806000</v>
      </c>
      <c r="M2" s="37">
        <f t="shared" si="0"/>
        <v>1792000</v>
      </c>
      <c r="N2" s="37">
        <f t="shared" si="0"/>
        <v>3078000</v>
      </c>
      <c r="O2" s="37">
        <f t="shared" si="0"/>
        <v>1792000</v>
      </c>
      <c r="P2" s="37">
        <f t="shared" si="0"/>
        <v>72000</v>
      </c>
      <c r="Q2" s="37">
        <f t="shared" si="0"/>
        <v>65000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28000</v>
      </c>
      <c r="E15" s="37" t="s">
        <v>193</v>
      </c>
      <c r="F15" s="37">
        <f>ROUND($D15/2,-3)</f>
        <v>14000</v>
      </c>
      <c r="G15" s="37"/>
      <c r="H15" s="37"/>
      <c r="I15" s="37"/>
      <c r="J15" s="37"/>
      <c r="K15" s="37"/>
      <c r="L15" s="37">
        <f>D15-F15</f>
        <v>14000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554000</v>
      </c>
      <c r="E25" s="108"/>
      <c r="F25" s="108">
        <f>ROUND(SUM(F3:F24),-3)</f>
        <v>58000</v>
      </c>
      <c r="G25" s="108">
        <f t="shared" ref="G25:P25" si="5">ROUND(SUM(G3:G24),-3)</f>
        <v>44000</v>
      </c>
      <c r="H25" s="108">
        <f t="shared" si="5"/>
        <v>44000</v>
      </c>
      <c r="I25" s="108">
        <f t="shared" si="5"/>
        <v>44000</v>
      </c>
      <c r="J25" s="108">
        <f t="shared" si="5"/>
        <v>44000</v>
      </c>
      <c r="K25" s="108">
        <f t="shared" si="5"/>
        <v>44000</v>
      </c>
      <c r="L25" s="108">
        <f t="shared" si="5"/>
        <v>58000</v>
      </c>
      <c r="M25" s="108">
        <f t="shared" si="5"/>
        <v>44000</v>
      </c>
      <c r="N25" s="108">
        <f t="shared" si="5"/>
        <v>44000</v>
      </c>
      <c r="O25" s="108">
        <f t="shared" si="5"/>
        <v>44000</v>
      </c>
      <c r="P25" s="108">
        <f t="shared" si="5"/>
        <v>44000</v>
      </c>
      <c r="Q25" s="108">
        <f t="shared" ref="Q25:Q33" si="6">D25-SUM(F25:P25)</f>
        <v>42000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7000</v>
      </c>
      <c r="E30" s="37" t="s">
        <v>525</v>
      </c>
      <c r="F30" s="37">
        <f t="shared" si="8"/>
        <v>583</v>
      </c>
      <c r="G30" s="37">
        <f t="shared" si="8"/>
        <v>583</v>
      </c>
      <c r="H30" s="37">
        <f t="shared" si="8"/>
        <v>583</v>
      </c>
      <c r="I30" s="37">
        <f t="shared" si="8"/>
        <v>583</v>
      </c>
      <c r="J30" s="37">
        <f t="shared" si="8"/>
        <v>583</v>
      </c>
      <c r="K30" s="37">
        <f t="shared" si="8"/>
        <v>583</v>
      </c>
      <c r="L30" s="37">
        <f t="shared" si="8"/>
        <v>583</v>
      </c>
      <c r="M30" s="37">
        <f t="shared" si="8"/>
        <v>583</v>
      </c>
      <c r="N30" s="37">
        <f t="shared" si="8"/>
        <v>583</v>
      </c>
      <c r="O30" s="37">
        <f t="shared" si="8"/>
        <v>583</v>
      </c>
      <c r="P30" s="37">
        <f t="shared" si="8"/>
        <v>583</v>
      </c>
      <c r="Q30" s="37">
        <f t="shared" si="6"/>
        <v>587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3000</v>
      </c>
      <c r="E31" s="37" t="s">
        <v>525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276000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23000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836000</v>
      </c>
      <c r="E48" s="37"/>
      <c r="F48" s="115">
        <f>F25+F37+F45+F47</f>
        <v>83000</v>
      </c>
      <c r="G48" s="115">
        <f t="shared" ref="G48:R48" si="14">G25+G37+G45+G47</f>
        <v>67000</v>
      </c>
      <c r="H48" s="115">
        <f t="shared" si="14"/>
        <v>67000</v>
      </c>
      <c r="I48" s="115">
        <f t="shared" si="14"/>
        <v>67000</v>
      </c>
      <c r="J48" s="115">
        <f t="shared" si="14"/>
        <v>67000</v>
      </c>
      <c r="K48" s="115">
        <f t="shared" si="14"/>
        <v>69000</v>
      </c>
      <c r="L48" s="115">
        <f t="shared" si="14"/>
        <v>81000</v>
      </c>
      <c r="M48" s="115">
        <f t="shared" si="14"/>
        <v>67000</v>
      </c>
      <c r="N48" s="115">
        <f t="shared" si="14"/>
        <v>69000</v>
      </c>
      <c r="O48" s="115">
        <f t="shared" si="14"/>
        <v>67000</v>
      </c>
      <c r="P48" s="115">
        <f t="shared" si="14"/>
        <v>67000</v>
      </c>
      <c r="Q48" s="115">
        <f t="shared" si="14"/>
        <v>65000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12894000</v>
      </c>
      <c r="E49" s="114" t="s">
        <v>202</v>
      </c>
      <c r="F49" s="37">
        <f>ROUND($D49/12*3,-3)</f>
        <v>3224000</v>
      </c>
      <c r="G49" s="37">
        <f>ROUND($D49/12,-3)</f>
        <v>1075000</v>
      </c>
      <c r="H49" s="37">
        <f t="shared" ref="H49:N53" si="15">ROUND($D49/12,-3)</f>
        <v>1075000</v>
      </c>
      <c r="I49" s="37">
        <f t="shared" si="15"/>
        <v>1075000</v>
      </c>
      <c r="J49" s="37">
        <f t="shared" si="15"/>
        <v>1075000</v>
      </c>
      <c r="K49" s="37">
        <f t="shared" si="15"/>
        <v>1075000</v>
      </c>
      <c r="L49" s="37">
        <f t="shared" si="15"/>
        <v>1075000</v>
      </c>
      <c r="M49" s="37">
        <f t="shared" si="15"/>
        <v>1075000</v>
      </c>
      <c r="N49" s="37">
        <f t="shared" si="15"/>
        <v>1075000</v>
      </c>
      <c r="O49" s="37">
        <f>D49-SUM(F49:N49)</f>
        <v>1070000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738000</v>
      </c>
      <c r="E51" s="114" t="s">
        <v>202</v>
      </c>
      <c r="F51" s="37">
        <f t="shared" si="16"/>
        <v>185000</v>
      </c>
      <c r="G51" s="37">
        <f t="shared" si="17"/>
        <v>62000</v>
      </c>
      <c r="H51" s="37">
        <f t="shared" si="15"/>
        <v>62000</v>
      </c>
      <c r="I51" s="37">
        <f t="shared" si="15"/>
        <v>62000</v>
      </c>
      <c r="J51" s="37">
        <f t="shared" si="15"/>
        <v>62000</v>
      </c>
      <c r="K51" s="37">
        <f t="shared" si="15"/>
        <v>62000</v>
      </c>
      <c r="L51" s="37">
        <f t="shared" si="15"/>
        <v>62000</v>
      </c>
      <c r="M51" s="37">
        <f t="shared" si="15"/>
        <v>62000</v>
      </c>
      <c r="N51" s="37">
        <f t="shared" si="15"/>
        <v>62000</v>
      </c>
      <c r="O51" s="37">
        <f t="shared" si="18"/>
        <v>57000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351000</v>
      </c>
      <c r="E60" s="37" t="s">
        <v>195</v>
      </c>
      <c r="F60" s="37">
        <f>D60</f>
        <v>351000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1341000</v>
      </c>
      <c r="E62" s="37" t="s">
        <v>197</v>
      </c>
      <c r="F62" s="37"/>
      <c r="G62" s="37"/>
      <c r="H62" s="37"/>
      <c r="I62" s="37">
        <f>ROUND($D62/5,-3)</f>
        <v>268000</v>
      </c>
      <c r="J62" s="37"/>
      <c r="K62" s="37"/>
      <c r="L62" s="37"/>
      <c r="M62" s="37"/>
      <c r="N62" s="37">
        <f>D62-I62</f>
        <v>1073000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1590000</v>
      </c>
      <c r="E63" s="37" t="s">
        <v>195</v>
      </c>
      <c r="F63" s="37">
        <f>D63</f>
        <v>1590000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1285000</v>
      </c>
      <c r="E64" s="114" t="s">
        <v>202</v>
      </c>
      <c r="F64" s="37">
        <f>ROUND($D64/12*3,-3)</f>
        <v>321000</v>
      </c>
      <c r="G64" s="37">
        <f>ROUND($D64/12,-3)</f>
        <v>107000</v>
      </c>
      <c r="H64" s="37">
        <f t="shared" ref="H64:N66" si="21">ROUND($D64/12,-3)</f>
        <v>107000</v>
      </c>
      <c r="I64" s="37">
        <f t="shared" si="21"/>
        <v>107000</v>
      </c>
      <c r="J64" s="37">
        <f t="shared" si="21"/>
        <v>107000</v>
      </c>
      <c r="K64" s="37">
        <f t="shared" si="21"/>
        <v>107000</v>
      </c>
      <c r="L64" s="37">
        <f t="shared" si="21"/>
        <v>107000</v>
      </c>
      <c r="M64" s="37">
        <f t="shared" si="21"/>
        <v>107000</v>
      </c>
      <c r="N64" s="37">
        <f t="shared" si="21"/>
        <v>107000</v>
      </c>
      <c r="O64" s="37">
        <f>D64-SUM(F64:N64)</f>
        <v>108000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279000</v>
      </c>
      <c r="E65" s="114" t="s">
        <v>202</v>
      </c>
      <c r="F65" s="37">
        <f t="shared" ref="F65:F66" si="22">ROUND($D65/12*3,-3)</f>
        <v>70000</v>
      </c>
      <c r="G65" s="37">
        <f t="shared" ref="G65:G66" si="23">ROUND($D65/12,-3)</f>
        <v>23000</v>
      </c>
      <c r="H65" s="37">
        <f t="shared" si="21"/>
        <v>23000</v>
      </c>
      <c r="I65" s="37">
        <f t="shared" si="21"/>
        <v>23000</v>
      </c>
      <c r="J65" s="37">
        <f t="shared" si="21"/>
        <v>23000</v>
      </c>
      <c r="K65" s="37">
        <f t="shared" si="21"/>
        <v>23000</v>
      </c>
      <c r="L65" s="37">
        <f t="shared" si="21"/>
        <v>23000</v>
      </c>
      <c r="M65" s="37">
        <f t="shared" si="21"/>
        <v>23000</v>
      </c>
      <c r="N65" s="37">
        <f t="shared" si="21"/>
        <v>23000</v>
      </c>
      <c r="O65" s="37">
        <f t="shared" ref="O65:O66" si="24">D65-SUM(F65:N65)</f>
        <v>25000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1019000</v>
      </c>
      <c r="E66" s="114" t="s">
        <v>202</v>
      </c>
      <c r="F66" s="37">
        <f t="shared" si="22"/>
        <v>255000</v>
      </c>
      <c r="G66" s="37">
        <f t="shared" si="23"/>
        <v>85000</v>
      </c>
      <c r="H66" s="37">
        <f t="shared" si="21"/>
        <v>85000</v>
      </c>
      <c r="I66" s="37">
        <f t="shared" si="21"/>
        <v>85000</v>
      </c>
      <c r="J66" s="37">
        <f t="shared" si="21"/>
        <v>85000</v>
      </c>
      <c r="K66" s="37">
        <f t="shared" si="21"/>
        <v>85000</v>
      </c>
      <c r="L66" s="37">
        <f t="shared" si="21"/>
        <v>85000</v>
      </c>
      <c r="M66" s="37">
        <f t="shared" si="21"/>
        <v>85000</v>
      </c>
      <c r="N66" s="37">
        <f t="shared" si="21"/>
        <v>85000</v>
      </c>
      <c r="O66" s="37">
        <f t="shared" si="24"/>
        <v>84000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27000</v>
      </c>
      <c r="E67" s="37" t="s">
        <v>196</v>
      </c>
      <c r="F67" s="37"/>
      <c r="G67" s="37"/>
      <c r="H67" s="37">
        <f>D67</f>
        <v>27000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128000</v>
      </c>
      <c r="E68" s="37" t="s">
        <v>195</v>
      </c>
      <c r="F68" s="37">
        <f>D68</f>
        <v>128000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19972000</v>
      </c>
      <c r="E70" s="108"/>
      <c r="F70" s="108">
        <f t="shared" ref="F70:P70" si="25">ROUND(SUM(F49:F69),-3)</f>
        <v>6195000</v>
      </c>
      <c r="G70" s="108">
        <f t="shared" si="25"/>
        <v>1379000</v>
      </c>
      <c r="H70" s="108">
        <f t="shared" si="25"/>
        <v>1406000</v>
      </c>
      <c r="I70" s="108">
        <f t="shared" si="25"/>
        <v>1647000</v>
      </c>
      <c r="J70" s="108">
        <f t="shared" si="25"/>
        <v>1379000</v>
      </c>
      <c r="K70" s="108">
        <f t="shared" si="25"/>
        <v>1379000</v>
      </c>
      <c r="L70" s="108">
        <f t="shared" si="25"/>
        <v>1379000</v>
      </c>
      <c r="M70" s="108">
        <f t="shared" si="25"/>
        <v>1379000</v>
      </c>
      <c r="N70" s="108">
        <f t="shared" si="25"/>
        <v>2452000</v>
      </c>
      <c r="O70" s="108">
        <f t="shared" si="25"/>
        <v>1372000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3616000</v>
      </c>
      <c r="E72" s="114" t="s">
        <v>202</v>
      </c>
      <c r="F72" s="37">
        <f>ROUND($D72/12*3,-3)</f>
        <v>904000</v>
      </c>
      <c r="G72" s="37">
        <f>ROUND($D72/12,-3)</f>
        <v>301000</v>
      </c>
      <c r="H72" s="37">
        <f t="shared" ref="H72:N75" si="26">ROUND($D72/12,-3)</f>
        <v>301000</v>
      </c>
      <c r="I72" s="37">
        <f t="shared" si="26"/>
        <v>301000</v>
      </c>
      <c r="J72" s="37">
        <f t="shared" si="26"/>
        <v>301000</v>
      </c>
      <c r="K72" s="37">
        <f t="shared" si="26"/>
        <v>301000</v>
      </c>
      <c r="L72" s="37">
        <f t="shared" si="26"/>
        <v>301000</v>
      </c>
      <c r="M72" s="37">
        <f t="shared" si="26"/>
        <v>301000</v>
      </c>
      <c r="N72" s="37">
        <f t="shared" si="26"/>
        <v>301000</v>
      </c>
      <c r="O72" s="37">
        <f>D72-SUM(F72:N72)</f>
        <v>304000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545000</v>
      </c>
      <c r="E75" s="114" t="s">
        <v>202</v>
      </c>
      <c r="F75" s="37">
        <f>ROUND($D75/12*3,-3)</f>
        <v>136000</v>
      </c>
      <c r="G75" s="37">
        <f>ROUND($D75/12,-3)</f>
        <v>45000</v>
      </c>
      <c r="H75" s="37">
        <f t="shared" si="26"/>
        <v>45000</v>
      </c>
      <c r="I75" s="37">
        <f t="shared" si="26"/>
        <v>45000</v>
      </c>
      <c r="J75" s="37">
        <f t="shared" si="26"/>
        <v>45000</v>
      </c>
      <c r="K75" s="37">
        <f t="shared" si="26"/>
        <v>45000</v>
      </c>
      <c r="L75" s="37">
        <f t="shared" si="26"/>
        <v>45000</v>
      </c>
      <c r="M75" s="37">
        <f t="shared" si="26"/>
        <v>45000</v>
      </c>
      <c r="N75" s="37">
        <f t="shared" si="26"/>
        <v>45000</v>
      </c>
      <c r="O75" s="37">
        <f>D75-SUM(F75:N75)</f>
        <v>49000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4161000</v>
      </c>
      <c r="E76" s="108"/>
      <c r="F76" s="108">
        <f>ROUND(SUM(F71:F75),-3)</f>
        <v>1040000</v>
      </c>
      <c r="G76" s="108">
        <f t="shared" ref="G76:N76" si="27">ROUND(SUM(G71:G75),-3)</f>
        <v>346000</v>
      </c>
      <c r="H76" s="108">
        <f t="shared" si="27"/>
        <v>346000</v>
      </c>
      <c r="I76" s="108">
        <f t="shared" si="27"/>
        <v>346000</v>
      </c>
      <c r="J76" s="108">
        <f t="shared" si="27"/>
        <v>346000</v>
      </c>
      <c r="K76" s="108">
        <f t="shared" si="27"/>
        <v>346000</v>
      </c>
      <c r="L76" s="108">
        <f t="shared" si="27"/>
        <v>346000</v>
      </c>
      <c r="M76" s="108">
        <f t="shared" si="27"/>
        <v>346000</v>
      </c>
      <c r="N76" s="108">
        <f t="shared" si="27"/>
        <v>346000</v>
      </c>
      <c r="O76" s="108">
        <f>D76-SUM(F76:N76)</f>
        <v>353000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423000</v>
      </c>
      <c r="E77" s="37" t="s">
        <v>681</v>
      </c>
      <c r="F77" s="224"/>
      <c r="G77" s="224"/>
      <c r="H77" s="224">
        <f>ROUND($D77/2,-3)</f>
        <v>212000</v>
      </c>
      <c r="I77" s="224"/>
      <c r="J77" s="224"/>
      <c r="K77" s="224"/>
      <c r="L77" s="224"/>
      <c r="M77" s="224"/>
      <c r="N77" s="224">
        <f>D77-H77</f>
        <v>211000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24556000</v>
      </c>
      <c r="E78" s="227"/>
      <c r="F78" s="227">
        <f>F76+F70+F77</f>
        <v>7235000</v>
      </c>
      <c r="G78" s="227">
        <f t="shared" ref="G78:Q78" si="29">G76+G70+G77</f>
        <v>1725000</v>
      </c>
      <c r="H78" s="227">
        <f t="shared" si="29"/>
        <v>1964000</v>
      </c>
      <c r="I78" s="227">
        <f t="shared" si="29"/>
        <v>1993000</v>
      </c>
      <c r="J78" s="227">
        <f t="shared" si="29"/>
        <v>1725000</v>
      </c>
      <c r="K78" s="227">
        <f t="shared" si="29"/>
        <v>1725000</v>
      </c>
      <c r="L78" s="227">
        <f t="shared" si="29"/>
        <v>1725000</v>
      </c>
      <c r="M78" s="227">
        <f t="shared" si="29"/>
        <v>1725000</v>
      </c>
      <c r="N78" s="227">
        <f t="shared" si="29"/>
        <v>3009000</v>
      </c>
      <c r="O78" s="227">
        <f t="shared" si="29"/>
        <v>1725000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25392000</v>
      </c>
      <c r="E87" s="37"/>
      <c r="F87" s="37">
        <f>F88+F89+F90+F91</f>
        <v>7318000</v>
      </c>
      <c r="G87" s="37">
        <f t="shared" ref="G87:Q87" si="32">G88+G89+G90+G91</f>
        <v>1792000</v>
      </c>
      <c r="H87" s="37">
        <f t="shared" si="32"/>
        <v>2031000</v>
      </c>
      <c r="I87" s="37">
        <f t="shared" si="32"/>
        <v>2060000</v>
      </c>
      <c r="J87" s="37">
        <f t="shared" si="32"/>
        <v>1792000</v>
      </c>
      <c r="K87" s="37">
        <f t="shared" si="32"/>
        <v>1794000</v>
      </c>
      <c r="L87" s="37">
        <f t="shared" si="32"/>
        <v>1806000</v>
      </c>
      <c r="M87" s="37">
        <f t="shared" si="32"/>
        <v>1792000</v>
      </c>
      <c r="N87" s="37">
        <f t="shared" si="32"/>
        <v>3078000</v>
      </c>
      <c r="O87" s="37">
        <f t="shared" si="32"/>
        <v>1792000</v>
      </c>
      <c r="P87" s="37">
        <f t="shared" si="32"/>
        <v>72000</v>
      </c>
      <c r="Q87" s="37">
        <f t="shared" si="32"/>
        <v>65000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0</v>
      </c>
      <c r="E88" s="108" t="s">
        <v>193</v>
      </c>
      <c r="F88" s="108">
        <f>ROUND($D88/2,-3)</f>
        <v>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25391000</v>
      </c>
      <c r="E91" s="108"/>
      <c r="F91" s="108">
        <f>F92+F93+F94+F95</f>
        <v>7318000</v>
      </c>
      <c r="G91" s="108">
        <f t="shared" ref="G91:Q91" si="34">G92+G93+G94+G95</f>
        <v>1792000</v>
      </c>
      <c r="H91" s="108">
        <f t="shared" si="34"/>
        <v>2031000</v>
      </c>
      <c r="I91" s="108">
        <f t="shared" si="34"/>
        <v>2060000</v>
      </c>
      <c r="J91" s="108">
        <f t="shared" si="34"/>
        <v>1792000</v>
      </c>
      <c r="K91" s="108">
        <f t="shared" si="34"/>
        <v>1794000</v>
      </c>
      <c r="L91" s="108">
        <f t="shared" si="34"/>
        <v>1806000</v>
      </c>
      <c r="M91" s="108">
        <f t="shared" si="34"/>
        <v>1792000</v>
      </c>
      <c r="N91" s="108">
        <f t="shared" si="34"/>
        <v>3078000</v>
      </c>
      <c r="O91" s="108">
        <f t="shared" si="34"/>
        <v>1792000</v>
      </c>
      <c r="P91" s="108">
        <f t="shared" si="34"/>
        <v>72000</v>
      </c>
      <c r="Q91" s="108">
        <f t="shared" si="34"/>
        <v>64000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2354000</v>
      </c>
      <c r="E92" s="114" t="s">
        <v>537</v>
      </c>
      <c r="F92" s="37">
        <f>ROUND($D92/12*5,-3)</f>
        <v>981000</v>
      </c>
      <c r="G92" s="37">
        <f>ROUND($D92/12,-3)</f>
        <v>196000</v>
      </c>
      <c r="H92" s="37">
        <f t="shared" ref="H92:L92" si="35">ROUND($D92/12,-3)</f>
        <v>196000</v>
      </c>
      <c r="I92" s="37">
        <f t="shared" si="35"/>
        <v>196000</v>
      </c>
      <c r="J92" s="37">
        <f t="shared" si="35"/>
        <v>196000</v>
      </c>
      <c r="K92" s="37">
        <f t="shared" si="35"/>
        <v>196000</v>
      </c>
      <c r="L92" s="37">
        <f t="shared" si="35"/>
        <v>196000</v>
      </c>
      <c r="M92" s="37">
        <f>D92-SUM(F92:L92)</f>
        <v>197000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22947000</v>
      </c>
      <c r="E95" s="37"/>
      <c r="F95" s="37">
        <f>F2+F86-F88-F89-F90-F92-F93-F94</f>
        <v>6329000</v>
      </c>
      <c r="G95" s="37">
        <f t="shared" ref="G95:Q95" si="37">G2-G88-G89-G90-G92-G93-G94</f>
        <v>1588000</v>
      </c>
      <c r="H95" s="37">
        <f t="shared" si="37"/>
        <v>1827000</v>
      </c>
      <c r="I95" s="37">
        <f t="shared" si="37"/>
        <v>1856000</v>
      </c>
      <c r="J95" s="37">
        <f t="shared" si="37"/>
        <v>1588000</v>
      </c>
      <c r="K95" s="37">
        <f t="shared" si="37"/>
        <v>1590000</v>
      </c>
      <c r="L95" s="37">
        <f t="shared" si="37"/>
        <v>1602000</v>
      </c>
      <c r="M95" s="37">
        <f t="shared" si="37"/>
        <v>1587000</v>
      </c>
      <c r="N95" s="37">
        <f t="shared" si="37"/>
        <v>3070000</v>
      </c>
      <c r="O95" s="37">
        <f t="shared" si="37"/>
        <v>1784000</v>
      </c>
      <c r="P95" s="37">
        <f t="shared" si="37"/>
        <v>64000</v>
      </c>
      <c r="Q95" s="37">
        <f t="shared" si="37"/>
        <v>62000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700000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1004000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22947000</v>
      </c>
    </row>
    <row r="108" spans="2:17" ht="16.5" customHeight="1"/>
    <row r="109" spans="2:17" ht="16.5" customHeight="1">
      <c r="B109" s="4" t="s">
        <v>682</v>
      </c>
      <c r="D109" s="30">
        <f>D91-D76</f>
        <v>21230000</v>
      </c>
      <c r="F109" s="30">
        <f>F91-F76</f>
        <v>6278000</v>
      </c>
      <c r="G109" s="30">
        <f t="shared" ref="G109:Q109" si="38">G91-G76</f>
        <v>1446000</v>
      </c>
      <c r="H109" s="30">
        <f t="shared" si="38"/>
        <v>1685000</v>
      </c>
      <c r="I109" s="30">
        <f t="shared" si="38"/>
        <v>1714000</v>
      </c>
      <c r="J109" s="30">
        <f t="shared" si="38"/>
        <v>1446000</v>
      </c>
      <c r="K109" s="30">
        <f t="shared" si="38"/>
        <v>1448000</v>
      </c>
      <c r="L109" s="30">
        <f t="shared" si="38"/>
        <v>1460000</v>
      </c>
      <c r="M109" s="30">
        <f t="shared" si="38"/>
        <v>1446000</v>
      </c>
      <c r="N109" s="30">
        <f t="shared" si="38"/>
        <v>2732000</v>
      </c>
      <c r="O109" s="30">
        <f t="shared" si="38"/>
        <v>1439000</v>
      </c>
      <c r="P109" s="30">
        <f t="shared" si="38"/>
        <v>72000</v>
      </c>
      <c r="Q109" s="30">
        <f t="shared" si="38"/>
        <v>64000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32" priority="1" operator="lessThan">
      <formula>0</formula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topLeftCell="A100"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638</v>
      </c>
      <c r="D1" s="28" t="str">
        <f>VLOOKUP(C1,[1]學校編號!A:B,2,FALSE)</f>
        <v>638北林國小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24141000</v>
      </c>
      <c r="E2" s="37"/>
      <c r="F2" s="37">
        <f>F48+F70+F76+F77+F83</f>
        <v>7050000</v>
      </c>
      <c r="G2" s="37">
        <f t="shared" ref="G2:Q2" si="0">G48+G70+G76+G77+G83</f>
        <v>1678000</v>
      </c>
      <c r="H2" s="37">
        <f t="shared" si="0"/>
        <v>1771000</v>
      </c>
      <c r="I2" s="37">
        <f t="shared" si="0"/>
        <v>2011000</v>
      </c>
      <c r="J2" s="37">
        <f t="shared" si="0"/>
        <v>1684000</v>
      </c>
      <c r="K2" s="37">
        <f t="shared" si="0"/>
        <v>1686000</v>
      </c>
      <c r="L2" s="37">
        <f t="shared" si="0"/>
        <v>1697000</v>
      </c>
      <c r="M2" s="37">
        <f t="shared" si="0"/>
        <v>1684000</v>
      </c>
      <c r="N2" s="37">
        <f t="shared" si="0"/>
        <v>3035000</v>
      </c>
      <c r="O2" s="37">
        <f t="shared" si="0"/>
        <v>1688000</v>
      </c>
      <c r="P2" s="37">
        <f t="shared" si="0"/>
        <v>80000</v>
      </c>
      <c r="Q2" s="37">
        <f t="shared" si="0"/>
        <v>77000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25000</v>
      </c>
      <c r="E10" s="37" t="s">
        <v>525</v>
      </c>
      <c r="F10" s="37">
        <f t="shared" si="1"/>
        <v>2083</v>
      </c>
      <c r="G10" s="37">
        <f t="shared" si="1"/>
        <v>2083</v>
      </c>
      <c r="H10" s="37">
        <f t="shared" si="1"/>
        <v>2083</v>
      </c>
      <c r="I10" s="37">
        <f t="shared" si="1"/>
        <v>2083</v>
      </c>
      <c r="J10" s="37">
        <f t="shared" si="1"/>
        <v>2083</v>
      </c>
      <c r="K10" s="37">
        <f t="shared" si="1"/>
        <v>2083</v>
      </c>
      <c r="L10" s="37">
        <f t="shared" si="1"/>
        <v>2083</v>
      </c>
      <c r="M10" s="37">
        <f t="shared" si="1"/>
        <v>2083</v>
      </c>
      <c r="N10" s="37">
        <f t="shared" si="1"/>
        <v>2083</v>
      </c>
      <c r="O10" s="37">
        <f t="shared" si="1"/>
        <v>2083</v>
      </c>
      <c r="P10" s="37">
        <f t="shared" si="1"/>
        <v>2083</v>
      </c>
      <c r="Q10" s="37">
        <f t="shared" si="2"/>
        <v>2087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23000</v>
      </c>
      <c r="E11" s="37" t="s">
        <v>195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515000</v>
      </c>
      <c r="E12" s="113" t="s">
        <v>202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42000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164000</v>
      </c>
      <c r="E13" s="37" t="s">
        <v>525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28000</v>
      </c>
      <c r="E15" s="37" t="s">
        <v>193</v>
      </c>
      <c r="F15" s="37">
        <f>ROUND($D15/2,-3)</f>
        <v>14000</v>
      </c>
      <c r="G15" s="37"/>
      <c r="H15" s="37"/>
      <c r="I15" s="37"/>
      <c r="J15" s="37"/>
      <c r="K15" s="37"/>
      <c r="L15" s="37">
        <f>D15-F15</f>
        <v>14000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0</v>
      </c>
      <c r="E16" s="37" t="s">
        <v>525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1117000</v>
      </c>
      <c r="E25" s="108"/>
      <c r="F25" s="108">
        <f>ROUND(SUM(F3:F24),-3)</f>
        <v>212000</v>
      </c>
      <c r="G25" s="108">
        <f t="shared" ref="G25:P25" si="5">ROUND(SUM(G3:G24),-3)</f>
        <v>89000</v>
      </c>
      <c r="H25" s="108">
        <f t="shared" si="5"/>
        <v>89000</v>
      </c>
      <c r="I25" s="108">
        <f t="shared" si="5"/>
        <v>89000</v>
      </c>
      <c r="J25" s="108">
        <f t="shared" si="5"/>
        <v>89000</v>
      </c>
      <c r="K25" s="108">
        <f t="shared" si="5"/>
        <v>89000</v>
      </c>
      <c r="L25" s="108">
        <f t="shared" si="5"/>
        <v>103000</v>
      </c>
      <c r="M25" s="108">
        <f t="shared" si="5"/>
        <v>89000</v>
      </c>
      <c r="N25" s="108">
        <f t="shared" si="5"/>
        <v>89000</v>
      </c>
      <c r="O25" s="108">
        <f t="shared" si="5"/>
        <v>88000</v>
      </c>
      <c r="P25" s="108">
        <f t="shared" si="5"/>
        <v>46000</v>
      </c>
      <c r="Q25" s="108">
        <f t="shared" ref="Q25:Q33" si="6">D25-SUM(F25:P25)</f>
        <v>45000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64000</v>
      </c>
      <c r="E26" s="114" t="s">
        <v>204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10000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6000</v>
      </c>
      <c r="E30" s="37" t="s">
        <v>525</v>
      </c>
      <c r="F30" s="37">
        <f t="shared" si="8"/>
        <v>500</v>
      </c>
      <c r="G30" s="37">
        <f t="shared" si="8"/>
        <v>500</v>
      </c>
      <c r="H30" s="37">
        <f t="shared" si="8"/>
        <v>500</v>
      </c>
      <c r="I30" s="37">
        <f t="shared" si="8"/>
        <v>500</v>
      </c>
      <c r="J30" s="37">
        <f t="shared" si="8"/>
        <v>500</v>
      </c>
      <c r="K30" s="37">
        <f t="shared" si="8"/>
        <v>500</v>
      </c>
      <c r="L30" s="37">
        <f t="shared" si="8"/>
        <v>500</v>
      </c>
      <c r="M30" s="37">
        <f t="shared" si="8"/>
        <v>500</v>
      </c>
      <c r="N30" s="37">
        <f t="shared" si="8"/>
        <v>500</v>
      </c>
      <c r="O30" s="37">
        <f t="shared" si="8"/>
        <v>500</v>
      </c>
      <c r="P30" s="37">
        <f t="shared" si="8"/>
        <v>500</v>
      </c>
      <c r="Q30" s="37">
        <f t="shared" si="6"/>
        <v>500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3000</v>
      </c>
      <c r="E31" s="37" t="s">
        <v>525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339000</v>
      </c>
      <c r="E37" s="108"/>
      <c r="F37" s="108">
        <f t="shared" ref="F37:P37" si="9">ROUND(SUM(F26:F36),-3)</f>
        <v>29000</v>
      </c>
      <c r="G37" s="108">
        <f t="shared" si="9"/>
        <v>23000</v>
      </c>
      <c r="H37" s="108">
        <f t="shared" si="9"/>
        <v>29000</v>
      </c>
      <c r="I37" s="108">
        <f t="shared" si="9"/>
        <v>29000</v>
      </c>
      <c r="J37" s="108">
        <f t="shared" si="9"/>
        <v>29000</v>
      </c>
      <c r="K37" s="108">
        <f t="shared" si="9"/>
        <v>29000</v>
      </c>
      <c r="L37" s="108">
        <f t="shared" si="9"/>
        <v>23000</v>
      </c>
      <c r="M37" s="108">
        <f t="shared" si="9"/>
        <v>29000</v>
      </c>
      <c r="N37" s="108">
        <f t="shared" si="9"/>
        <v>29000</v>
      </c>
      <c r="O37" s="108">
        <f t="shared" si="9"/>
        <v>29000</v>
      </c>
      <c r="P37" s="108">
        <f t="shared" si="9"/>
        <v>29000</v>
      </c>
      <c r="Q37" s="108">
        <f>D37-SUM(F37:P37)</f>
        <v>32000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5000</v>
      </c>
      <c r="E42" s="37" t="s">
        <v>199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5000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11000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5000</v>
      </c>
      <c r="J45" s="108">
        <f t="shared" si="12"/>
        <v>0</v>
      </c>
      <c r="K45" s="108">
        <f t="shared" si="12"/>
        <v>0</v>
      </c>
      <c r="L45" s="108">
        <f t="shared" si="12"/>
        <v>5000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1473000</v>
      </c>
      <c r="E48" s="37"/>
      <c r="F48" s="115">
        <f>F25+F37+F45+F47</f>
        <v>244000</v>
      </c>
      <c r="G48" s="115">
        <f t="shared" ref="G48:R48" si="14">G25+G37+G45+G47</f>
        <v>112000</v>
      </c>
      <c r="H48" s="115">
        <f t="shared" si="14"/>
        <v>118000</v>
      </c>
      <c r="I48" s="115">
        <f t="shared" si="14"/>
        <v>123000</v>
      </c>
      <c r="J48" s="115">
        <f t="shared" si="14"/>
        <v>118000</v>
      </c>
      <c r="K48" s="115">
        <f t="shared" si="14"/>
        <v>120000</v>
      </c>
      <c r="L48" s="115">
        <f t="shared" si="14"/>
        <v>131000</v>
      </c>
      <c r="M48" s="115">
        <f t="shared" si="14"/>
        <v>118000</v>
      </c>
      <c r="N48" s="115">
        <f t="shared" si="14"/>
        <v>120000</v>
      </c>
      <c r="O48" s="115">
        <f t="shared" si="14"/>
        <v>117000</v>
      </c>
      <c r="P48" s="115">
        <f t="shared" si="14"/>
        <v>75000</v>
      </c>
      <c r="Q48" s="115">
        <f t="shared" si="14"/>
        <v>77000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13224000</v>
      </c>
      <c r="E49" s="114" t="s">
        <v>202</v>
      </c>
      <c r="F49" s="37">
        <f>ROUND($D49/12*3,-3)</f>
        <v>3306000</v>
      </c>
      <c r="G49" s="37">
        <f>ROUND($D49/12,-3)</f>
        <v>1102000</v>
      </c>
      <c r="H49" s="37">
        <f t="shared" ref="H49:N53" si="15">ROUND($D49/12,-3)</f>
        <v>1102000</v>
      </c>
      <c r="I49" s="37">
        <f t="shared" si="15"/>
        <v>1102000</v>
      </c>
      <c r="J49" s="37">
        <f t="shared" si="15"/>
        <v>1102000</v>
      </c>
      <c r="K49" s="37">
        <f t="shared" si="15"/>
        <v>1102000</v>
      </c>
      <c r="L49" s="37">
        <f t="shared" si="15"/>
        <v>1102000</v>
      </c>
      <c r="M49" s="37">
        <f t="shared" si="15"/>
        <v>1102000</v>
      </c>
      <c r="N49" s="37">
        <f t="shared" si="15"/>
        <v>1102000</v>
      </c>
      <c r="O49" s="37">
        <f>D49-SUM(F49:N49)</f>
        <v>1102000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1349000</v>
      </c>
      <c r="E51" s="114" t="s">
        <v>202</v>
      </c>
      <c r="F51" s="37">
        <f t="shared" si="16"/>
        <v>337000</v>
      </c>
      <c r="G51" s="37">
        <f t="shared" si="17"/>
        <v>112000</v>
      </c>
      <c r="H51" s="37">
        <f t="shared" si="15"/>
        <v>112000</v>
      </c>
      <c r="I51" s="37">
        <f t="shared" si="15"/>
        <v>112000</v>
      </c>
      <c r="J51" s="37">
        <f t="shared" si="15"/>
        <v>112000</v>
      </c>
      <c r="K51" s="37">
        <f t="shared" si="15"/>
        <v>112000</v>
      </c>
      <c r="L51" s="37">
        <f t="shared" si="15"/>
        <v>112000</v>
      </c>
      <c r="M51" s="37">
        <f t="shared" si="15"/>
        <v>112000</v>
      </c>
      <c r="N51" s="37">
        <f t="shared" si="15"/>
        <v>112000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367000</v>
      </c>
      <c r="E60" s="37" t="s">
        <v>195</v>
      </c>
      <c r="F60" s="37">
        <f>D60</f>
        <v>367000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1611000</v>
      </c>
      <c r="E62" s="37" t="s">
        <v>197</v>
      </c>
      <c r="F62" s="37"/>
      <c r="G62" s="37"/>
      <c r="H62" s="37"/>
      <c r="I62" s="37">
        <f>ROUND($D62/5,-3)</f>
        <v>322000</v>
      </c>
      <c r="J62" s="37"/>
      <c r="K62" s="37"/>
      <c r="L62" s="37"/>
      <c r="M62" s="37"/>
      <c r="N62" s="37">
        <f>D62-I62</f>
        <v>1289000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1616000</v>
      </c>
      <c r="E63" s="37" t="s">
        <v>195</v>
      </c>
      <c r="F63" s="37">
        <f>D63</f>
        <v>1616000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1416000</v>
      </c>
      <c r="E64" s="114" t="s">
        <v>202</v>
      </c>
      <c r="F64" s="37">
        <f>ROUND($D64/12*3,-3)</f>
        <v>354000</v>
      </c>
      <c r="G64" s="37">
        <f>ROUND($D64/12,-3)</f>
        <v>118000</v>
      </c>
      <c r="H64" s="37">
        <f t="shared" ref="H64:N66" si="21">ROUND($D64/12,-3)</f>
        <v>118000</v>
      </c>
      <c r="I64" s="37">
        <f t="shared" si="21"/>
        <v>118000</v>
      </c>
      <c r="J64" s="37">
        <f t="shared" si="21"/>
        <v>118000</v>
      </c>
      <c r="K64" s="37">
        <f t="shared" si="21"/>
        <v>118000</v>
      </c>
      <c r="L64" s="37">
        <f t="shared" si="21"/>
        <v>118000</v>
      </c>
      <c r="M64" s="37">
        <f t="shared" si="21"/>
        <v>118000</v>
      </c>
      <c r="N64" s="37">
        <f t="shared" si="21"/>
        <v>118000</v>
      </c>
      <c r="O64" s="37">
        <f>D64-SUM(F64:N64)</f>
        <v>118000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348000</v>
      </c>
      <c r="E65" s="114" t="s">
        <v>202</v>
      </c>
      <c r="F65" s="37">
        <f t="shared" ref="F65:F66" si="22">ROUND($D65/12*3,-3)</f>
        <v>87000</v>
      </c>
      <c r="G65" s="37">
        <f t="shared" ref="G65:G66" si="23">ROUND($D65/12,-3)</f>
        <v>29000</v>
      </c>
      <c r="H65" s="37">
        <f t="shared" si="21"/>
        <v>29000</v>
      </c>
      <c r="I65" s="37">
        <f t="shared" si="21"/>
        <v>29000</v>
      </c>
      <c r="J65" s="37">
        <f t="shared" si="21"/>
        <v>29000</v>
      </c>
      <c r="K65" s="37">
        <f t="shared" si="21"/>
        <v>29000</v>
      </c>
      <c r="L65" s="37">
        <f t="shared" si="21"/>
        <v>29000</v>
      </c>
      <c r="M65" s="37">
        <f t="shared" si="21"/>
        <v>29000</v>
      </c>
      <c r="N65" s="37">
        <f t="shared" si="21"/>
        <v>29000</v>
      </c>
      <c r="O65" s="37">
        <f t="shared" ref="O65:O66" si="24">D65-SUM(F65:N65)</f>
        <v>29000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861000</v>
      </c>
      <c r="E66" s="114" t="s">
        <v>202</v>
      </c>
      <c r="F66" s="37">
        <f t="shared" si="22"/>
        <v>215000</v>
      </c>
      <c r="G66" s="37">
        <f t="shared" si="23"/>
        <v>72000</v>
      </c>
      <c r="H66" s="37">
        <f t="shared" si="21"/>
        <v>72000</v>
      </c>
      <c r="I66" s="37">
        <f t="shared" si="21"/>
        <v>72000</v>
      </c>
      <c r="J66" s="37">
        <f t="shared" si="21"/>
        <v>72000</v>
      </c>
      <c r="K66" s="37">
        <f t="shared" si="21"/>
        <v>72000</v>
      </c>
      <c r="L66" s="37">
        <f t="shared" si="21"/>
        <v>72000</v>
      </c>
      <c r="M66" s="37">
        <f t="shared" si="21"/>
        <v>72000</v>
      </c>
      <c r="N66" s="37">
        <f t="shared" si="21"/>
        <v>72000</v>
      </c>
      <c r="O66" s="37">
        <f t="shared" si="24"/>
        <v>70000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27000</v>
      </c>
      <c r="E67" s="37" t="s">
        <v>196</v>
      </c>
      <c r="F67" s="37"/>
      <c r="G67" s="37"/>
      <c r="H67" s="37">
        <f>D67</f>
        <v>27000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115000</v>
      </c>
      <c r="E68" s="37" t="s">
        <v>195</v>
      </c>
      <c r="F68" s="37">
        <f>D68</f>
        <v>115000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21254000</v>
      </c>
      <c r="E70" s="108"/>
      <c r="F70" s="108">
        <f t="shared" ref="F70:P70" si="25">ROUND(SUM(F49:F69),-3)</f>
        <v>6468000</v>
      </c>
      <c r="G70" s="108">
        <f t="shared" si="25"/>
        <v>1460000</v>
      </c>
      <c r="H70" s="108">
        <f t="shared" si="25"/>
        <v>1487000</v>
      </c>
      <c r="I70" s="108">
        <f t="shared" si="25"/>
        <v>1782000</v>
      </c>
      <c r="J70" s="108">
        <f t="shared" si="25"/>
        <v>1460000</v>
      </c>
      <c r="K70" s="108">
        <f t="shared" si="25"/>
        <v>1460000</v>
      </c>
      <c r="L70" s="108">
        <f t="shared" si="25"/>
        <v>1460000</v>
      </c>
      <c r="M70" s="108">
        <f t="shared" si="25"/>
        <v>1460000</v>
      </c>
      <c r="N70" s="108">
        <f t="shared" si="25"/>
        <v>2749000</v>
      </c>
      <c r="O70" s="108">
        <f t="shared" si="25"/>
        <v>1463000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20000</v>
      </c>
      <c r="E71" s="37" t="s">
        <v>195</v>
      </c>
      <c r="F71" s="37">
        <f>D71</f>
        <v>20000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1189000</v>
      </c>
      <c r="E72" s="114" t="s">
        <v>202</v>
      </c>
      <c r="F72" s="37">
        <f>ROUND($D72/12*3,-3)</f>
        <v>297000</v>
      </c>
      <c r="G72" s="37">
        <f>ROUND($D72/12,-3)</f>
        <v>99000</v>
      </c>
      <c r="H72" s="37">
        <f t="shared" ref="H72:N75" si="26">ROUND($D72/12,-3)</f>
        <v>99000</v>
      </c>
      <c r="I72" s="37">
        <f t="shared" si="26"/>
        <v>99000</v>
      </c>
      <c r="J72" s="37">
        <f t="shared" si="26"/>
        <v>99000</v>
      </c>
      <c r="K72" s="37">
        <f t="shared" si="26"/>
        <v>99000</v>
      </c>
      <c r="L72" s="37">
        <f t="shared" si="26"/>
        <v>99000</v>
      </c>
      <c r="M72" s="37">
        <f t="shared" si="26"/>
        <v>99000</v>
      </c>
      <c r="N72" s="37">
        <f t="shared" si="26"/>
        <v>99000</v>
      </c>
      <c r="O72" s="37">
        <f>D72-SUM(F72:N72)</f>
        <v>100000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85000</v>
      </c>
      <c r="E74" s="114" t="s">
        <v>202</v>
      </c>
      <c r="F74" s="37">
        <f>ROUND($D74/12*3,-3)</f>
        <v>21000</v>
      </c>
      <c r="G74" s="37">
        <f>ROUND($D74/12,-3)</f>
        <v>7000</v>
      </c>
      <c r="H74" s="37">
        <f t="shared" si="26"/>
        <v>7000</v>
      </c>
      <c r="I74" s="37">
        <f t="shared" si="26"/>
        <v>7000</v>
      </c>
      <c r="J74" s="37">
        <f t="shared" si="26"/>
        <v>7000</v>
      </c>
      <c r="K74" s="37">
        <f t="shared" si="26"/>
        <v>7000</v>
      </c>
      <c r="L74" s="37">
        <f t="shared" si="26"/>
        <v>7000</v>
      </c>
      <c r="M74" s="37">
        <f t="shared" si="26"/>
        <v>7000</v>
      </c>
      <c r="N74" s="37">
        <f t="shared" si="26"/>
        <v>7000</v>
      </c>
      <c r="O74" s="37">
        <f>D74-SUM(F74:N74)</f>
        <v>8000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1294000</v>
      </c>
      <c r="E76" s="108"/>
      <c r="F76" s="108">
        <f>ROUND(SUM(F71:F75),-3)</f>
        <v>338000</v>
      </c>
      <c r="G76" s="108">
        <f t="shared" ref="G76:N76" si="27">ROUND(SUM(G71:G75),-3)</f>
        <v>106000</v>
      </c>
      <c r="H76" s="108">
        <f t="shared" si="27"/>
        <v>106000</v>
      </c>
      <c r="I76" s="108">
        <f t="shared" si="27"/>
        <v>106000</v>
      </c>
      <c r="J76" s="108">
        <f t="shared" si="27"/>
        <v>106000</v>
      </c>
      <c r="K76" s="108">
        <f t="shared" si="27"/>
        <v>106000</v>
      </c>
      <c r="L76" s="108">
        <f t="shared" si="27"/>
        <v>106000</v>
      </c>
      <c r="M76" s="108">
        <f t="shared" si="27"/>
        <v>106000</v>
      </c>
      <c r="N76" s="108">
        <f t="shared" si="27"/>
        <v>106000</v>
      </c>
      <c r="O76" s="108">
        <f>D76-SUM(F76:N76)</f>
        <v>108000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120000</v>
      </c>
      <c r="E77" s="37" t="s">
        <v>681</v>
      </c>
      <c r="F77" s="224"/>
      <c r="G77" s="224"/>
      <c r="H77" s="224">
        <f>ROUND($D77/2,-3)</f>
        <v>60000</v>
      </c>
      <c r="I77" s="224"/>
      <c r="J77" s="224"/>
      <c r="K77" s="224"/>
      <c r="L77" s="224"/>
      <c r="M77" s="224"/>
      <c r="N77" s="224">
        <f>D77-H77</f>
        <v>60000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22668000</v>
      </c>
      <c r="E78" s="227"/>
      <c r="F78" s="227">
        <f>F76+F70+F77</f>
        <v>6806000</v>
      </c>
      <c r="G78" s="227">
        <f t="shared" ref="G78:Q78" si="29">G76+G70+G77</f>
        <v>1566000</v>
      </c>
      <c r="H78" s="227">
        <f t="shared" si="29"/>
        <v>1653000</v>
      </c>
      <c r="I78" s="227">
        <f t="shared" si="29"/>
        <v>1888000</v>
      </c>
      <c r="J78" s="227">
        <f t="shared" si="29"/>
        <v>1566000</v>
      </c>
      <c r="K78" s="227">
        <f t="shared" si="29"/>
        <v>1566000</v>
      </c>
      <c r="L78" s="227">
        <f t="shared" si="29"/>
        <v>1566000</v>
      </c>
      <c r="M78" s="227">
        <f t="shared" si="29"/>
        <v>1566000</v>
      </c>
      <c r="N78" s="227">
        <f t="shared" si="29"/>
        <v>2915000</v>
      </c>
      <c r="O78" s="227">
        <f t="shared" si="29"/>
        <v>1571000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24141000</v>
      </c>
      <c r="E87" s="37"/>
      <c r="F87" s="37">
        <f>F88+F89+F90+F91</f>
        <v>7050000</v>
      </c>
      <c r="G87" s="37">
        <f t="shared" ref="G87:Q87" si="32">G88+G89+G90+G91</f>
        <v>1678000</v>
      </c>
      <c r="H87" s="37">
        <f t="shared" si="32"/>
        <v>1771000</v>
      </c>
      <c r="I87" s="37">
        <f t="shared" si="32"/>
        <v>2011000</v>
      </c>
      <c r="J87" s="37">
        <f t="shared" si="32"/>
        <v>1684000</v>
      </c>
      <c r="K87" s="37">
        <f t="shared" si="32"/>
        <v>1686000</v>
      </c>
      <c r="L87" s="37">
        <f t="shared" si="32"/>
        <v>1697000</v>
      </c>
      <c r="M87" s="37">
        <f t="shared" si="32"/>
        <v>1684000</v>
      </c>
      <c r="N87" s="37">
        <f t="shared" si="32"/>
        <v>3035000</v>
      </c>
      <c r="O87" s="37">
        <f t="shared" si="32"/>
        <v>1688000</v>
      </c>
      <c r="P87" s="37">
        <f t="shared" si="32"/>
        <v>80000</v>
      </c>
      <c r="Q87" s="37">
        <f t="shared" si="32"/>
        <v>77000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0</v>
      </c>
      <c r="E88" s="108" t="s">
        <v>193</v>
      </c>
      <c r="F88" s="108">
        <f>ROUND($D88/2,-3)</f>
        <v>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24140000</v>
      </c>
      <c r="E91" s="108"/>
      <c r="F91" s="108">
        <f>F92+F93+F94+F95</f>
        <v>7050000</v>
      </c>
      <c r="G91" s="108">
        <f t="shared" ref="G91:Q91" si="34">G92+G93+G94+G95</f>
        <v>1678000</v>
      </c>
      <c r="H91" s="108">
        <f t="shared" si="34"/>
        <v>1771000</v>
      </c>
      <c r="I91" s="108">
        <f t="shared" si="34"/>
        <v>2011000</v>
      </c>
      <c r="J91" s="108">
        <f t="shared" si="34"/>
        <v>1684000</v>
      </c>
      <c r="K91" s="108">
        <f t="shared" si="34"/>
        <v>1686000</v>
      </c>
      <c r="L91" s="108">
        <f t="shared" si="34"/>
        <v>1697000</v>
      </c>
      <c r="M91" s="108">
        <f t="shared" si="34"/>
        <v>1684000</v>
      </c>
      <c r="N91" s="108">
        <f t="shared" si="34"/>
        <v>3035000</v>
      </c>
      <c r="O91" s="108">
        <f t="shared" si="34"/>
        <v>1688000</v>
      </c>
      <c r="P91" s="108">
        <f t="shared" si="34"/>
        <v>80000</v>
      </c>
      <c r="Q91" s="108">
        <f t="shared" si="34"/>
        <v>76000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2965000</v>
      </c>
      <c r="E92" s="114" t="s">
        <v>537</v>
      </c>
      <c r="F92" s="37">
        <f>ROUND($D92/12*5,-3)</f>
        <v>1235000</v>
      </c>
      <c r="G92" s="37">
        <f>ROUND($D92/12,-3)</f>
        <v>247000</v>
      </c>
      <c r="H92" s="37">
        <f t="shared" ref="H92:L92" si="35">ROUND($D92/12,-3)</f>
        <v>247000</v>
      </c>
      <c r="I92" s="37">
        <f t="shared" si="35"/>
        <v>247000</v>
      </c>
      <c r="J92" s="37">
        <f t="shared" si="35"/>
        <v>247000</v>
      </c>
      <c r="K92" s="37">
        <f t="shared" si="35"/>
        <v>247000</v>
      </c>
      <c r="L92" s="37">
        <f t="shared" si="35"/>
        <v>247000</v>
      </c>
      <c r="M92" s="37">
        <f>D92-SUM(F92:L92)</f>
        <v>248000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420000</v>
      </c>
      <c r="E94" s="190" t="s">
        <v>229</v>
      </c>
      <c r="F94" s="37"/>
      <c r="G94" s="37"/>
      <c r="H94" s="37">
        <f>ROUND($D94/2,-3)</f>
        <v>210000</v>
      </c>
      <c r="I94" s="37"/>
      <c r="J94" s="37"/>
      <c r="K94" s="37"/>
      <c r="L94" s="37"/>
      <c r="M94" s="37"/>
      <c r="N94" s="37"/>
      <c r="O94" s="37">
        <f>D94-H94</f>
        <v>210000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20665000</v>
      </c>
      <c r="E95" s="37"/>
      <c r="F95" s="37">
        <f>F2+F86-F88-F89-F90-F92-F93-F94</f>
        <v>5807000</v>
      </c>
      <c r="G95" s="37">
        <f t="shared" ref="G95:Q95" si="37">G2-G88-G89-G90-G92-G93-G94</f>
        <v>1423000</v>
      </c>
      <c r="H95" s="37">
        <f t="shared" si="37"/>
        <v>1306000</v>
      </c>
      <c r="I95" s="37">
        <f t="shared" si="37"/>
        <v>1756000</v>
      </c>
      <c r="J95" s="37">
        <f t="shared" si="37"/>
        <v>1429000</v>
      </c>
      <c r="K95" s="37">
        <f t="shared" si="37"/>
        <v>1431000</v>
      </c>
      <c r="L95" s="37">
        <f t="shared" si="37"/>
        <v>1442000</v>
      </c>
      <c r="M95" s="37">
        <f t="shared" si="37"/>
        <v>1428000</v>
      </c>
      <c r="N95" s="37">
        <f t="shared" si="37"/>
        <v>3027000</v>
      </c>
      <c r="O95" s="37">
        <f t="shared" si="37"/>
        <v>1470000</v>
      </c>
      <c r="P95" s="37">
        <f t="shared" si="37"/>
        <v>72000</v>
      </c>
      <c r="Q95" s="37">
        <f t="shared" si="37"/>
        <v>74000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1300000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420000</v>
      </c>
    </row>
    <row r="105" spans="2:17" ht="32.4">
      <c r="B105" s="72" t="s">
        <v>380</v>
      </c>
      <c r="D105" s="30">
        <f>HLOOKUP(D1,[1]縣庫撥款收入明細表!H:DD,19,FALSE)</f>
        <v>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20665000</v>
      </c>
    </row>
    <row r="108" spans="2:17" ht="16.5" customHeight="1"/>
    <row r="109" spans="2:17" ht="16.5" customHeight="1">
      <c r="B109" s="4" t="s">
        <v>682</v>
      </c>
      <c r="D109" s="30">
        <f>D91-D76</f>
        <v>22846000</v>
      </c>
      <c r="F109" s="30">
        <f>F91-F76</f>
        <v>6712000</v>
      </c>
      <c r="G109" s="30">
        <f t="shared" ref="G109:Q109" si="38">G91-G76</f>
        <v>1572000</v>
      </c>
      <c r="H109" s="30">
        <f t="shared" si="38"/>
        <v>1665000</v>
      </c>
      <c r="I109" s="30">
        <f t="shared" si="38"/>
        <v>1905000</v>
      </c>
      <c r="J109" s="30">
        <f t="shared" si="38"/>
        <v>1578000</v>
      </c>
      <c r="K109" s="30">
        <f t="shared" si="38"/>
        <v>1580000</v>
      </c>
      <c r="L109" s="30">
        <f t="shared" si="38"/>
        <v>1591000</v>
      </c>
      <c r="M109" s="30">
        <f t="shared" si="38"/>
        <v>1578000</v>
      </c>
      <c r="N109" s="30">
        <f t="shared" si="38"/>
        <v>2929000</v>
      </c>
      <c r="O109" s="30">
        <f t="shared" si="38"/>
        <v>1580000</v>
      </c>
      <c r="P109" s="30">
        <f t="shared" si="38"/>
        <v>80000</v>
      </c>
      <c r="Q109" s="30">
        <f t="shared" si="38"/>
        <v>76000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30" priority="1" operator="lessThan">
      <formula>0</formula>
    </cfRule>
  </conditionalFormatting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topLeftCell="A106"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639</v>
      </c>
      <c r="D1" s="28" t="str">
        <f>VLOOKUP(C1,[1]學校編號!A:B,2,FALSE)</f>
        <v>639鳳仁國小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30974000</v>
      </c>
      <c r="E2" s="37"/>
      <c r="F2" s="37">
        <f>F48+F70+F76+F77+F83</f>
        <v>8889000</v>
      </c>
      <c r="G2" s="37">
        <f t="shared" ref="G2:Q2" si="0">G48+G70+G76+G77+G83</f>
        <v>2191000</v>
      </c>
      <c r="H2" s="37">
        <f t="shared" si="0"/>
        <v>2393000</v>
      </c>
      <c r="I2" s="37">
        <f t="shared" si="0"/>
        <v>2552000</v>
      </c>
      <c r="J2" s="37">
        <f t="shared" si="0"/>
        <v>2191000</v>
      </c>
      <c r="K2" s="37">
        <f t="shared" si="0"/>
        <v>2195000</v>
      </c>
      <c r="L2" s="37">
        <f t="shared" si="0"/>
        <v>2235000</v>
      </c>
      <c r="M2" s="37">
        <f t="shared" si="0"/>
        <v>2191000</v>
      </c>
      <c r="N2" s="37">
        <f t="shared" si="0"/>
        <v>3812000</v>
      </c>
      <c r="O2" s="37">
        <f t="shared" si="0"/>
        <v>2182000</v>
      </c>
      <c r="P2" s="37">
        <f t="shared" si="0"/>
        <v>70000</v>
      </c>
      <c r="Q2" s="37">
        <f t="shared" si="0"/>
        <v>73000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153000</v>
      </c>
      <c r="E3" s="37" t="s">
        <v>525</v>
      </c>
      <c r="F3" s="37">
        <f t="shared" ref="F3:P17" si="1">ROUND($D3/12,0)</f>
        <v>12750</v>
      </c>
      <c r="G3" s="37">
        <f t="shared" si="1"/>
        <v>12750</v>
      </c>
      <c r="H3" s="37">
        <f t="shared" si="1"/>
        <v>12750</v>
      </c>
      <c r="I3" s="37">
        <f t="shared" si="1"/>
        <v>12750</v>
      </c>
      <c r="J3" s="37">
        <f t="shared" si="1"/>
        <v>12750</v>
      </c>
      <c r="K3" s="37">
        <f t="shared" si="1"/>
        <v>12750</v>
      </c>
      <c r="L3" s="37">
        <f t="shared" si="1"/>
        <v>12750</v>
      </c>
      <c r="M3" s="37">
        <f t="shared" si="1"/>
        <v>12750</v>
      </c>
      <c r="N3" s="37">
        <f t="shared" si="1"/>
        <v>12750</v>
      </c>
      <c r="O3" s="37">
        <f t="shared" si="1"/>
        <v>12750</v>
      </c>
      <c r="P3" s="37">
        <f t="shared" si="1"/>
        <v>12750</v>
      </c>
      <c r="Q3" s="37">
        <f t="shared" ref="Q3:Q10" si="2">D3-SUM(F3:P3)</f>
        <v>12750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66000</v>
      </c>
      <c r="E4" s="37" t="s">
        <v>525</v>
      </c>
      <c r="F4" s="37">
        <f t="shared" si="1"/>
        <v>5500</v>
      </c>
      <c r="G4" s="37">
        <f t="shared" si="1"/>
        <v>5500</v>
      </c>
      <c r="H4" s="37">
        <f t="shared" si="1"/>
        <v>5500</v>
      </c>
      <c r="I4" s="37">
        <f t="shared" si="1"/>
        <v>5500</v>
      </c>
      <c r="J4" s="37">
        <f t="shared" si="1"/>
        <v>5500</v>
      </c>
      <c r="K4" s="37">
        <f t="shared" si="1"/>
        <v>5500</v>
      </c>
      <c r="L4" s="37">
        <f t="shared" si="1"/>
        <v>5500</v>
      </c>
      <c r="M4" s="37">
        <f t="shared" si="1"/>
        <v>5500</v>
      </c>
      <c r="N4" s="37">
        <f t="shared" si="1"/>
        <v>5500</v>
      </c>
      <c r="O4" s="37">
        <f t="shared" si="1"/>
        <v>5500</v>
      </c>
      <c r="P4" s="37">
        <f t="shared" si="1"/>
        <v>5500</v>
      </c>
      <c r="Q4" s="37">
        <f t="shared" si="2"/>
        <v>5500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164000</v>
      </c>
      <c r="E13" s="37" t="s">
        <v>525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38000</v>
      </c>
      <c r="E15" s="37" t="s">
        <v>193</v>
      </c>
      <c r="F15" s="37">
        <f>ROUND($D15/2,-3)</f>
        <v>19000</v>
      </c>
      <c r="G15" s="37"/>
      <c r="H15" s="37"/>
      <c r="I15" s="37"/>
      <c r="J15" s="37"/>
      <c r="K15" s="37"/>
      <c r="L15" s="37">
        <f>D15-F15</f>
        <v>19000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0</v>
      </c>
      <c r="E16" s="37" t="s">
        <v>525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44000</v>
      </c>
      <c r="E17" s="37" t="s">
        <v>525</v>
      </c>
      <c r="F17" s="37">
        <f>ROUND($D17/12,0)</f>
        <v>3667</v>
      </c>
      <c r="G17" s="37">
        <f t="shared" si="1"/>
        <v>3667</v>
      </c>
      <c r="H17" s="37">
        <f t="shared" si="1"/>
        <v>3667</v>
      </c>
      <c r="I17" s="37">
        <f t="shared" si="1"/>
        <v>3667</v>
      </c>
      <c r="J17" s="37">
        <f t="shared" si="1"/>
        <v>3667</v>
      </c>
      <c r="K17" s="37">
        <f t="shared" si="1"/>
        <v>3667</v>
      </c>
      <c r="L17" s="37">
        <f t="shared" si="1"/>
        <v>3667</v>
      </c>
      <c r="M17" s="37">
        <f t="shared" si="1"/>
        <v>3667</v>
      </c>
      <c r="N17" s="37">
        <f t="shared" si="1"/>
        <v>3667</v>
      </c>
      <c r="O17" s="37">
        <f t="shared" si="1"/>
        <v>3667</v>
      </c>
      <c r="P17" s="37">
        <f t="shared" si="1"/>
        <v>3667</v>
      </c>
      <c r="Q17" s="37">
        <f>D17-SUM(F17:P17)</f>
        <v>3663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50000</v>
      </c>
      <c r="E24" s="37" t="s">
        <v>193</v>
      </c>
      <c r="F24" s="37">
        <f>ROUND($D24/2,-3)</f>
        <v>25000</v>
      </c>
      <c r="G24" s="37"/>
      <c r="H24" s="37"/>
      <c r="I24" s="37"/>
      <c r="J24" s="37"/>
      <c r="K24" s="37"/>
      <c r="L24" s="37">
        <f>D24-F24</f>
        <v>25000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579000</v>
      </c>
      <c r="E25" s="108"/>
      <c r="F25" s="108">
        <f>ROUND(SUM(F3:F24),-3)</f>
        <v>85000</v>
      </c>
      <c r="G25" s="108">
        <f t="shared" ref="G25:P25" si="5">ROUND(SUM(G3:G24),-3)</f>
        <v>41000</v>
      </c>
      <c r="H25" s="108">
        <f t="shared" si="5"/>
        <v>41000</v>
      </c>
      <c r="I25" s="108">
        <f t="shared" si="5"/>
        <v>41000</v>
      </c>
      <c r="J25" s="108">
        <f t="shared" si="5"/>
        <v>41000</v>
      </c>
      <c r="K25" s="108">
        <f t="shared" si="5"/>
        <v>41000</v>
      </c>
      <c r="L25" s="108">
        <f t="shared" si="5"/>
        <v>85000</v>
      </c>
      <c r="M25" s="108">
        <f t="shared" si="5"/>
        <v>41000</v>
      </c>
      <c r="N25" s="108">
        <f t="shared" si="5"/>
        <v>41000</v>
      </c>
      <c r="O25" s="108">
        <f t="shared" si="5"/>
        <v>41000</v>
      </c>
      <c r="P25" s="108">
        <f t="shared" si="5"/>
        <v>41000</v>
      </c>
      <c r="Q25" s="108">
        <f t="shared" ref="Q25:Q33" si="6">D25-SUM(F25:P25)</f>
        <v>40000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253000</v>
      </c>
      <c r="E27" s="37" t="s">
        <v>525</v>
      </c>
      <c r="F27" s="37">
        <f t="shared" ref="F27:P33" si="8">ROUND($D27/12,0)</f>
        <v>21083</v>
      </c>
      <c r="G27" s="37">
        <f t="shared" si="8"/>
        <v>21083</v>
      </c>
      <c r="H27" s="37">
        <f t="shared" si="8"/>
        <v>21083</v>
      </c>
      <c r="I27" s="37">
        <f t="shared" si="8"/>
        <v>21083</v>
      </c>
      <c r="J27" s="37">
        <f t="shared" si="8"/>
        <v>21083</v>
      </c>
      <c r="K27" s="37">
        <f t="shared" si="8"/>
        <v>21083</v>
      </c>
      <c r="L27" s="37">
        <f t="shared" si="8"/>
        <v>21083</v>
      </c>
      <c r="M27" s="37">
        <f t="shared" si="8"/>
        <v>21083</v>
      </c>
      <c r="N27" s="37">
        <f t="shared" si="8"/>
        <v>21083</v>
      </c>
      <c r="O27" s="37">
        <f t="shared" si="8"/>
        <v>21083</v>
      </c>
      <c r="P27" s="37">
        <f t="shared" si="8"/>
        <v>21083</v>
      </c>
      <c r="Q27" s="37">
        <f t="shared" si="6"/>
        <v>21087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20000</v>
      </c>
      <c r="E29" s="37" t="s">
        <v>525</v>
      </c>
      <c r="F29" s="37">
        <f t="shared" si="8"/>
        <v>1667</v>
      </c>
      <c r="G29" s="37">
        <f t="shared" si="8"/>
        <v>1667</v>
      </c>
      <c r="H29" s="37">
        <f t="shared" si="8"/>
        <v>1667</v>
      </c>
      <c r="I29" s="37">
        <f t="shared" si="8"/>
        <v>1667</v>
      </c>
      <c r="J29" s="37">
        <f t="shared" si="8"/>
        <v>1667</v>
      </c>
      <c r="K29" s="37">
        <f t="shared" si="8"/>
        <v>1667</v>
      </c>
      <c r="L29" s="37">
        <f t="shared" si="8"/>
        <v>1667</v>
      </c>
      <c r="M29" s="37">
        <f t="shared" si="8"/>
        <v>1667</v>
      </c>
      <c r="N29" s="37">
        <f t="shared" si="8"/>
        <v>1667</v>
      </c>
      <c r="O29" s="37">
        <f t="shared" si="8"/>
        <v>1667</v>
      </c>
      <c r="P29" s="37">
        <f t="shared" si="8"/>
        <v>1667</v>
      </c>
      <c r="Q29" s="37">
        <f t="shared" si="6"/>
        <v>1663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13000</v>
      </c>
      <c r="E30" s="37" t="s">
        <v>525</v>
      </c>
      <c r="F30" s="37">
        <f t="shared" si="8"/>
        <v>1083</v>
      </c>
      <c r="G30" s="37">
        <f t="shared" si="8"/>
        <v>1083</v>
      </c>
      <c r="H30" s="37">
        <f t="shared" si="8"/>
        <v>1083</v>
      </c>
      <c r="I30" s="37">
        <f t="shared" si="8"/>
        <v>1083</v>
      </c>
      <c r="J30" s="37">
        <f t="shared" si="8"/>
        <v>1083</v>
      </c>
      <c r="K30" s="37">
        <f t="shared" si="8"/>
        <v>1083</v>
      </c>
      <c r="L30" s="37">
        <f t="shared" si="8"/>
        <v>1083</v>
      </c>
      <c r="M30" s="37">
        <f t="shared" si="8"/>
        <v>1083</v>
      </c>
      <c r="N30" s="37">
        <f t="shared" si="8"/>
        <v>1083</v>
      </c>
      <c r="O30" s="37">
        <f t="shared" si="8"/>
        <v>1083</v>
      </c>
      <c r="P30" s="37">
        <f t="shared" si="8"/>
        <v>1083</v>
      </c>
      <c r="Q30" s="37">
        <f t="shared" si="6"/>
        <v>1087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7000</v>
      </c>
      <c r="E31" s="37" t="s">
        <v>525</v>
      </c>
      <c r="F31" s="37">
        <f t="shared" si="8"/>
        <v>583</v>
      </c>
      <c r="G31" s="37">
        <f t="shared" si="8"/>
        <v>583</v>
      </c>
      <c r="H31" s="37">
        <f t="shared" si="8"/>
        <v>583</v>
      </c>
      <c r="I31" s="37">
        <f t="shared" si="8"/>
        <v>583</v>
      </c>
      <c r="J31" s="37">
        <f t="shared" si="8"/>
        <v>583</v>
      </c>
      <c r="K31" s="37">
        <f t="shared" si="8"/>
        <v>583</v>
      </c>
      <c r="L31" s="37">
        <f t="shared" si="8"/>
        <v>583</v>
      </c>
      <c r="M31" s="37">
        <f t="shared" si="8"/>
        <v>583</v>
      </c>
      <c r="N31" s="37">
        <f t="shared" si="8"/>
        <v>583</v>
      </c>
      <c r="O31" s="37">
        <f t="shared" si="8"/>
        <v>583</v>
      </c>
      <c r="P31" s="37">
        <f t="shared" si="8"/>
        <v>583</v>
      </c>
      <c r="Q31" s="37">
        <f t="shared" si="6"/>
        <v>587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293000</v>
      </c>
      <c r="E37" s="108"/>
      <c r="F37" s="108">
        <f t="shared" ref="F37:P37" si="9">ROUND(SUM(F26:F36),-3)</f>
        <v>24000</v>
      </c>
      <c r="G37" s="108">
        <f t="shared" si="9"/>
        <v>24000</v>
      </c>
      <c r="H37" s="108">
        <f t="shared" si="9"/>
        <v>24000</v>
      </c>
      <c r="I37" s="108">
        <f t="shared" si="9"/>
        <v>24000</v>
      </c>
      <c r="J37" s="108">
        <f t="shared" si="9"/>
        <v>24000</v>
      </c>
      <c r="K37" s="108">
        <f t="shared" si="9"/>
        <v>24000</v>
      </c>
      <c r="L37" s="108">
        <f t="shared" si="9"/>
        <v>24000</v>
      </c>
      <c r="M37" s="108">
        <f t="shared" si="9"/>
        <v>24000</v>
      </c>
      <c r="N37" s="108">
        <f t="shared" si="9"/>
        <v>24000</v>
      </c>
      <c r="O37" s="108">
        <f t="shared" si="9"/>
        <v>24000</v>
      </c>
      <c r="P37" s="108">
        <f t="shared" si="9"/>
        <v>24000</v>
      </c>
      <c r="Q37" s="108">
        <f>D37-SUM(F37:P37)</f>
        <v>29000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884000</v>
      </c>
      <c r="E48" s="37"/>
      <c r="F48" s="115">
        <f>F25+F37+F45+F47</f>
        <v>113000</v>
      </c>
      <c r="G48" s="115">
        <f t="shared" ref="G48:R48" si="14">G25+G37+G45+G47</f>
        <v>65000</v>
      </c>
      <c r="H48" s="115">
        <f t="shared" si="14"/>
        <v>65000</v>
      </c>
      <c r="I48" s="115">
        <f t="shared" si="14"/>
        <v>65000</v>
      </c>
      <c r="J48" s="115">
        <f t="shared" si="14"/>
        <v>65000</v>
      </c>
      <c r="K48" s="115">
        <f t="shared" si="14"/>
        <v>69000</v>
      </c>
      <c r="L48" s="115">
        <f t="shared" si="14"/>
        <v>109000</v>
      </c>
      <c r="M48" s="115">
        <f t="shared" si="14"/>
        <v>65000</v>
      </c>
      <c r="N48" s="115">
        <f t="shared" si="14"/>
        <v>69000</v>
      </c>
      <c r="O48" s="115">
        <f t="shared" si="14"/>
        <v>65000</v>
      </c>
      <c r="P48" s="115">
        <f t="shared" si="14"/>
        <v>65000</v>
      </c>
      <c r="Q48" s="115">
        <f t="shared" si="14"/>
        <v>69000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14228000</v>
      </c>
      <c r="E49" s="114" t="s">
        <v>202</v>
      </c>
      <c r="F49" s="37">
        <f>ROUND($D49/12*3,-3)</f>
        <v>3557000</v>
      </c>
      <c r="G49" s="37">
        <f>ROUND($D49/12,-3)</f>
        <v>1186000</v>
      </c>
      <c r="H49" s="37">
        <f t="shared" ref="H49:N53" si="15">ROUND($D49/12,-3)</f>
        <v>1186000</v>
      </c>
      <c r="I49" s="37">
        <f t="shared" si="15"/>
        <v>1186000</v>
      </c>
      <c r="J49" s="37">
        <f t="shared" si="15"/>
        <v>1186000</v>
      </c>
      <c r="K49" s="37">
        <f t="shared" si="15"/>
        <v>1186000</v>
      </c>
      <c r="L49" s="37">
        <f t="shared" si="15"/>
        <v>1186000</v>
      </c>
      <c r="M49" s="37">
        <f t="shared" si="15"/>
        <v>1186000</v>
      </c>
      <c r="N49" s="37">
        <f t="shared" si="15"/>
        <v>1186000</v>
      </c>
      <c r="O49" s="37">
        <f>D49-SUM(F49:N49)</f>
        <v>1183000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812000</v>
      </c>
      <c r="E50" s="114" t="s">
        <v>202</v>
      </c>
      <c r="F50" s="37">
        <f t="shared" ref="F50:F53" si="16">ROUND($D50/12*3,-3)</f>
        <v>203000</v>
      </c>
      <c r="G50" s="37">
        <f t="shared" ref="G50:G53" si="17">ROUND($D50/12,-3)</f>
        <v>68000</v>
      </c>
      <c r="H50" s="37">
        <f t="shared" si="15"/>
        <v>68000</v>
      </c>
      <c r="I50" s="37">
        <f t="shared" si="15"/>
        <v>68000</v>
      </c>
      <c r="J50" s="37">
        <f t="shared" si="15"/>
        <v>68000</v>
      </c>
      <c r="K50" s="37">
        <f t="shared" si="15"/>
        <v>68000</v>
      </c>
      <c r="L50" s="37">
        <f t="shared" si="15"/>
        <v>68000</v>
      </c>
      <c r="M50" s="37">
        <f t="shared" si="15"/>
        <v>68000</v>
      </c>
      <c r="N50" s="37">
        <f t="shared" si="15"/>
        <v>68000</v>
      </c>
      <c r="O50" s="37">
        <f t="shared" ref="O50:O53" si="18">D50-SUM(F50:N50)</f>
        <v>65000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1349000</v>
      </c>
      <c r="E51" s="114" t="s">
        <v>202</v>
      </c>
      <c r="F51" s="37">
        <f t="shared" si="16"/>
        <v>337000</v>
      </c>
      <c r="G51" s="37">
        <f t="shared" si="17"/>
        <v>112000</v>
      </c>
      <c r="H51" s="37">
        <f t="shared" si="15"/>
        <v>112000</v>
      </c>
      <c r="I51" s="37">
        <f t="shared" si="15"/>
        <v>112000</v>
      </c>
      <c r="J51" s="37">
        <f t="shared" si="15"/>
        <v>112000</v>
      </c>
      <c r="K51" s="37">
        <f t="shared" si="15"/>
        <v>112000</v>
      </c>
      <c r="L51" s="37">
        <f t="shared" si="15"/>
        <v>112000</v>
      </c>
      <c r="M51" s="37">
        <f t="shared" si="15"/>
        <v>112000</v>
      </c>
      <c r="N51" s="37">
        <f t="shared" si="15"/>
        <v>112000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35000</v>
      </c>
      <c r="E54" s="37" t="s">
        <v>525</v>
      </c>
      <c r="F54" s="37">
        <f t="shared" ref="F54:P61" si="19">ROUND($D54/12,0)</f>
        <v>2917</v>
      </c>
      <c r="G54" s="37">
        <f t="shared" si="19"/>
        <v>2917</v>
      </c>
      <c r="H54" s="37">
        <f t="shared" si="19"/>
        <v>2917</v>
      </c>
      <c r="I54" s="37">
        <f t="shared" si="19"/>
        <v>2917</v>
      </c>
      <c r="J54" s="37">
        <f t="shared" si="19"/>
        <v>2917</v>
      </c>
      <c r="K54" s="37">
        <f t="shared" si="19"/>
        <v>2917</v>
      </c>
      <c r="L54" s="37">
        <f t="shared" si="19"/>
        <v>2917</v>
      </c>
      <c r="M54" s="37">
        <f t="shared" si="19"/>
        <v>2917</v>
      </c>
      <c r="N54" s="37">
        <f t="shared" si="19"/>
        <v>2917</v>
      </c>
      <c r="O54" s="37">
        <f t="shared" si="19"/>
        <v>2917</v>
      </c>
      <c r="P54" s="37">
        <f t="shared" si="19"/>
        <v>2917</v>
      </c>
      <c r="Q54" s="37">
        <f t="shared" ref="Q54:Q61" si="20">D54-SUM(F54:P54)</f>
        <v>2913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418000</v>
      </c>
      <c r="E60" s="37" t="s">
        <v>195</v>
      </c>
      <c r="F60" s="37">
        <f>D60</f>
        <v>418000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1804000</v>
      </c>
      <c r="E62" s="37" t="s">
        <v>197</v>
      </c>
      <c r="F62" s="37"/>
      <c r="G62" s="37"/>
      <c r="H62" s="37"/>
      <c r="I62" s="37">
        <f>ROUND($D62/5,-3)</f>
        <v>361000</v>
      </c>
      <c r="J62" s="37"/>
      <c r="K62" s="37"/>
      <c r="L62" s="37"/>
      <c r="M62" s="37"/>
      <c r="N62" s="37">
        <f>D62-I62</f>
        <v>1443000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1845000</v>
      </c>
      <c r="E63" s="37" t="s">
        <v>195</v>
      </c>
      <c r="F63" s="37">
        <f>D63</f>
        <v>1845000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1495000</v>
      </c>
      <c r="E64" s="114" t="s">
        <v>202</v>
      </c>
      <c r="F64" s="37">
        <f>ROUND($D64/12*3,-3)</f>
        <v>374000</v>
      </c>
      <c r="G64" s="37">
        <f>ROUND($D64/12,-3)</f>
        <v>125000</v>
      </c>
      <c r="H64" s="37">
        <f t="shared" ref="H64:N66" si="21">ROUND($D64/12,-3)</f>
        <v>125000</v>
      </c>
      <c r="I64" s="37">
        <f t="shared" si="21"/>
        <v>125000</v>
      </c>
      <c r="J64" s="37">
        <f t="shared" si="21"/>
        <v>125000</v>
      </c>
      <c r="K64" s="37">
        <f t="shared" si="21"/>
        <v>125000</v>
      </c>
      <c r="L64" s="37">
        <f t="shared" si="21"/>
        <v>125000</v>
      </c>
      <c r="M64" s="37">
        <f t="shared" si="21"/>
        <v>125000</v>
      </c>
      <c r="N64" s="37">
        <f t="shared" si="21"/>
        <v>125000</v>
      </c>
      <c r="O64" s="37">
        <f>D64-SUM(F64:N64)</f>
        <v>121000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343000</v>
      </c>
      <c r="E65" s="114" t="s">
        <v>202</v>
      </c>
      <c r="F65" s="37">
        <f t="shared" ref="F65:F66" si="22">ROUND($D65/12*3,-3)</f>
        <v>86000</v>
      </c>
      <c r="G65" s="37">
        <f t="shared" ref="G65:G66" si="23">ROUND($D65/12,-3)</f>
        <v>29000</v>
      </c>
      <c r="H65" s="37">
        <f t="shared" si="21"/>
        <v>29000</v>
      </c>
      <c r="I65" s="37">
        <f t="shared" si="21"/>
        <v>29000</v>
      </c>
      <c r="J65" s="37">
        <f t="shared" si="21"/>
        <v>29000</v>
      </c>
      <c r="K65" s="37">
        <f t="shared" si="21"/>
        <v>29000</v>
      </c>
      <c r="L65" s="37">
        <f t="shared" si="21"/>
        <v>29000</v>
      </c>
      <c r="M65" s="37">
        <f t="shared" si="21"/>
        <v>29000</v>
      </c>
      <c r="N65" s="37">
        <f t="shared" si="21"/>
        <v>29000</v>
      </c>
      <c r="O65" s="37">
        <f t="shared" ref="O65:O66" si="24">D65-SUM(F65:N65)</f>
        <v>25000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1162000</v>
      </c>
      <c r="E66" s="114" t="s">
        <v>202</v>
      </c>
      <c r="F66" s="37">
        <f t="shared" si="22"/>
        <v>291000</v>
      </c>
      <c r="G66" s="37">
        <f t="shared" si="23"/>
        <v>97000</v>
      </c>
      <c r="H66" s="37">
        <f t="shared" si="21"/>
        <v>97000</v>
      </c>
      <c r="I66" s="37">
        <f t="shared" si="21"/>
        <v>97000</v>
      </c>
      <c r="J66" s="37">
        <f t="shared" si="21"/>
        <v>97000</v>
      </c>
      <c r="K66" s="37">
        <f t="shared" si="21"/>
        <v>97000</v>
      </c>
      <c r="L66" s="37">
        <f t="shared" si="21"/>
        <v>97000</v>
      </c>
      <c r="M66" s="37">
        <f t="shared" si="21"/>
        <v>97000</v>
      </c>
      <c r="N66" s="37">
        <f t="shared" si="21"/>
        <v>97000</v>
      </c>
      <c r="O66" s="37">
        <f t="shared" si="24"/>
        <v>95000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27000</v>
      </c>
      <c r="E67" s="37" t="s">
        <v>196</v>
      </c>
      <c r="F67" s="37"/>
      <c r="G67" s="37"/>
      <c r="H67" s="37">
        <f>D67</f>
        <v>27000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147000</v>
      </c>
      <c r="E68" s="37" t="s">
        <v>195</v>
      </c>
      <c r="F68" s="37">
        <f>D68</f>
        <v>147000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23954000</v>
      </c>
      <c r="E70" s="108"/>
      <c r="F70" s="108">
        <f t="shared" ref="F70:P70" si="25">ROUND(SUM(F49:F69),-3)</f>
        <v>7329000</v>
      </c>
      <c r="G70" s="108">
        <f t="shared" si="25"/>
        <v>1644000</v>
      </c>
      <c r="H70" s="108">
        <f t="shared" si="25"/>
        <v>1671000</v>
      </c>
      <c r="I70" s="108">
        <f t="shared" si="25"/>
        <v>2005000</v>
      </c>
      <c r="J70" s="108">
        <f t="shared" si="25"/>
        <v>1644000</v>
      </c>
      <c r="K70" s="108">
        <f t="shared" si="25"/>
        <v>1644000</v>
      </c>
      <c r="L70" s="108">
        <f t="shared" si="25"/>
        <v>1644000</v>
      </c>
      <c r="M70" s="108">
        <f t="shared" si="25"/>
        <v>1644000</v>
      </c>
      <c r="N70" s="108">
        <f t="shared" si="25"/>
        <v>3087000</v>
      </c>
      <c r="O70" s="108">
        <f t="shared" si="25"/>
        <v>1633000</v>
      </c>
      <c r="P70" s="108">
        <f t="shared" si="25"/>
        <v>5000</v>
      </c>
      <c r="Q70" s="108">
        <f>D70-SUM(F70:P70)</f>
        <v>4000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5654000</v>
      </c>
      <c r="E72" s="114" t="s">
        <v>202</v>
      </c>
      <c r="F72" s="37">
        <f>ROUND($D72/12*3,-3)</f>
        <v>1414000</v>
      </c>
      <c r="G72" s="37">
        <f>ROUND($D72/12,-3)</f>
        <v>471000</v>
      </c>
      <c r="H72" s="37">
        <f t="shared" ref="H72:N75" si="26">ROUND($D72/12,-3)</f>
        <v>471000</v>
      </c>
      <c r="I72" s="37">
        <f t="shared" si="26"/>
        <v>471000</v>
      </c>
      <c r="J72" s="37">
        <f t="shared" si="26"/>
        <v>471000</v>
      </c>
      <c r="K72" s="37">
        <f t="shared" si="26"/>
        <v>471000</v>
      </c>
      <c r="L72" s="37">
        <f t="shared" si="26"/>
        <v>471000</v>
      </c>
      <c r="M72" s="37">
        <f t="shared" si="26"/>
        <v>471000</v>
      </c>
      <c r="N72" s="37">
        <f t="shared" si="26"/>
        <v>471000</v>
      </c>
      <c r="O72" s="37">
        <f>D72-SUM(F72:N72)</f>
        <v>472000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133000</v>
      </c>
      <c r="E75" s="114" t="s">
        <v>202</v>
      </c>
      <c r="F75" s="37">
        <f>ROUND($D75/12*3,-3)</f>
        <v>33000</v>
      </c>
      <c r="G75" s="37">
        <f>ROUND($D75/12,-3)</f>
        <v>11000</v>
      </c>
      <c r="H75" s="37">
        <f t="shared" si="26"/>
        <v>11000</v>
      </c>
      <c r="I75" s="37">
        <f t="shared" si="26"/>
        <v>11000</v>
      </c>
      <c r="J75" s="37">
        <f t="shared" si="26"/>
        <v>11000</v>
      </c>
      <c r="K75" s="37">
        <f t="shared" si="26"/>
        <v>11000</v>
      </c>
      <c r="L75" s="37">
        <f t="shared" si="26"/>
        <v>11000</v>
      </c>
      <c r="M75" s="37">
        <f t="shared" si="26"/>
        <v>11000</v>
      </c>
      <c r="N75" s="37">
        <f t="shared" si="26"/>
        <v>11000</v>
      </c>
      <c r="O75" s="37">
        <f>D75-SUM(F75:N75)</f>
        <v>12000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5787000</v>
      </c>
      <c r="E76" s="108"/>
      <c r="F76" s="108">
        <f>ROUND(SUM(F71:F75),-3)</f>
        <v>1447000</v>
      </c>
      <c r="G76" s="108">
        <f t="shared" ref="G76:N76" si="27">ROUND(SUM(G71:G75),-3)</f>
        <v>482000</v>
      </c>
      <c r="H76" s="108">
        <f t="shared" si="27"/>
        <v>482000</v>
      </c>
      <c r="I76" s="108">
        <f t="shared" si="27"/>
        <v>482000</v>
      </c>
      <c r="J76" s="108">
        <f t="shared" si="27"/>
        <v>482000</v>
      </c>
      <c r="K76" s="108">
        <f t="shared" si="27"/>
        <v>482000</v>
      </c>
      <c r="L76" s="108">
        <f t="shared" si="27"/>
        <v>482000</v>
      </c>
      <c r="M76" s="108">
        <f t="shared" si="27"/>
        <v>482000</v>
      </c>
      <c r="N76" s="108">
        <f t="shared" si="27"/>
        <v>482000</v>
      </c>
      <c r="O76" s="108">
        <f>D76-SUM(F76:N76)</f>
        <v>484000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349000</v>
      </c>
      <c r="E77" s="37" t="s">
        <v>681</v>
      </c>
      <c r="F77" s="224"/>
      <c r="G77" s="224"/>
      <c r="H77" s="224">
        <f>ROUND($D77/2,-3)</f>
        <v>175000</v>
      </c>
      <c r="I77" s="224"/>
      <c r="J77" s="224"/>
      <c r="K77" s="224"/>
      <c r="L77" s="224"/>
      <c r="M77" s="224"/>
      <c r="N77" s="224">
        <f>D77-H77</f>
        <v>174000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30090000</v>
      </c>
      <c r="E78" s="227"/>
      <c r="F78" s="227">
        <f>F76+F70+F77</f>
        <v>8776000</v>
      </c>
      <c r="G78" s="227">
        <f t="shared" ref="G78:Q78" si="29">G76+G70+G77</f>
        <v>2126000</v>
      </c>
      <c r="H78" s="227">
        <f t="shared" si="29"/>
        <v>2328000</v>
      </c>
      <c r="I78" s="227">
        <f t="shared" si="29"/>
        <v>2487000</v>
      </c>
      <c r="J78" s="227">
        <f t="shared" si="29"/>
        <v>2126000</v>
      </c>
      <c r="K78" s="227">
        <f t="shared" si="29"/>
        <v>2126000</v>
      </c>
      <c r="L78" s="227">
        <f t="shared" si="29"/>
        <v>2126000</v>
      </c>
      <c r="M78" s="227">
        <f t="shared" si="29"/>
        <v>2126000</v>
      </c>
      <c r="N78" s="227">
        <f t="shared" si="29"/>
        <v>3743000</v>
      </c>
      <c r="O78" s="227">
        <f t="shared" si="29"/>
        <v>2117000</v>
      </c>
      <c r="P78" s="227">
        <f t="shared" si="29"/>
        <v>5000</v>
      </c>
      <c r="Q78" s="227">
        <f t="shared" si="29"/>
        <v>4000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30974000</v>
      </c>
      <c r="E87" s="37"/>
      <c r="F87" s="37">
        <f>F88+F89+F90+F91</f>
        <v>8889000</v>
      </c>
      <c r="G87" s="37">
        <f t="shared" ref="G87:Q87" si="32">G88+G89+G90+G91</f>
        <v>2191000</v>
      </c>
      <c r="H87" s="37">
        <f t="shared" si="32"/>
        <v>2393000</v>
      </c>
      <c r="I87" s="37">
        <f t="shared" si="32"/>
        <v>2552000</v>
      </c>
      <c r="J87" s="37">
        <f t="shared" si="32"/>
        <v>2191000</v>
      </c>
      <c r="K87" s="37">
        <f t="shared" si="32"/>
        <v>2195000</v>
      </c>
      <c r="L87" s="37">
        <f t="shared" si="32"/>
        <v>2235000</v>
      </c>
      <c r="M87" s="37">
        <f t="shared" si="32"/>
        <v>2191000</v>
      </c>
      <c r="N87" s="37">
        <f t="shared" si="32"/>
        <v>3812000</v>
      </c>
      <c r="O87" s="37">
        <f t="shared" si="32"/>
        <v>2182000</v>
      </c>
      <c r="P87" s="37">
        <f t="shared" si="32"/>
        <v>70000</v>
      </c>
      <c r="Q87" s="37">
        <f t="shared" si="32"/>
        <v>73000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50000</v>
      </c>
      <c r="E88" s="108" t="s">
        <v>193</v>
      </c>
      <c r="F88" s="108">
        <f>ROUND($D88/2,-3)</f>
        <v>25000</v>
      </c>
      <c r="G88" s="108"/>
      <c r="H88" s="108"/>
      <c r="I88" s="108"/>
      <c r="J88" s="108"/>
      <c r="K88" s="108"/>
      <c r="L88" s="108">
        <f>D88-F88</f>
        <v>25000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30923000</v>
      </c>
      <c r="E91" s="108"/>
      <c r="F91" s="108">
        <f>F92+F93+F94+F95</f>
        <v>8864000</v>
      </c>
      <c r="G91" s="108">
        <f t="shared" ref="G91:Q91" si="34">G92+G93+G94+G95</f>
        <v>2191000</v>
      </c>
      <c r="H91" s="108">
        <f t="shared" si="34"/>
        <v>2393000</v>
      </c>
      <c r="I91" s="108">
        <f t="shared" si="34"/>
        <v>2552000</v>
      </c>
      <c r="J91" s="108">
        <f t="shared" si="34"/>
        <v>2191000</v>
      </c>
      <c r="K91" s="108">
        <f t="shared" si="34"/>
        <v>2195000</v>
      </c>
      <c r="L91" s="108">
        <f t="shared" si="34"/>
        <v>2210000</v>
      </c>
      <c r="M91" s="108">
        <f t="shared" si="34"/>
        <v>2191000</v>
      </c>
      <c r="N91" s="108">
        <f t="shared" si="34"/>
        <v>3812000</v>
      </c>
      <c r="O91" s="108">
        <f t="shared" si="34"/>
        <v>2182000</v>
      </c>
      <c r="P91" s="108">
        <f t="shared" si="34"/>
        <v>70000</v>
      </c>
      <c r="Q91" s="108">
        <f t="shared" si="34"/>
        <v>72000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3565000</v>
      </c>
      <c r="E92" s="114" t="s">
        <v>537</v>
      </c>
      <c r="F92" s="37">
        <f>ROUND($D92/12*5,-3)</f>
        <v>1485000</v>
      </c>
      <c r="G92" s="37">
        <f>ROUND($D92/12,-3)</f>
        <v>297000</v>
      </c>
      <c r="H92" s="37">
        <f t="shared" ref="H92:L92" si="35">ROUND($D92/12,-3)</f>
        <v>297000</v>
      </c>
      <c r="I92" s="37">
        <f t="shared" si="35"/>
        <v>297000</v>
      </c>
      <c r="J92" s="37">
        <f t="shared" si="35"/>
        <v>297000</v>
      </c>
      <c r="K92" s="37">
        <f t="shared" si="35"/>
        <v>297000</v>
      </c>
      <c r="L92" s="37">
        <f t="shared" si="35"/>
        <v>297000</v>
      </c>
      <c r="M92" s="37">
        <f>D92-SUM(F92:L92)</f>
        <v>298000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103000</v>
      </c>
      <c r="E93" s="189" t="s">
        <v>227</v>
      </c>
      <c r="F93" s="37">
        <f>ROUND($D93/12,-3)</f>
        <v>9000</v>
      </c>
      <c r="G93" s="37">
        <f t="shared" ref="G93:P93" si="36">ROUND($D93/12,-3)</f>
        <v>9000</v>
      </c>
      <c r="H93" s="37">
        <f t="shared" si="36"/>
        <v>9000</v>
      </c>
      <c r="I93" s="37">
        <f t="shared" si="36"/>
        <v>9000</v>
      </c>
      <c r="J93" s="37">
        <f t="shared" si="36"/>
        <v>9000</v>
      </c>
      <c r="K93" s="37">
        <f t="shared" si="36"/>
        <v>9000</v>
      </c>
      <c r="L93" s="37">
        <f t="shared" si="36"/>
        <v>9000</v>
      </c>
      <c r="M93" s="37">
        <f t="shared" si="36"/>
        <v>9000</v>
      </c>
      <c r="N93" s="37">
        <f t="shared" si="36"/>
        <v>9000</v>
      </c>
      <c r="O93" s="37">
        <f t="shared" si="36"/>
        <v>9000</v>
      </c>
      <c r="P93" s="37">
        <f t="shared" si="36"/>
        <v>9000</v>
      </c>
      <c r="Q93" s="37">
        <f>D93-SUM(F93:P93)</f>
        <v>4000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27255000</v>
      </c>
      <c r="E95" s="37"/>
      <c r="F95" s="37">
        <f>F2+F86-F88-F89-F90-F92-F93-F94</f>
        <v>7370000</v>
      </c>
      <c r="G95" s="37">
        <f t="shared" ref="G95:Q95" si="37">G2-G88-G89-G90-G92-G93-G94</f>
        <v>1885000</v>
      </c>
      <c r="H95" s="37">
        <f t="shared" si="37"/>
        <v>2087000</v>
      </c>
      <c r="I95" s="37">
        <f t="shared" si="37"/>
        <v>2246000</v>
      </c>
      <c r="J95" s="37">
        <f t="shared" si="37"/>
        <v>1885000</v>
      </c>
      <c r="K95" s="37">
        <f t="shared" si="37"/>
        <v>1889000</v>
      </c>
      <c r="L95" s="37">
        <f t="shared" si="37"/>
        <v>1904000</v>
      </c>
      <c r="M95" s="37">
        <f t="shared" si="37"/>
        <v>1884000</v>
      </c>
      <c r="N95" s="37">
        <f t="shared" si="37"/>
        <v>3803000</v>
      </c>
      <c r="O95" s="37">
        <f t="shared" si="37"/>
        <v>2173000</v>
      </c>
      <c r="P95" s="37">
        <f t="shared" si="37"/>
        <v>61000</v>
      </c>
      <c r="Q95" s="37">
        <f t="shared" si="37"/>
        <v>68000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1900000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96000</v>
      </c>
    </row>
    <row r="103" spans="2:17" ht="32.4">
      <c r="B103" s="72" t="s">
        <v>239</v>
      </c>
      <c r="D103" s="30">
        <f>HLOOKUP(D1,[1]縣庫撥款收入明細表!H:DD,17,FALSE)</f>
        <v>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650000</v>
      </c>
    </row>
    <row r="106" spans="2:17" ht="32.4">
      <c r="B106" s="71" t="s">
        <v>241</v>
      </c>
      <c r="D106" s="30">
        <f>HLOOKUP(D1,[1]縣庫撥款收入明細表!H:DD,20,FALSE)</f>
        <v>7000</v>
      </c>
    </row>
    <row r="107" spans="2:17" ht="32.4">
      <c r="B107" s="77" t="s">
        <v>242</v>
      </c>
      <c r="D107" s="30">
        <f>HLOOKUP(D1,[1]縣庫撥款收入明細表!H:DD,21,FALSE)</f>
        <v>27255000</v>
      </c>
    </row>
    <row r="108" spans="2:17" ht="16.5" customHeight="1"/>
    <row r="109" spans="2:17" ht="16.5" customHeight="1">
      <c r="B109" s="4" t="s">
        <v>682</v>
      </c>
      <c r="D109" s="30">
        <f>D91-D76</f>
        <v>25136000</v>
      </c>
      <c r="F109" s="30">
        <f>F91-F76</f>
        <v>7417000</v>
      </c>
      <c r="G109" s="30">
        <f t="shared" ref="G109:Q109" si="38">G91-G76</f>
        <v>1709000</v>
      </c>
      <c r="H109" s="30">
        <f t="shared" si="38"/>
        <v>1911000</v>
      </c>
      <c r="I109" s="30">
        <f t="shared" si="38"/>
        <v>2070000</v>
      </c>
      <c r="J109" s="30">
        <f t="shared" si="38"/>
        <v>1709000</v>
      </c>
      <c r="K109" s="30">
        <f t="shared" si="38"/>
        <v>1713000</v>
      </c>
      <c r="L109" s="30">
        <f t="shared" si="38"/>
        <v>1728000</v>
      </c>
      <c r="M109" s="30">
        <f t="shared" si="38"/>
        <v>1709000</v>
      </c>
      <c r="N109" s="30">
        <f t="shared" si="38"/>
        <v>3330000</v>
      </c>
      <c r="O109" s="30">
        <f t="shared" si="38"/>
        <v>1698000</v>
      </c>
      <c r="P109" s="30">
        <f t="shared" si="38"/>
        <v>70000</v>
      </c>
      <c r="Q109" s="30">
        <f t="shared" si="38"/>
        <v>72000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28" priority="1" operator="lessThan">
      <formula>0</formula>
    </cfRule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641</v>
      </c>
      <c r="D1" s="28" t="str">
        <f>VLOOKUP(C1,[1]學校編號!A:B,2,FALSE)</f>
        <v>641光復國小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34933000</v>
      </c>
      <c r="E2" s="37"/>
      <c r="F2" s="37">
        <f>F48+F70+F76+F77+F83</f>
        <v>10053000</v>
      </c>
      <c r="G2" s="37">
        <f t="shared" ref="G2:Q2" si="0">G48+G70+G76+G77+G83</f>
        <v>2482000</v>
      </c>
      <c r="H2" s="37">
        <f t="shared" si="0"/>
        <v>2740000</v>
      </c>
      <c r="I2" s="37">
        <f t="shared" si="0"/>
        <v>2854000</v>
      </c>
      <c r="J2" s="37">
        <f t="shared" si="0"/>
        <v>2490000</v>
      </c>
      <c r="K2" s="37">
        <f t="shared" si="0"/>
        <v>2496000</v>
      </c>
      <c r="L2" s="37">
        <f t="shared" si="0"/>
        <v>2521000</v>
      </c>
      <c r="M2" s="37">
        <f t="shared" si="0"/>
        <v>2490000</v>
      </c>
      <c r="N2" s="37">
        <f t="shared" si="0"/>
        <v>4145000</v>
      </c>
      <c r="O2" s="37">
        <f t="shared" si="0"/>
        <v>2482000</v>
      </c>
      <c r="P2" s="37">
        <f t="shared" si="0"/>
        <v>93000</v>
      </c>
      <c r="Q2" s="37">
        <f t="shared" si="0"/>
        <v>87000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187000</v>
      </c>
      <c r="E3" s="37" t="s">
        <v>525</v>
      </c>
      <c r="F3" s="37">
        <f t="shared" ref="F3:P17" si="1">ROUND($D3/12,0)</f>
        <v>15583</v>
      </c>
      <c r="G3" s="37">
        <f t="shared" si="1"/>
        <v>15583</v>
      </c>
      <c r="H3" s="37">
        <f t="shared" si="1"/>
        <v>15583</v>
      </c>
      <c r="I3" s="37">
        <f t="shared" si="1"/>
        <v>15583</v>
      </c>
      <c r="J3" s="37">
        <f t="shared" si="1"/>
        <v>15583</v>
      </c>
      <c r="K3" s="37">
        <f t="shared" si="1"/>
        <v>15583</v>
      </c>
      <c r="L3" s="37">
        <f t="shared" si="1"/>
        <v>15583</v>
      </c>
      <c r="M3" s="37">
        <f t="shared" si="1"/>
        <v>15583</v>
      </c>
      <c r="N3" s="37">
        <f t="shared" si="1"/>
        <v>15583</v>
      </c>
      <c r="O3" s="37">
        <f t="shared" si="1"/>
        <v>15583</v>
      </c>
      <c r="P3" s="37">
        <f t="shared" si="1"/>
        <v>15583</v>
      </c>
      <c r="Q3" s="37">
        <f t="shared" ref="Q3:Q10" si="2">D3-SUM(F3:P3)</f>
        <v>15587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80000</v>
      </c>
      <c r="E4" s="37" t="s">
        <v>525</v>
      </c>
      <c r="F4" s="37">
        <f t="shared" si="1"/>
        <v>6667</v>
      </c>
      <c r="G4" s="37">
        <f t="shared" si="1"/>
        <v>6667</v>
      </c>
      <c r="H4" s="37">
        <f t="shared" si="1"/>
        <v>6667</v>
      </c>
      <c r="I4" s="37">
        <f t="shared" si="1"/>
        <v>6667</v>
      </c>
      <c r="J4" s="37">
        <f t="shared" si="1"/>
        <v>6667</v>
      </c>
      <c r="K4" s="37">
        <f t="shared" si="1"/>
        <v>6667</v>
      </c>
      <c r="L4" s="37">
        <f t="shared" si="1"/>
        <v>6667</v>
      </c>
      <c r="M4" s="37">
        <f t="shared" si="1"/>
        <v>6667</v>
      </c>
      <c r="N4" s="37">
        <f t="shared" si="1"/>
        <v>6667</v>
      </c>
      <c r="O4" s="37">
        <f t="shared" si="1"/>
        <v>6667</v>
      </c>
      <c r="P4" s="37">
        <f t="shared" si="1"/>
        <v>6667</v>
      </c>
      <c r="Q4" s="37">
        <f t="shared" si="2"/>
        <v>6663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66000</v>
      </c>
      <c r="E7" s="37" t="s">
        <v>525</v>
      </c>
      <c r="F7" s="37">
        <f t="shared" si="1"/>
        <v>5500</v>
      </c>
      <c r="G7" s="37">
        <f t="shared" si="1"/>
        <v>5500</v>
      </c>
      <c r="H7" s="37">
        <f t="shared" si="1"/>
        <v>5500</v>
      </c>
      <c r="I7" s="37">
        <f t="shared" si="1"/>
        <v>5500</v>
      </c>
      <c r="J7" s="37">
        <f t="shared" si="1"/>
        <v>5500</v>
      </c>
      <c r="K7" s="37">
        <f t="shared" si="1"/>
        <v>5500</v>
      </c>
      <c r="L7" s="37">
        <f t="shared" si="1"/>
        <v>5500</v>
      </c>
      <c r="M7" s="37">
        <f t="shared" si="1"/>
        <v>5500</v>
      </c>
      <c r="N7" s="37">
        <f t="shared" si="1"/>
        <v>5500</v>
      </c>
      <c r="O7" s="37">
        <f t="shared" si="1"/>
        <v>5500</v>
      </c>
      <c r="P7" s="37">
        <f t="shared" si="1"/>
        <v>5500</v>
      </c>
      <c r="Q7" s="37">
        <f t="shared" si="2"/>
        <v>5500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30000</v>
      </c>
      <c r="E8" s="37" t="s">
        <v>525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3000</v>
      </c>
      <c r="E9" s="37" t="s">
        <v>525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26000</v>
      </c>
      <c r="E10" s="37" t="s">
        <v>525</v>
      </c>
      <c r="F10" s="37">
        <f t="shared" si="1"/>
        <v>2167</v>
      </c>
      <c r="G10" s="37">
        <f t="shared" si="1"/>
        <v>2167</v>
      </c>
      <c r="H10" s="37">
        <f t="shared" si="1"/>
        <v>2167</v>
      </c>
      <c r="I10" s="37">
        <f t="shared" si="1"/>
        <v>2167</v>
      </c>
      <c r="J10" s="37">
        <f t="shared" si="1"/>
        <v>2167</v>
      </c>
      <c r="K10" s="37">
        <f t="shared" si="1"/>
        <v>2167</v>
      </c>
      <c r="L10" s="37">
        <f t="shared" si="1"/>
        <v>2167</v>
      </c>
      <c r="M10" s="37">
        <f t="shared" si="1"/>
        <v>2167</v>
      </c>
      <c r="N10" s="37">
        <f t="shared" si="1"/>
        <v>2167</v>
      </c>
      <c r="O10" s="37">
        <f t="shared" si="1"/>
        <v>2167</v>
      </c>
      <c r="P10" s="37">
        <f t="shared" si="1"/>
        <v>2167</v>
      </c>
      <c r="Q10" s="37">
        <f t="shared" si="2"/>
        <v>2163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21000</v>
      </c>
      <c r="E11" s="37" t="s">
        <v>195</v>
      </c>
      <c r="F11" s="37">
        <f>D11</f>
        <v>21000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514000</v>
      </c>
      <c r="E12" s="113" t="s">
        <v>202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41000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164000</v>
      </c>
      <c r="E13" s="37" t="s">
        <v>525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44000</v>
      </c>
      <c r="E15" s="37" t="s">
        <v>193</v>
      </c>
      <c r="F15" s="37">
        <f>ROUND($D15/2,-3)</f>
        <v>22000</v>
      </c>
      <c r="G15" s="37"/>
      <c r="H15" s="37"/>
      <c r="I15" s="37"/>
      <c r="J15" s="37"/>
      <c r="K15" s="37"/>
      <c r="L15" s="37">
        <f>D15-F15</f>
        <v>22000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0</v>
      </c>
      <c r="E16" s="37" t="s">
        <v>525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46000</v>
      </c>
      <c r="E17" s="37" t="s">
        <v>525</v>
      </c>
      <c r="F17" s="37">
        <f>ROUND($D17/12,0)</f>
        <v>3833</v>
      </c>
      <c r="G17" s="37">
        <f t="shared" si="1"/>
        <v>3833</v>
      </c>
      <c r="H17" s="37">
        <f t="shared" si="1"/>
        <v>3833</v>
      </c>
      <c r="I17" s="37">
        <f t="shared" si="1"/>
        <v>3833</v>
      </c>
      <c r="J17" s="37">
        <f t="shared" si="1"/>
        <v>3833</v>
      </c>
      <c r="K17" s="37">
        <f t="shared" si="1"/>
        <v>3833</v>
      </c>
      <c r="L17" s="37">
        <f t="shared" si="1"/>
        <v>3833</v>
      </c>
      <c r="M17" s="37">
        <f t="shared" si="1"/>
        <v>3833</v>
      </c>
      <c r="N17" s="37">
        <f t="shared" si="1"/>
        <v>3833</v>
      </c>
      <c r="O17" s="37">
        <f t="shared" si="1"/>
        <v>3833</v>
      </c>
      <c r="P17" s="37">
        <f t="shared" si="1"/>
        <v>3833</v>
      </c>
      <c r="Q17" s="37">
        <f>D17-SUM(F17:P17)</f>
        <v>3837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20000</v>
      </c>
      <c r="E24" s="37" t="s">
        <v>193</v>
      </c>
      <c r="F24" s="37">
        <f>ROUND($D24/2,-3)</f>
        <v>10000</v>
      </c>
      <c r="G24" s="37"/>
      <c r="H24" s="37"/>
      <c r="I24" s="37"/>
      <c r="J24" s="37"/>
      <c r="K24" s="37"/>
      <c r="L24" s="37">
        <f>D24-F24</f>
        <v>10000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1201000</v>
      </c>
      <c r="E25" s="108"/>
      <c r="F25" s="108">
        <f>ROUND(SUM(F3:F24),-3)</f>
        <v>232000</v>
      </c>
      <c r="G25" s="108">
        <f t="shared" ref="G25:P25" si="5">ROUND(SUM(G3:G24),-3)</f>
        <v>93000</v>
      </c>
      <c r="H25" s="108">
        <f t="shared" si="5"/>
        <v>93000</v>
      </c>
      <c r="I25" s="108">
        <f t="shared" si="5"/>
        <v>93000</v>
      </c>
      <c r="J25" s="108">
        <f t="shared" si="5"/>
        <v>93000</v>
      </c>
      <c r="K25" s="108">
        <f t="shared" si="5"/>
        <v>93000</v>
      </c>
      <c r="L25" s="108">
        <f t="shared" si="5"/>
        <v>125000</v>
      </c>
      <c r="M25" s="108">
        <f t="shared" si="5"/>
        <v>93000</v>
      </c>
      <c r="N25" s="108">
        <f t="shared" si="5"/>
        <v>93000</v>
      </c>
      <c r="O25" s="108">
        <f t="shared" si="5"/>
        <v>91000</v>
      </c>
      <c r="P25" s="108">
        <f t="shared" si="5"/>
        <v>50000</v>
      </c>
      <c r="Q25" s="108">
        <f t="shared" ref="Q25:Q33" si="6">D25-SUM(F25:P25)</f>
        <v>52000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81000</v>
      </c>
      <c r="E26" s="114" t="s">
        <v>204</v>
      </c>
      <c r="F26" s="37">
        <f>ROUND($D26/10,-3)</f>
        <v>8000</v>
      </c>
      <c r="G26" s="37"/>
      <c r="H26" s="37">
        <f>ROUND($D26/10,-3)</f>
        <v>8000</v>
      </c>
      <c r="I26" s="37">
        <f>ROUND($D26/10,-3)</f>
        <v>8000</v>
      </c>
      <c r="J26" s="37">
        <f>ROUND($D26/10,-3)</f>
        <v>8000</v>
      </c>
      <c r="K26" s="37">
        <f>ROUND($D26/10,-3)</f>
        <v>8000</v>
      </c>
      <c r="L26" s="37"/>
      <c r="M26" s="37">
        <f>ROUND($D26/10,-3)</f>
        <v>8000</v>
      </c>
      <c r="N26" s="37">
        <f>ROUND($D26/10,-3)</f>
        <v>8000</v>
      </c>
      <c r="O26" s="37">
        <f>ROUND($D26/10,-3)</f>
        <v>8000</v>
      </c>
      <c r="P26" s="37">
        <f>ROUND($D26/10,-3)</f>
        <v>8000</v>
      </c>
      <c r="Q26" s="37">
        <f t="shared" si="6"/>
        <v>9000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266000</v>
      </c>
      <c r="E27" s="37" t="s">
        <v>525</v>
      </c>
      <c r="F27" s="37">
        <f t="shared" ref="F27:P33" si="8">ROUND($D27/12,0)</f>
        <v>22167</v>
      </c>
      <c r="G27" s="37">
        <f t="shared" si="8"/>
        <v>22167</v>
      </c>
      <c r="H27" s="37">
        <f t="shared" si="8"/>
        <v>22167</v>
      </c>
      <c r="I27" s="37">
        <f t="shared" si="8"/>
        <v>22167</v>
      </c>
      <c r="J27" s="37">
        <f t="shared" si="8"/>
        <v>22167</v>
      </c>
      <c r="K27" s="37">
        <f t="shared" si="8"/>
        <v>22167</v>
      </c>
      <c r="L27" s="37">
        <f t="shared" si="8"/>
        <v>22167</v>
      </c>
      <c r="M27" s="37">
        <f t="shared" si="8"/>
        <v>22167</v>
      </c>
      <c r="N27" s="37">
        <f t="shared" si="8"/>
        <v>22167</v>
      </c>
      <c r="O27" s="37">
        <f t="shared" si="8"/>
        <v>22167</v>
      </c>
      <c r="P27" s="37">
        <f t="shared" si="8"/>
        <v>22167</v>
      </c>
      <c r="Q27" s="37">
        <f t="shared" si="6"/>
        <v>22163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23000</v>
      </c>
      <c r="E29" s="37" t="s">
        <v>525</v>
      </c>
      <c r="F29" s="37">
        <f t="shared" si="8"/>
        <v>1917</v>
      </c>
      <c r="G29" s="37">
        <f t="shared" si="8"/>
        <v>1917</v>
      </c>
      <c r="H29" s="37">
        <f t="shared" si="8"/>
        <v>1917</v>
      </c>
      <c r="I29" s="37">
        <f t="shared" si="8"/>
        <v>1917</v>
      </c>
      <c r="J29" s="37">
        <f t="shared" si="8"/>
        <v>1917</v>
      </c>
      <c r="K29" s="37">
        <f t="shared" si="8"/>
        <v>1917</v>
      </c>
      <c r="L29" s="37">
        <f t="shared" si="8"/>
        <v>1917</v>
      </c>
      <c r="M29" s="37">
        <f t="shared" si="8"/>
        <v>1917</v>
      </c>
      <c r="N29" s="37">
        <f t="shared" si="8"/>
        <v>1917</v>
      </c>
      <c r="O29" s="37">
        <f t="shared" si="8"/>
        <v>1917</v>
      </c>
      <c r="P29" s="37">
        <f t="shared" si="8"/>
        <v>1917</v>
      </c>
      <c r="Q29" s="37">
        <f t="shared" si="6"/>
        <v>1913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26000</v>
      </c>
      <c r="E30" s="37" t="s">
        <v>525</v>
      </c>
      <c r="F30" s="37">
        <f t="shared" si="8"/>
        <v>2167</v>
      </c>
      <c r="G30" s="37">
        <f t="shared" si="8"/>
        <v>2167</v>
      </c>
      <c r="H30" s="37">
        <f t="shared" si="8"/>
        <v>2167</v>
      </c>
      <c r="I30" s="37">
        <f t="shared" si="8"/>
        <v>2167</v>
      </c>
      <c r="J30" s="37">
        <f t="shared" si="8"/>
        <v>2167</v>
      </c>
      <c r="K30" s="37">
        <f t="shared" si="8"/>
        <v>2167</v>
      </c>
      <c r="L30" s="37">
        <f t="shared" si="8"/>
        <v>2167</v>
      </c>
      <c r="M30" s="37">
        <f t="shared" si="8"/>
        <v>2167</v>
      </c>
      <c r="N30" s="37">
        <f t="shared" si="8"/>
        <v>2167</v>
      </c>
      <c r="O30" s="37">
        <f t="shared" si="8"/>
        <v>2167</v>
      </c>
      <c r="P30" s="37">
        <f t="shared" si="8"/>
        <v>2167</v>
      </c>
      <c r="Q30" s="37">
        <f t="shared" si="6"/>
        <v>2163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13000</v>
      </c>
      <c r="E31" s="37" t="s">
        <v>525</v>
      </c>
      <c r="F31" s="37">
        <f t="shared" si="8"/>
        <v>1083</v>
      </c>
      <c r="G31" s="37">
        <f t="shared" si="8"/>
        <v>1083</v>
      </c>
      <c r="H31" s="37">
        <f t="shared" si="8"/>
        <v>1083</v>
      </c>
      <c r="I31" s="37">
        <f t="shared" si="8"/>
        <v>1083</v>
      </c>
      <c r="J31" s="37">
        <f t="shared" si="8"/>
        <v>1083</v>
      </c>
      <c r="K31" s="37">
        <f t="shared" si="8"/>
        <v>1083</v>
      </c>
      <c r="L31" s="37">
        <f t="shared" si="8"/>
        <v>1083</v>
      </c>
      <c r="M31" s="37">
        <f t="shared" si="8"/>
        <v>1083</v>
      </c>
      <c r="N31" s="37">
        <f t="shared" si="8"/>
        <v>1083</v>
      </c>
      <c r="O31" s="37">
        <f t="shared" si="8"/>
        <v>1083</v>
      </c>
      <c r="P31" s="37">
        <f t="shared" si="8"/>
        <v>1083</v>
      </c>
      <c r="Q31" s="37">
        <f t="shared" si="6"/>
        <v>1087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24000</v>
      </c>
      <c r="E32" s="37" t="s">
        <v>525</v>
      </c>
      <c r="F32" s="37">
        <f t="shared" si="8"/>
        <v>2000</v>
      </c>
      <c r="G32" s="37">
        <f t="shared" si="8"/>
        <v>2000</v>
      </c>
      <c r="H32" s="37">
        <f t="shared" si="8"/>
        <v>2000</v>
      </c>
      <c r="I32" s="37">
        <f t="shared" si="8"/>
        <v>2000</v>
      </c>
      <c r="J32" s="37">
        <f t="shared" si="8"/>
        <v>2000</v>
      </c>
      <c r="K32" s="37">
        <f t="shared" si="8"/>
        <v>2000</v>
      </c>
      <c r="L32" s="37">
        <f t="shared" si="8"/>
        <v>2000</v>
      </c>
      <c r="M32" s="37">
        <f t="shared" si="8"/>
        <v>2000</v>
      </c>
      <c r="N32" s="37">
        <f t="shared" si="8"/>
        <v>2000</v>
      </c>
      <c r="O32" s="37">
        <f t="shared" si="8"/>
        <v>2000</v>
      </c>
      <c r="P32" s="37">
        <f t="shared" si="8"/>
        <v>2000</v>
      </c>
      <c r="Q32" s="37">
        <f t="shared" si="6"/>
        <v>2000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14000</v>
      </c>
      <c r="E33" s="37" t="s">
        <v>525</v>
      </c>
      <c r="F33" s="37">
        <f t="shared" si="8"/>
        <v>1167</v>
      </c>
      <c r="G33" s="37">
        <f t="shared" si="8"/>
        <v>1167</v>
      </c>
      <c r="H33" s="37">
        <f t="shared" si="8"/>
        <v>1167</v>
      </c>
      <c r="I33" s="37">
        <f t="shared" si="8"/>
        <v>1167</v>
      </c>
      <c r="J33" s="37">
        <f t="shared" si="8"/>
        <v>1167</v>
      </c>
      <c r="K33" s="37">
        <f t="shared" si="8"/>
        <v>1167</v>
      </c>
      <c r="L33" s="37">
        <f t="shared" si="8"/>
        <v>1167</v>
      </c>
      <c r="M33" s="37">
        <f t="shared" si="8"/>
        <v>1167</v>
      </c>
      <c r="N33" s="37">
        <f t="shared" si="8"/>
        <v>1167</v>
      </c>
      <c r="O33" s="37">
        <f t="shared" si="8"/>
        <v>1167</v>
      </c>
      <c r="P33" s="37">
        <f t="shared" si="8"/>
        <v>1167</v>
      </c>
      <c r="Q33" s="37">
        <f t="shared" si="6"/>
        <v>1163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447000</v>
      </c>
      <c r="E37" s="108"/>
      <c r="F37" s="108">
        <f t="shared" ref="F37:P37" si="9">ROUND(SUM(F26:F36),-3)</f>
        <v>39000</v>
      </c>
      <c r="G37" s="108">
        <f t="shared" si="9"/>
        <v>31000</v>
      </c>
      <c r="H37" s="108">
        <f t="shared" si="9"/>
        <v>39000</v>
      </c>
      <c r="I37" s="108">
        <f t="shared" si="9"/>
        <v>39000</v>
      </c>
      <c r="J37" s="108">
        <f t="shared" si="9"/>
        <v>39000</v>
      </c>
      <c r="K37" s="108">
        <f t="shared" si="9"/>
        <v>39000</v>
      </c>
      <c r="L37" s="108">
        <f t="shared" si="9"/>
        <v>31000</v>
      </c>
      <c r="M37" s="108">
        <f t="shared" si="9"/>
        <v>39000</v>
      </c>
      <c r="N37" s="108">
        <f t="shared" si="9"/>
        <v>39000</v>
      </c>
      <c r="O37" s="108">
        <f t="shared" si="9"/>
        <v>39000</v>
      </c>
      <c r="P37" s="108">
        <f t="shared" si="9"/>
        <v>39000</v>
      </c>
      <c r="Q37" s="108">
        <f>D37-SUM(F37:P37)</f>
        <v>34000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6000</v>
      </c>
      <c r="E42" s="37" t="s">
        <v>199</v>
      </c>
      <c r="F42" s="37"/>
      <c r="G42" s="37"/>
      <c r="H42" s="37"/>
      <c r="I42" s="37">
        <f>D42</f>
        <v>6000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7000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7000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14000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6000</v>
      </c>
      <c r="J45" s="108">
        <f t="shared" si="12"/>
        <v>0</v>
      </c>
      <c r="K45" s="108">
        <f t="shared" si="12"/>
        <v>0</v>
      </c>
      <c r="L45" s="108">
        <f t="shared" si="12"/>
        <v>7000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18000</v>
      </c>
      <c r="E46" s="37" t="s">
        <v>194</v>
      </c>
      <c r="F46" s="37">
        <f>ROUND($D46/3,0)</f>
        <v>6000</v>
      </c>
      <c r="G46" s="37"/>
      <c r="H46" s="37"/>
      <c r="I46" s="37"/>
      <c r="J46" s="37"/>
      <c r="K46" s="37">
        <f>ROUND($D46/3,0)</f>
        <v>6000</v>
      </c>
      <c r="L46" s="37"/>
      <c r="M46" s="37"/>
      <c r="N46" s="37">
        <f>ROUND($D46/3,0)</f>
        <v>6000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18000</v>
      </c>
      <c r="E47" s="108"/>
      <c r="F47" s="108">
        <f t="shared" ref="F47:P47" si="13">ROUND(SUM(F46),-3)</f>
        <v>6000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6000</v>
      </c>
      <c r="L47" s="108">
        <f t="shared" si="13"/>
        <v>0</v>
      </c>
      <c r="M47" s="108">
        <f t="shared" si="13"/>
        <v>0</v>
      </c>
      <c r="N47" s="108">
        <f t="shared" si="13"/>
        <v>6000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1680000</v>
      </c>
      <c r="E48" s="37"/>
      <c r="F48" s="115">
        <f>F25+F37+F45+F47</f>
        <v>278000</v>
      </c>
      <c r="G48" s="115">
        <f t="shared" ref="G48:R48" si="14">G25+G37+G45+G47</f>
        <v>124000</v>
      </c>
      <c r="H48" s="115">
        <f t="shared" si="14"/>
        <v>132000</v>
      </c>
      <c r="I48" s="115">
        <f t="shared" si="14"/>
        <v>138000</v>
      </c>
      <c r="J48" s="115">
        <f t="shared" si="14"/>
        <v>132000</v>
      </c>
      <c r="K48" s="115">
        <f t="shared" si="14"/>
        <v>138000</v>
      </c>
      <c r="L48" s="115">
        <f t="shared" si="14"/>
        <v>163000</v>
      </c>
      <c r="M48" s="115">
        <f t="shared" si="14"/>
        <v>132000</v>
      </c>
      <c r="N48" s="115">
        <f t="shared" si="14"/>
        <v>138000</v>
      </c>
      <c r="O48" s="115">
        <f t="shared" si="14"/>
        <v>130000</v>
      </c>
      <c r="P48" s="115">
        <f t="shared" si="14"/>
        <v>89000</v>
      </c>
      <c r="Q48" s="115">
        <f t="shared" si="14"/>
        <v>86000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16380000</v>
      </c>
      <c r="E49" s="114" t="s">
        <v>202</v>
      </c>
      <c r="F49" s="37">
        <f>ROUND($D49/12*3,-3)</f>
        <v>4095000</v>
      </c>
      <c r="G49" s="37">
        <f>ROUND($D49/12,-3)</f>
        <v>1365000</v>
      </c>
      <c r="H49" s="37">
        <f t="shared" ref="H49:N53" si="15">ROUND($D49/12,-3)</f>
        <v>1365000</v>
      </c>
      <c r="I49" s="37">
        <f t="shared" si="15"/>
        <v>1365000</v>
      </c>
      <c r="J49" s="37">
        <f t="shared" si="15"/>
        <v>1365000</v>
      </c>
      <c r="K49" s="37">
        <f t="shared" si="15"/>
        <v>1365000</v>
      </c>
      <c r="L49" s="37">
        <f t="shared" si="15"/>
        <v>1365000</v>
      </c>
      <c r="M49" s="37">
        <f t="shared" si="15"/>
        <v>1365000</v>
      </c>
      <c r="N49" s="37">
        <f t="shared" si="15"/>
        <v>1365000</v>
      </c>
      <c r="O49" s="37">
        <f>D49-SUM(F49:N49)</f>
        <v>1365000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406000</v>
      </c>
      <c r="E50" s="114" t="s">
        <v>202</v>
      </c>
      <c r="F50" s="37">
        <f t="shared" ref="F50:F53" si="16">ROUND($D50/12*3,-3)</f>
        <v>102000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si="15"/>
        <v>34000</v>
      </c>
      <c r="N50" s="37">
        <f t="shared" si="15"/>
        <v>34000</v>
      </c>
      <c r="O50" s="37">
        <f t="shared" ref="O50:O53" si="18">D50-SUM(F50:N50)</f>
        <v>32000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1413000</v>
      </c>
      <c r="E51" s="114" t="s">
        <v>202</v>
      </c>
      <c r="F51" s="37">
        <f t="shared" si="16"/>
        <v>353000</v>
      </c>
      <c r="G51" s="37">
        <f t="shared" si="17"/>
        <v>118000</v>
      </c>
      <c r="H51" s="37">
        <f t="shared" si="15"/>
        <v>118000</v>
      </c>
      <c r="I51" s="37">
        <f t="shared" si="15"/>
        <v>118000</v>
      </c>
      <c r="J51" s="37">
        <f t="shared" si="15"/>
        <v>118000</v>
      </c>
      <c r="K51" s="37">
        <f t="shared" si="15"/>
        <v>118000</v>
      </c>
      <c r="L51" s="37">
        <f t="shared" si="15"/>
        <v>118000</v>
      </c>
      <c r="M51" s="37">
        <f t="shared" si="15"/>
        <v>118000</v>
      </c>
      <c r="N51" s="37">
        <f t="shared" si="15"/>
        <v>118000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45000</v>
      </c>
      <c r="E54" s="37" t="s">
        <v>525</v>
      </c>
      <c r="F54" s="37">
        <f t="shared" ref="F54:P61" si="19">ROUND($D54/12,0)</f>
        <v>3750</v>
      </c>
      <c r="G54" s="37">
        <f t="shared" si="19"/>
        <v>3750</v>
      </c>
      <c r="H54" s="37">
        <f t="shared" si="19"/>
        <v>3750</v>
      </c>
      <c r="I54" s="37">
        <f t="shared" si="19"/>
        <v>3750</v>
      </c>
      <c r="J54" s="37">
        <f t="shared" si="19"/>
        <v>3750</v>
      </c>
      <c r="K54" s="37">
        <f t="shared" si="19"/>
        <v>3750</v>
      </c>
      <c r="L54" s="37">
        <f t="shared" si="19"/>
        <v>3750</v>
      </c>
      <c r="M54" s="37">
        <f t="shared" si="19"/>
        <v>3750</v>
      </c>
      <c r="N54" s="37">
        <f t="shared" si="19"/>
        <v>3750</v>
      </c>
      <c r="O54" s="37">
        <f t="shared" si="19"/>
        <v>3750</v>
      </c>
      <c r="P54" s="37">
        <f t="shared" si="19"/>
        <v>3750</v>
      </c>
      <c r="Q54" s="37">
        <f t="shared" ref="Q54:Q61" si="20">D54-SUM(F54:P54)</f>
        <v>3750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0</v>
      </c>
      <c r="E59" s="37" t="s">
        <v>525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486000</v>
      </c>
      <c r="E60" s="37" t="s">
        <v>195</v>
      </c>
      <c r="F60" s="37">
        <f>D60</f>
        <v>486000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1789000</v>
      </c>
      <c r="E62" s="37" t="s">
        <v>197</v>
      </c>
      <c r="F62" s="37"/>
      <c r="G62" s="37"/>
      <c r="H62" s="37"/>
      <c r="I62" s="37">
        <f>ROUND($D62/5,-3)</f>
        <v>358000</v>
      </c>
      <c r="J62" s="37"/>
      <c r="K62" s="37"/>
      <c r="L62" s="37"/>
      <c r="M62" s="37"/>
      <c r="N62" s="37">
        <f>D62-I62</f>
        <v>1431000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2064000</v>
      </c>
      <c r="E63" s="37" t="s">
        <v>195</v>
      </c>
      <c r="F63" s="37">
        <f>D63</f>
        <v>2064000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1687000</v>
      </c>
      <c r="E64" s="114" t="s">
        <v>202</v>
      </c>
      <c r="F64" s="37">
        <f>ROUND($D64/12*3,-3)</f>
        <v>422000</v>
      </c>
      <c r="G64" s="37">
        <f>ROUND($D64/12,-3)</f>
        <v>141000</v>
      </c>
      <c r="H64" s="37">
        <f t="shared" ref="H64:N66" si="21">ROUND($D64/12,-3)</f>
        <v>141000</v>
      </c>
      <c r="I64" s="37">
        <f t="shared" si="21"/>
        <v>141000</v>
      </c>
      <c r="J64" s="37">
        <f t="shared" si="21"/>
        <v>141000</v>
      </c>
      <c r="K64" s="37">
        <f t="shared" si="21"/>
        <v>141000</v>
      </c>
      <c r="L64" s="37">
        <f t="shared" si="21"/>
        <v>141000</v>
      </c>
      <c r="M64" s="37">
        <f t="shared" si="21"/>
        <v>141000</v>
      </c>
      <c r="N64" s="37">
        <f t="shared" si="21"/>
        <v>141000</v>
      </c>
      <c r="O64" s="37">
        <f>D64-SUM(F64:N64)</f>
        <v>137000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360000</v>
      </c>
      <c r="E65" s="114" t="s">
        <v>202</v>
      </c>
      <c r="F65" s="37">
        <f t="shared" ref="F65:F66" si="22">ROUND($D65/12*3,-3)</f>
        <v>90000</v>
      </c>
      <c r="G65" s="37">
        <f t="shared" ref="G65:G66" si="23">ROUND($D65/12,-3)</f>
        <v>30000</v>
      </c>
      <c r="H65" s="37">
        <f t="shared" si="21"/>
        <v>30000</v>
      </c>
      <c r="I65" s="37">
        <f t="shared" si="21"/>
        <v>30000</v>
      </c>
      <c r="J65" s="37">
        <f t="shared" si="21"/>
        <v>30000</v>
      </c>
      <c r="K65" s="37">
        <f t="shared" si="21"/>
        <v>30000</v>
      </c>
      <c r="L65" s="37">
        <f t="shared" si="21"/>
        <v>30000</v>
      </c>
      <c r="M65" s="37">
        <f t="shared" si="21"/>
        <v>30000</v>
      </c>
      <c r="N65" s="37">
        <f t="shared" si="21"/>
        <v>30000</v>
      </c>
      <c r="O65" s="37">
        <f t="shared" ref="O65:O66" si="24">D65-SUM(F65:N65)</f>
        <v>30000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1378000</v>
      </c>
      <c r="E66" s="114" t="s">
        <v>202</v>
      </c>
      <c r="F66" s="37">
        <f t="shared" si="22"/>
        <v>345000</v>
      </c>
      <c r="G66" s="37">
        <f t="shared" si="23"/>
        <v>115000</v>
      </c>
      <c r="H66" s="37">
        <f t="shared" si="21"/>
        <v>115000</v>
      </c>
      <c r="I66" s="37">
        <f t="shared" si="21"/>
        <v>115000</v>
      </c>
      <c r="J66" s="37">
        <f t="shared" si="21"/>
        <v>115000</v>
      </c>
      <c r="K66" s="37">
        <f t="shared" si="21"/>
        <v>115000</v>
      </c>
      <c r="L66" s="37">
        <f t="shared" si="21"/>
        <v>115000</v>
      </c>
      <c r="M66" s="37">
        <f t="shared" si="21"/>
        <v>115000</v>
      </c>
      <c r="N66" s="37">
        <f t="shared" si="21"/>
        <v>115000</v>
      </c>
      <c r="O66" s="37">
        <f t="shared" si="24"/>
        <v>113000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32000</v>
      </c>
      <c r="E67" s="37" t="s">
        <v>196</v>
      </c>
      <c r="F67" s="37"/>
      <c r="G67" s="37"/>
      <c r="H67" s="37">
        <f>D67</f>
        <v>32000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160000</v>
      </c>
      <c r="E68" s="37" t="s">
        <v>195</v>
      </c>
      <c r="F68" s="37">
        <f>D68</f>
        <v>160000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26465000</v>
      </c>
      <c r="E70" s="108"/>
      <c r="F70" s="108">
        <f t="shared" ref="F70:P70" si="25">ROUND(SUM(F49:F69),-3)</f>
        <v>8187000</v>
      </c>
      <c r="G70" s="108">
        <f t="shared" si="25"/>
        <v>1829000</v>
      </c>
      <c r="H70" s="108">
        <f t="shared" si="25"/>
        <v>1861000</v>
      </c>
      <c r="I70" s="108">
        <f t="shared" si="25"/>
        <v>2187000</v>
      </c>
      <c r="J70" s="108">
        <f t="shared" si="25"/>
        <v>1829000</v>
      </c>
      <c r="K70" s="108">
        <f t="shared" si="25"/>
        <v>1829000</v>
      </c>
      <c r="L70" s="108">
        <f t="shared" si="25"/>
        <v>1829000</v>
      </c>
      <c r="M70" s="108">
        <f t="shared" si="25"/>
        <v>1829000</v>
      </c>
      <c r="N70" s="108">
        <f t="shared" si="25"/>
        <v>3260000</v>
      </c>
      <c r="O70" s="108">
        <f t="shared" si="25"/>
        <v>1820000</v>
      </c>
      <c r="P70" s="108">
        <f t="shared" si="25"/>
        <v>4000</v>
      </c>
      <c r="Q70" s="108">
        <f>D70-SUM(F70:P70)</f>
        <v>1000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5785000</v>
      </c>
      <c r="E72" s="114" t="s">
        <v>202</v>
      </c>
      <c r="F72" s="37">
        <f>ROUND($D72/12*3,-3)</f>
        <v>1446000</v>
      </c>
      <c r="G72" s="37">
        <f>ROUND($D72/12,-3)</f>
        <v>482000</v>
      </c>
      <c r="H72" s="37">
        <f t="shared" ref="H72:N75" si="26">ROUND($D72/12,-3)</f>
        <v>482000</v>
      </c>
      <c r="I72" s="37">
        <f t="shared" si="26"/>
        <v>482000</v>
      </c>
      <c r="J72" s="37">
        <f t="shared" si="26"/>
        <v>482000</v>
      </c>
      <c r="K72" s="37">
        <f t="shared" si="26"/>
        <v>482000</v>
      </c>
      <c r="L72" s="37">
        <f t="shared" si="26"/>
        <v>482000</v>
      </c>
      <c r="M72" s="37">
        <f t="shared" si="26"/>
        <v>482000</v>
      </c>
      <c r="N72" s="37">
        <f t="shared" si="26"/>
        <v>482000</v>
      </c>
      <c r="O72" s="37">
        <f>D72-SUM(F72:N72)</f>
        <v>483000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567000</v>
      </c>
      <c r="E74" s="114" t="s">
        <v>202</v>
      </c>
      <c r="F74" s="37">
        <f>ROUND($D74/12*3,-3)</f>
        <v>142000</v>
      </c>
      <c r="G74" s="37">
        <f>ROUND($D74/12,-3)</f>
        <v>47000</v>
      </c>
      <c r="H74" s="37">
        <f t="shared" si="26"/>
        <v>47000</v>
      </c>
      <c r="I74" s="37">
        <f t="shared" si="26"/>
        <v>47000</v>
      </c>
      <c r="J74" s="37">
        <f t="shared" si="26"/>
        <v>47000</v>
      </c>
      <c r="K74" s="37">
        <f t="shared" si="26"/>
        <v>47000</v>
      </c>
      <c r="L74" s="37">
        <f t="shared" si="26"/>
        <v>47000</v>
      </c>
      <c r="M74" s="37">
        <f t="shared" si="26"/>
        <v>47000</v>
      </c>
      <c r="N74" s="37">
        <f t="shared" si="26"/>
        <v>47000</v>
      </c>
      <c r="O74" s="37">
        <f>D74-SUM(F74:N74)</f>
        <v>49000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6352000</v>
      </c>
      <c r="E76" s="108"/>
      <c r="F76" s="108">
        <f>ROUND(SUM(F71:F75),-3)</f>
        <v>1588000</v>
      </c>
      <c r="G76" s="108">
        <f t="shared" ref="G76:N76" si="27">ROUND(SUM(G71:G75),-3)</f>
        <v>529000</v>
      </c>
      <c r="H76" s="108">
        <f t="shared" si="27"/>
        <v>529000</v>
      </c>
      <c r="I76" s="108">
        <f t="shared" si="27"/>
        <v>529000</v>
      </c>
      <c r="J76" s="108">
        <f t="shared" si="27"/>
        <v>529000</v>
      </c>
      <c r="K76" s="108">
        <f t="shared" si="27"/>
        <v>529000</v>
      </c>
      <c r="L76" s="108">
        <f t="shared" si="27"/>
        <v>529000</v>
      </c>
      <c r="M76" s="108">
        <f t="shared" si="27"/>
        <v>529000</v>
      </c>
      <c r="N76" s="108">
        <f t="shared" si="27"/>
        <v>529000</v>
      </c>
      <c r="O76" s="108">
        <f>D76-SUM(F76:N76)</f>
        <v>532000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436000</v>
      </c>
      <c r="E77" s="37" t="s">
        <v>681</v>
      </c>
      <c r="F77" s="224"/>
      <c r="G77" s="224"/>
      <c r="H77" s="224">
        <f>ROUND($D77/2,-3)</f>
        <v>218000</v>
      </c>
      <c r="I77" s="224"/>
      <c r="J77" s="224"/>
      <c r="K77" s="224"/>
      <c r="L77" s="224"/>
      <c r="M77" s="224"/>
      <c r="N77" s="224">
        <f>D77-H77</f>
        <v>218000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33253000</v>
      </c>
      <c r="E78" s="227"/>
      <c r="F78" s="227">
        <f>F76+F70+F77</f>
        <v>9775000</v>
      </c>
      <c r="G78" s="227">
        <f t="shared" ref="G78:Q78" si="29">G76+G70+G77</f>
        <v>2358000</v>
      </c>
      <c r="H78" s="227">
        <f t="shared" si="29"/>
        <v>2608000</v>
      </c>
      <c r="I78" s="227">
        <f t="shared" si="29"/>
        <v>2716000</v>
      </c>
      <c r="J78" s="227">
        <f t="shared" si="29"/>
        <v>2358000</v>
      </c>
      <c r="K78" s="227">
        <f t="shared" si="29"/>
        <v>2358000</v>
      </c>
      <c r="L78" s="227">
        <f t="shared" si="29"/>
        <v>2358000</v>
      </c>
      <c r="M78" s="227">
        <f t="shared" si="29"/>
        <v>2358000</v>
      </c>
      <c r="N78" s="227">
        <f t="shared" si="29"/>
        <v>4007000</v>
      </c>
      <c r="O78" s="227">
        <f t="shared" si="29"/>
        <v>2352000</v>
      </c>
      <c r="P78" s="227">
        <f t="shared" si="29"/>
        <v>4000</v>
      </c>
      <c r="Q78" s="227">
        <f t="shared" si="29"/>
        <v>1000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34933000</v>
      </c>
      <c r="E87" s="37"/>
      <c r="F87" s="37">
        <f>F88+F89+F90+F91</f>
        <v>10053000</v>
      </c>
      <c r="G87" s="37">
        <f t="shared" ref="G87:Q87" si="32">G88+G89+G90+G91</f>
        <v>2482000</v>
      </c>
      <c r="H87" s="37">
        <f t="shared" si="32"/>
        <v>2740000</v>
      </c>
      <c r="I87" s="37">
        <f t="shared" si="32"/>
        <v>2854000</v>
      </c>
      <c r="J87" s="37">
        <f t="shared" si="32"/>
        <v>2490000</v>
      </c>
      <c r="K87" s="37">
        <f t="shared" si="32"/>
        <v>2496000</v>
      </c>
      <c r="L87" s="37">
        <f t="shared" si="32"/>
        <v>2521000</v>
      </c>
      <c r="M87" s="37">
        <f t="shared" si="32"/>
        <v>2490000</v>
      </c>
      <c r="N87" s="37">
        <f t="shared" si="32"/>
        <v>4145000</v>
      </c>
      <c r="O87" s="37">
        <f t="shared" si="32"/>
        <v>2482000</v>
      </c>
      <c r="P87" s="37">
        <f t="shared" si="32"/>
        <v>93000</v>
      </c>
      <c r="Q87" s="37">
        <f t="shared" si="32"/>
        <v>87000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20000</v>
      </c>
      <c r="E88" s="108" t="s">
        <v>193</v>
      </c>
      <c r="F88" s="108">
        <f>ROUND($D88/2,-3)</f>
        <v>10000</v>
      </c>
      <c r="G88" s="108"/>
      <c r="H88" s="108"/>
      <c r="I88" s="108"/>
      <c r="J88" s="108"/>
      <c r="K88" s="108"/>
      <c r="L88" s="108">
        <f>D88-F88</f>
        <v>10000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34912000</v>
      </c>
      <c r="E91" s="108"/>
      <c r="F91" s="108">
        <f>F92+F93+F94+F95</f>
        <v>10043000</v>
      </c>
      <c r="G91" s="108">
        <f t="shared" ref="G91:Q91" si="34">G92+G93+G94+G95</f>
        <v>2482000</v>
      </c>
      <c r="H91" s="108">
        <f t="shared" si="34"/>
        <v>2740000</v>
      </c>
      <c r="I91" s="108">
        <f t="shared" si="34"/>
        <v>2854000</v>
      </c>
      <c r="J91" s="108">
        <f t="shared" si="34"/>
        <v>2490000</v>
      </c>
      <c r="K91" s="108">
        <f t="shared" si="34"/>
        <v>2496000</v>
      </c>
      <c r="L91" s="108">
        <f t="shared" si="34"/>
        <v>2511000</v>
      </c>
      <c r="M91" s="108">
        <f t="shared" si="34"/>
        <v>2490000</v>
      </c>
      <c r="N91" s="108">
        <f t="shared" si="34"/>
        <v>4145000</v>
      </c>
      <c r="O91" s="108">
        <f t="shared" si="34"/>
        <v>2482000</v>
      </c>
      <c r="P91" s="108">
        <f t="shared" si="34"/>
        <v>93000</v>
      </c>
      <c r="Q91" s="108">
        <f t="shared" si="34"/>
        <v>86000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1665000</v>
      </c>
      <c r="E92" s="114" t="s">
        <v>537</v>
      </c>
      <c r="F92" s="37">
        <f>ROUND($D92/12*5,-3)</f>
        <v>694000</v>
      </c>
      <c r="G92" s="37">
        <f>ROUND($D92/12,-3)</f>
        <v>139000</v>
      </c>
      <c r="H92" s="37">
        <f t="shared" ref="H92:L92" si="35">ROUND($D92/12,-3)</f>
        <v>139000</v>
      </c>
      <c r="I92" s="37">
        <f t="shared" si="35"/>
        <v>139000</v>
      </c>
      <c r="J92" s="37">
        <f t="shared" si="35"/>
        <v>139000</v>
      </c>
      <c r="K92" s="37">
        <f t="shared" si="35"/>
        <v>139000</v>
      </c>
      <c r="L92" s="37">
        <f t="shared" si="35"/>
        <v>139000</v>
      </c>
      <c r="M92" s="37">
        <f>D92-SUM(F92:L92)</f>
        <v>137000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139000</v>
      </c>
      <c r="E93" s="189" t="s">
        <v>227</v>
      </c>
      <c r="F93" s="37">
        <f>ROUND($D93/12,-3)</f>
        <v>12000</v>
      </c>
      <c r="G93" s="37">
        <f t="shared" ref="G93:P93" si="36">ROUND($D93/12,-3)</f>
        <v>12000</v>
      </c>
      <c r="H93" s="37">
        <f t="shared" si="36"/>
        <v>12000</v>
      </c>
      <c r="I93" s="37">
        <f t="shared" si="36"/>
        <v>12000</v>
      </c>
      <c r="J93" s="37">
        <f t="shared" si="36"/>
        <v>12000</v>
      </c>
      <c r="K93" s="37">
        <f t="shared" si="36"/>
        <v>12000</v>
      </c>
      <c r="L93" s="37">
        <f t="shared" si="36"/>
        <v>12000</v>
      </c>
      <c r="M93" s="37">
        <f t="shared" si="36"/>
        <v>12000</v>
      </c>
      <c r="N93" s="37">
        <f t="shared" si="36"/>
        <v>12000</v>
      </c>
      <c r="O93" s="37">
        <f t="shared" si="36"/>
        <v>12000</v>
      </c>
      <c r="P93" s="37">
        <f t="shared" si="36"/>
        <v>12000</v>
      </c>
      <c r="Q93" s="37">
        <f>D93-SUM(F93:P93)</f>
        <v>7000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560000</v>
      </c>
      <c r="E94" s="190" t="s">
        <v>229</v>
      </c>
      <c r="F94" s="37"/>
      <c r="G94" s="37"/>
      <c r="H94" s="37">
        <f>ROUND($D94/2,-3)</f>
        <v>280000</v>
      </c>
      <c r="I94" s="37"/>
      <c r="J94" s="37"/>
      <c r="K94" s="37"/>
      <c r="L94" s="37"/>
      <c r="M94" s="37"/>
      <c r="N94" s="37"/>
      <c r="O94" s="37">
        <f>D94-H94</f>
        <v>280000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32548000</v>
      </c>
      <c r="E95" s="37"/>
      <c r="F95" s="37">
        <f>F2+F86-F88-F89-F90-F92-F93-F94</f>
        <v>9337000</v>
      </c>
      <c r="G95" s="37">
        <f t="shared" ref="G95:Q95" si="37">G2-G88-G89-G90-G92-G93-G94</f>
        <v>2331000</v>
      </c>
      <c r="H95" s="37">
        <f t="shared" si="37"/>
        <v>2309000</v>
      </c>
      <c r="I95" s="37">
        <f t="shared" si="37"/>
        <v>2703000</v>
      </c>
      <c r="J95" s="37">
        <f t="shared" si="37"/>
        <v>2339000</v>
      </c>
      <c r="K95" s="37">
        <f t="shared" si="37"/>
        <v>2345000</v>
      </c>
      <c r="L95" s="37">
        <f t="shared" si="37"/>
        <v>2360000</v>
      </c>
      <c r="M95" s="37">
        <f t="shared" si="37"/>
        <v>2341000</v>
      </c>
      <c r="N95" s="37">
        <f t="shared" si="37"/>
        <v>4133000</v>
      </c>
      <c r="O95" s="37">
        <f t="shared" si="37"/>
        <v>2190000</v>
      </c>
      <c r="P95" s="37">
        <f t="shared" si="37"/>
        <v>81000</v>
      </c>
      <c r="Q95" s="37">
        <f t="shared" si="37"/>
        <v>79000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131000</v>
      </c>
    </row>
    <row r="103" spans="2:17" ht="32.4">
      <c r="B103" s="72" t="s">
        <v>239</v>
      </c>
      <c r="D103" s="30">
        <f>HLOOKUP(D1,[1]縣庫撥款收入明細表!H:DD,17,FALSE)</f>
        <v>0</v>
      </c>
    </row>
    <row r="104" spans="2:17" ht="32.4">
      <c r="B104" s="76" t="s">
        <v>240</v>
      </c>
      <c r="D104" s="30">
        <f>HLOOKUP(D1,[1]縣庫撥款收入明細表!H:DD,18,FALSE)</f>
        <v>560000</v>
      </c>
    </row>
    <row r="105" spans="2:17" ht="32.4">
      <c r="B105" s="72" t="s">
        <v>380</v>
      </c>
      <c r="D105" s="30">
        <f>HLOOKUP(D1,[1]縣庫撥款收入明細表!H:DD,19,FALSE)</f>
        <v>650000</v>
      </c>
    </row>
    <row r="106" spans="2:17" ht="32.4">
      <c r="B106" s="71" t="s">
        <v>241</v>
      </c>
      <c r="D106" s="30">
        <f>HLOOKUP(D1,[1]縣庫撥款收入明細表!H:DD,20,FALSE)</f>
        <v>8000</v>
      </c>
    </row>
    <row r="107" spans="2:17" ht="32.4">
      <c r="B107" s="77" t="s">
        <v>242</v>
      </c>
      <c r="D107" s="30">
        <f>HLOOKUP(D1,[1]縣庫撥款收入明細表!H:DD,21,FALSE)</f>
        <v>32548000</v>
      </c>
    </row>
    <row r="108" spans="2:17" ht="16.5" customHeight="1"/>
    <row r="109" spans="2:17" ht="16.5" customHeight="1">
      <c r="B109" s="4" t="s">
        <v>682</v>
      </c>
      <c r="D109" s="30">
        <f>D91-D76</f>
        <v>28560000</v>
      </c>
      <c r="F109" s="30">
        <f>F91-F76</f>
        <v>8455000</v>
      </c>
      <c r="G109" s="30">
        <f t="shared" ref="G109:Q109" si="38">G91-G76</f>
        <v>1953000</v>
      </c>
      <c r="H109" s="30">
        <f t="shared" si="38"/>
        <v>2211000</v>
      </c>
      <c r="I109" s="30">
        <f t="shared" si="38"/>
        <v>2325000</v>
      </c>
      <c r="J109" s="30">
        <f t="shared" si="38"/>
        <v>1961000</v>
      </c>
      <c r="K109" s="30">
        <f t="shared" si="38"/>
        <v>1967000</v>
      </c>
      <c r="L109" s="30">
        <f t="shared" si="38"/>
        <v>1982000</v>
      </c>
      <c r="M109" s="30">
        <f t="shared" si="38"/>
        <v>1961000</v>
      </c>
      <c r="N109" s="30">
        <f t="shared" si="38"/>
        <v>3616000</v>
      </c>
      <c r="O109" s="30">
        <f t="shared" si="38"/>
        <v>1950000</v>
      </c>
      <c r="P109" s="30">
        <f t="shared" si="38"/>
        <v>93000</v>
      </c>
      <c r="Q109" s="30">
        <f t="shared" si="38"/>
        <v>86000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26" priority="1" operator="lessThan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9"/>
  <sheetViews>
    <sheetView topLeftCell="CM1" workbookViewId="0">
      <selection activeCell="CX9" sqref="CX9:CY9"/>
    </sheetView>
  </sheetViews>
  <sheetFormatPr defaultRowHeight="16.2"/>
  <cols>
    <col min="1" max="1" width="17.77734375" bestFit="1" customWidth="1"/>
    <col min="2" max="2" width="15" bestFit="1" customWidth="1"/>
    <col min="3" max="3" width="16.109375" bestFit="1" customWidth="1"/>
    <col min="4" max="5" width="15" bestFit="1" customWidth="1"/>
    <col min="6" max="6" width="16.109375" bestFit="1" customWidth="1"/>
    <col min="7" max="18" width="15" bestFit="1" customWidth="1"/>
    <col min="19" max="20" width="16.109375" bestFit="1" customWidth="1"/>
    <col min="21" max="40" width="15" bestFit="1" customWidth="1"/>
    <col min="41" max="41" width="15.109375" bestFit="1" customWidth="1"/>
    <col min="42" max="102" width="15" bestFit="1" customWidth="1"/>
    <col min="103" max="103" width="16.21875" customWidth="1"/>
  </cols>
  <sheetData>
    <row r="1" spans="1:103">
      <c r="B1" t="s">
        <v>8</v>
      </c>
      <c r="C1" t="s">
        <v>9</v>
      </c>
      <c r="D1" t="s">
        <v>10</v>
      </c>
      <c r="E1" t="s">
        <v>11</v>
      </c>
      <c r="F1" t="s">
        <v>12</v>
      </c>
      <c r="G1" t="s">
        <v>13</v>
      </c>
      <c r="H1" t="s">
        <v>14</v>
      </c>
      <c r="I1" t="s">
        <v>15</v>
      </c>
      <c r="J1" t="s">
        <v>16</v>
      </c>
      <c r="K1" t="s">
        <v>17</v>
      </c>
      <c r="L1" t="s">
        <v>18</v>
      </c>
      <c r="M1" t="s">
        <v>19</v>
      </c>
      <c r="N1" t="s">
        <v>20</v>
      </c>
      <c r="O1" t="s">
        <v>21</v>
      </c>
      <c r="P1" t="s">
        <v>22</v>
      </c>
      <c r="Q1" t="s">
        <v>23</v>
      </c>
      <c r="R1" t="s">
        <v>24</v>
      </c>
      <c r="S1" t="s">
        <v>25</v>
      </c>
      <c r="T1" t="s">
        <v>26</v>
      </c>
      <c r="U1" t="s">
        <v>27</v>
      </c>
      <c r="V1" t="s">
        <v>28</v>
      </c>
      <c r="W1" t="s">
        <v>29</v>
      </c>
      <c r="X1" t="s">
        <v>30</v>
      </c>
      <c r="Y1" t="s">
        <v>31</v>
      </c>
      <c r="Z1" t="s">
        <v>32</v>
      </c>
      <c r="AA1" t="s">
        <v>33</v>
      </c>
      <c r="AB1" t="s">
        <v>34</v>
      </c>
      <c r="AC1" t="s">
        <v>35</v>
      </c>
      <c r="AD1" t="s">
        <v>36</v>
      </c>
      <c r="AE1" t="s">
        <v>37</v>
      </c>
      <c r="AF1" t="s">
        <v>38</v>
      </c>
      <c r="AG1" t="s">
        <v>39</v>
      </c>
      <c r="AH1" t="s">
        <v>40</v>
      </c>
      <c r="AI1" t="s">
        <v>41</v>
      </c>
      <c r="AJ1" t="s">
        <v>42</v>
      </c>
      <c r="AK1" t="s">
        <v>43</v>
      </c>
      <c r="AL1" t="s">
        <v>44</v>
      </c>
      <c r="AM1" t="s">
        <v>45</v>
      </c>
      <c r="AN1" t="s">
        <v>46</v>
      </c>
      <c r="AO1" t="s">
        <v>47</v>
      </c>
      <c r="AP1" t="s">
        <v>48</v>
      </c>
      <c r="AQ1" t="s">
        <v>49</v>
      </c>
      <c r="AR1" t="s">
        <v>50</v>
      </c>
      <c r="AS1" t="s">
        <v>51</v>
      </c>
      <c r="AT1" t="s">
        <v>52</v>
      </c>
      <c r="AU1" t="s">
        <v>53</v>
      </c>
      <c r="AV1" t="s">
        <v>54</v>
      </c>
      <c r="AW1" t="s">
        <v>55</v>
      </c>
      <c r="AX1" t="s">
        <v>56</v>
      </c>
      <c r="AY1" t="s">
        <v>57</v>
      </c>
      <c r="AZ1" t="s">
        <v>58</v>
      </c>
      <c r="BA1" t="s">
        <v>59</v>
      </c>
      <c r="BB1" t="s">
        <v>60</v>
      </c>
      <c r="BC1" t="s">
        <v>61</v>
      </c>
      <c r="BD1" t="s">
        <v>62</v>
      </c>
      <c r="BE1" t="s">
        <v>63</v>
      </c>
      <c r="BF1" t="s">
        <v>64</v>
      </c>
      <c r="BG1" t="s">
        <v>65</v>
      </c>
      <c r="BH1" t="s">
        <v>66</v>
      </c>
      <c r="BI1" t="s">
        <v>67</v>
      </c>
      <c r="BJ1" t="s">
        <v>68</v>
      </c>
      <c r="BK1" t="s">
        <v>69</v>
      </c>
      <c r="BL1" t="s">
        <v>70</v>
      </c>
      <c r="BM1" t="s">
        <v>71</v>
      </c>
      <c r="BN1" t="s">
        <v>72</v>
      </c>
      <c r="BO1" t="s">
        <v>73</v>
      </c>
      <c r="BP1" t="s">
        <v>74</v>
      </c>
      <c r="BQ1" t="s">
        <v>75</v>
      </c>
      <c r="BR1" t="s">
        <v>76</v>
      </c>
      <c r="BS1" t="s">
        <v>77</v>
      </c>
      <c r="BT1" t="s">
        <v>78</v>
      </c>
      <c r="BU1" t="s">
        <v>79</v>
      </c>
      <c r="BV1" t="s">
        <v>80</v>
      </c>
      <c r="BW1" t="s">
        <v>81</v>
      </c>
      <c r="BX1" t="s">
        <v>82</v>
      </c>
      <c r="BY1" t="s">
        <v>83</v>
      </c>
      <c r="BZ1" t="s">
        <v>84</v>
      </c>
      <c r="CA1" t="s">
        <v>85</v>
      </c>
      <c r="CB1" t="s">
        <v>86</v>
      </c>
      <c r="CC1" t="s">
        <v>87</v>
      </c>
      <c r="CD1" t="s">
        <v>88</v>
      </c>
      <c r="CE1" t="s">
        <v>89</v>
      </c>
      <c r="CF1" t="s">
        <v>90</v>
      </c>
      <c r="CG1" t="s">
        <v>91</v>
      </c>
      <c r="CH1" t="s">
        <v>92</v>
      </c>
      <c r="CI1" t="s">
        <v>93</v>
      </c>
      <c r="CJ1" t="s">
        <v>94</v>
      </c>
      <c r="CK1" t="s">
        <v>95</v>
      </c>
      <c r="CL1" t="s">
        <v>96</v>
      </c>
      <c r="CM1" t="s">
        <v>97</v>
      </c>
      <c r="CN1" t="s">
        <v>98</v>
      </c>
      <c r="CO1" t="s">
        <v>99</v>
      </c>
      <c r="CP1" t="s">
        <v>100</v>
      </c>
      <c r="CQ1" t="s">
        <v>101</v>
      </c>
      <c r="CR1" t="s">
        <v>102</v>
      </c>
      <c r="CS1" t="s">
        <v>103</v>
      </c>
      <c r="CT1" t="s">
        <v>104</v>
      </c>
      <c r="CU1" t="s">
        <v>105</v>
      </c>
      <c r="CV1" t="s">
        <v>106</v>
      </c>
      <c r="CW1" t="s">
        <v>107</v>
      </c>
      <c r="CX1" t="s">
        <v>108</v>
      </c>
    </row>
    <row r="2" spans="1:103">
      <c r="A2" s="70" t="s">
        <v>381</v>
      </c>
      <c r="B2" s="218">
        <v>4000</v>
      </c>
      <c r="C2" s="218">
        <v>791000</v>
      </c>
      <c r="D2" s="218">
        <v>65000</v>
      </c>
      <c r="E2" s="218">
        <v>323000</v>
      </c>
      <c r="F2" s="218">
        <v>110000</v>
      </c>
      <c r="G2" s="218">
        <v>3000</v>
      </c>
      <c r="H2" s="218">
        <v>155000</v>
      </c>
      <c r="I2" s="218">
        <v>350000</v>
      </c>
      <c r="J2" s="218">
        <v>50000</v>
      </c>
      <c r="K2" s="218">
        <v>10000</v>
      </c>
      <c r="L2" s="218">
        <v>400000</v>
      </c>
      <c r="M2" s="218">
        <v>0</v>
      </c>
      <c r="N2" s="218">
        <v>80000</v>
      </c>
      <c r="O2" s="218">
        <v>22000</v>
      </c>
      <c r="P2" s="218">
        <v>5000</v>
      </c>
      <c r="Q2" s="218">
        <v>25000</v>
      </c>
      <c r="R2" s="218">
        <v>270000</v>
      </c>
      <c r="S2" s="218">
        <v>510000</v>
      </c>
      <c r="T2" s="218">
        <v>80000</v>
      </c>
      <c r="U2" s="218">
        <v>20000</v>
      </c>
      <c r="V2" s="218">
        <v>30000</v>
      </c>
      <c r="W2" s="218">
        <v>15000</v>
      </c>
      <c r="X2" s="218">
        <v>100000</v>
      </c>
      <c r="Y2" s="218">
        <v>66000</v>
      </c>
      <c r="Z2" s="218">
        <v>0</v>
      </c>
      <c r="AA2" s="218">
        <v>200000</v>
      </c>
      <c r="AB2" s="218">
        <v>20000</v>
      </c>
      <c r="AC2" s="218">
        <v>0</v>
      </c>
      <c r="AD2" s="218">
        <v>0</v>
      </c>
      <c r="AE2" s="218">
        <v>0</v>
      </c>
      <c r="AF2" s="218">
        <v>0</v>
      </c>
      <c r="AG2" s="218">
        <v>18000</v>
      </c>
      <c r="AH2" s="218">
        <v>120000</v>
      </c>
      <c r="AI2" s="218">
        <v>0</v>
      </c>
      <c r="AJ2" s="218">
        <v>6000</v>
      </c>
      <c r="AK2" s="218">
        <v>0</v>
      </c>
      <c r="AL2" s="218">
        <v>0</v>
      </c>
      <c r="AM2" s="218">
        <v>50000</v>
      </c>
      <c r="AN2" s="218">
        <v>20000</v>
      </c>
      <c r="AO2" s="218">
        <v>5000</v>
      </c>
      <c r="AP2" s="218">
        <v>15000</v>
      </c>
      <c r="AQ2" s="218">
        <v>35000</v>
      </c>
      <c r="AR2" s="218">
        <v>83000</v>
      </c>
      <c r="AS2" s="218">
        <v>0</v>
      </c>
      <c r="AT2" s="218">
        <v>0</v>
      </c>
      <c r="AU2" s="218">
        <v>0</v>
      </c>
      <c r="AV2" s="218">
        <v>5000</v>
      </c>
      <c r="AW2" s="218">
        <v>0</v>
      </c>
      <c r="AX2" s="218">
        <v>10000</v>
      </c>
      <c r="AY2" s="218">
        <v>10000</v>
      </c>
      <c r="AZ2" s="218">
        <v>0</v>
      </c>
      <c r="BA2" s="218">
        <v>0</v>
      </c>
      <c r="BB2" s="218">
        <v>482000</v>
      </c>
      <c r="BC2" s="218">
        <v>6000</v>
      </c>
      <c r="BD2" s="218">
        <v>1000</v>
      </c>
      <c r="BE2" s="218">
        <v>0</v>
      </c>
      <c r="BF2" s="218">
        <v>3000</v>
      </c>
      <c r="BG2" s="218">
        <v>0</v>
      </c>
      <c r="BH2" s="218">
        <v>0</v>
      </c>
      <c r="BI2" s="218">
        <v>104000</v>
      </c>
      <c r="BJ2" s="218">
        <v>7000</v>
      </c>
      <c r="BK2" s="218">
        <v>40000</v>
      </c>
      <c r="BL2" s="218">
        <v>0</v>
      </c>
      <c r="BM2" s="218">
        <v>0</v>
      </c>
      <c r="BN2" s="218">
        <v>90000</v>
      </c>
      <c r="BO2" s="218">
        <v>0</v>
      </c>
      <c r="BP2" s="218">
        <v>0</v>
      </c>
      <c r="BQ2" s="218">
        <v>0</v>
      </c>
      <c r="BR2" s="218">
        <v>6000</v>
      </c>
      <c r="BS2" s="218">
        <v>4000</v>
      </c>
      <c r="BT2" s="218">
        <v>0</v>
      </c>
      <c r="BU2" s="218">
        <v>8000</v>
      </c>
      <c r="BV2" s="218">
        <v>38000</v>
      </c>
      <c r="BW2" s="218">
        <v>10000</v>
      </c>
      <c r="BX2" s="218">
        <v>60000</v>
      </c>
      <c r="BY2" s="218">
        <v>50000</v>
      </c>
      <c r="BZ2" s="218">
        <v>10000</v>
      </c>
      <c r="CA2" s="218">
        <v>6000</v>
      </c>
      <c r="CB2" s="218">
        <v>120000</v>
      </c>
      <c r="CC2" s="218">
        <v>30000</v>
      </c>
      <c r="CD2" s="218">
        <v>36000</v>
      </c>
      <c r="CE2" s="218">
        <v>0</v>
      </c>
      <c r="CF2" s="218">
        <v>6000</v>
      </c>
      <c r="CG2" s="218">
        <v>30000</v>
      </c>
      <c r="CH2" s="218">
        <v>10000</v>
      </c>
      <c r="CI2" s="218">
        <v>3000</v>
      </c>
      <c r="CJ2" s="218">
        <v>0</v>
      </c>
      <c r="CK2" s="218">
        <v>5000</v>
      </c>
      <c r="CL2" s="218">
        <v>60000</v>
      </c>
      <c r="CM2" s="218">
        <v>15000</v>
      </c>
      <c r="CN2" s="218">
        <v>0</v>
      </c>
      <c r="CO2" s="218">
        <v>6000</v>
      </c>
      <c r="CP2" s="218">
        <v>0</v>
      </c>
      <c r="CQ2" s="218">
        <v>0</v>
      </c>
      <c r="CR2" s="218">
        <v>3000</v>
      </c>
      <c r="CS2" s="218">
        <v>0</v>
      </c>
      <c r="CT2" s="218">
        <v>0</v>
      </c>
      <c r="CU2" s="218">
        <v>8000</v>
      </c>
      <c r="CV2" s="218">
        <v>0</v>
      </c>
      <c r="CW2" s="218">
        <v>208000</v>
      </c>
      <c r="CX2" s="218">
        <v>54000</v>
      </c>
      <c r="CY2" s="283">
        <f>SUM(B2:CX2)</f>
        <v>5600000</v>
      </c>
    </row>
    <row r="3" spans="1:103">
      <c r="A3" s="70" t="s">
        <v>382</v>
      </c>
      <c r="B3" s="69">
        <v>0</v>
      </c>
      <c r="C3" s="69">
        <v>0</v>
      </c>
      <c r="D3" s="69">
        <v>0</v>
      </c>
      <c r="E3" s="69">
        <v>0</v>
      </c>
      <c r="F3" s="69">
        <v>300000</v>
      </c>
      <c r="G3" s="69"/>
      <c r="H3" s="69"/>
      <c r="I3" s="69">
        <v>150000</v>
      </c>
      <c r="J3" s="69">
        <v>0</v>
      </c>
      <c r="K3" s="69">
        <v>0</v>
      </c>
      <c r="L3" s="69">
        <v>0</v>
      </c>
      <c r="M3" s="69">
        <v>0</v>
      </c>
      <c r="N3" s="69">
        <v>0</v>
      </c>
      <c r="O3" s="69">
        <v>0</v>
      </c>
      <c r="P3" s="69">
        <v>0</v>
      </c>
      <c r="Q3" s="69">
        <v>0</v>
      </c>
      <c r="R3" s="69">
        <v>0</v>
      </c>
      <c r="S3" s="69">
        <v>0</v>
      </c>
      <c r="T3" s="69">
        <v>0</v>
      </c>
      <c r="U3" s="69">
        <v>0</v>
      </c>
      <c r="V3" s="69">
        <v>0</v>
      </c>
      <c r="W3" s="69">
        <v>0</v>
      </c>
      <c r="X3" s="69">
        <v>0</v>
      </c>
      <c r="Y3" s="69">
        <v>0</v>
      </c>
      <c r="Z3" s="69">
        <v>0</v>
      </c>
      <c r="AA3" s="69">
        <v>0</v>
      </c>
      <c r="AB3" s="69">
        <v>0</v>
      </c>
      <c r="AC3" s="69">
        <v>0</v>
      </c>
      <c r="AD3" s="69">
        <v>0</v>
      </c>
      <c r="AE3" s="69">
        <v>0</v>
      </c>
      <c r="AF3" s="69">
        <v>0</v>
      </c>
      <c r="AG3" s="69">
        <v>0</v>
      </c>
      <c r="AH3" s="69">
        <v>0</v>
      </c>
      <c r="AI3" s="69">
        <v>0</v>
      </c>
      <c r="AJ3" s="69">
        <v>0</v>
      </c>
      <c r="AK3" s="69">
        <v>0</v>
      </c>
      <c r="AL3" s="69">
        <v>0</v>
      </c>
      <c r="AM3" s="69">
        <v>0</v>
      </c>
      <c r="AN3" s="69">
        <v>0</v>
      </c>
      <c r="AO3" s="69">
        <v>0</v>
      </c>
      <c r="AP3" s="69">
        <v>0</v>
      </c>
      <c r="AQ3" s="69">
        <v>0</v>
      </c>
      <c r="AR3" s="69">
        <v>0</v>
      </c>
      <c r="AS3" s="69">
        <v>0</v>
      </c>
      <c r="AT3" s="69">
        <v>0</v>
      </c>
      <c r="AU3" s="69">
        <v>0</v>
      </c>
      <c r="AV3" s="69">
        <v>0</v>
      </c>
      <c r="AW3" s="69">
        <v>0</v>
      </c>
      <c r="AX3" s="69">
        <v>0</v>
      </c>
      <c r="AY3" s="69">
        <v>0</v>
      </c>
      <c r="AZ3" s="69">
        <v>0</v>
      </c>
      <c r="BA3" s="69">
        <v>0</v>
      </c>
      <c r="BB3" s="69">
        <v>0</v>
      </c>
      <c r="BC3" s="69">
        <v>0</v>
      </c>
      <c r="BD3" s="69">
        <v>0</v>
      </c>
      <c r="BE3" s="69">
        <v>0</v>
      </c>
      <c r="BF3" s="69">
        <v>0</v>
      </c>
      <c r="BG3" s="69">
        <v>0</v>
      </c>
      <c r="BH3" s="69">
        <v>0</v>
      </c>
      <c r="BI3" s="69">
        <v>0</v>
      </c>
      <c r="BJ3" s="69">
        <v>0</v>
      </c>
      <c r="BK3" s="69">
        <v>0</v>
      </c>
      <c r="BL3" s="69">
        <v>0</v>
      </c>
      <c r="BM3" s="69">
        <v>0</v>
      </c>
      <c r="BN3" s="69">
        <v>0</v>
      </c>
      <c r="BO3" s="69">
        <v>0</v>
      </c>
      <c r="BP3" s="69">
        <v>0</v>
      </c>
      <c r="BQ3" s="69">
        <v>0</v>
      </c>
      <c r="BR3" s="69">
        <v>0</v>
      </c>
      <c r="BS3" s="69">
        <v>0</v>
      </c>
      <c r="BT3" s="69">
        <v>0</v>
      </c>
      <c r="BU3" s="69">
        <v>0</v>
      </c>
      <c r="BV3" s="69">
        <v>0</v>
      </c>
      <c r="BW3" s="69">
        <v>0</v>
      </c>
      <c r="BX3" s="69">
        <v>0</v>
      </c>
      <c r="BY3" s="69">
        <v>0</v>
      </c>
      <c r="BZ3" s="69">
        <v>0</v>
      </c>
      <c r="CA3" s="69">
        <v>0</v>
      </c>
      <c r="CB3" s="69">
        <v>0</v>
      </c>
      <c r="CC3" s="69">
        <v>0</v>
      </c>
      <c r="CD3" s="69">
        <v>0</v>
      </c>
      <c r="CE3" s="69">
        <v>0</v>
      </c>
      <c r="CF3" s="69">
        <v>0</v>
      </c>
      <c r="CG3" s="69">
        <v>0</v>
      </c>
      <c r="CH3" s="69">
        <v>0</v>
      </c>
      <c r="CI3" s="69">
        <v>0</v>
      </c>
      <c r="CJ3" s="69">
        <v>0</v>
      </c>
      <c r="CK3" s="69">
        <v>0</v>
      </c>
      <c r="CL3" s="69">
        <v>0</v>
      </c>
      <c r="CM3" s="69">
        <v>0</v>
      </c>
      <c r="CN3" s="69">
        <v>0</v>
      </c>
      <c r="CO3" s="69">
        <v>0</v>
      </c>
      <c r="CP3" s="69">
        <v>0</v>
      </c>
      <c r="CQ3" s="69">
        <v>0</v>
      </c>
      <c r="CR3" s="69">
        <v>0</v>
      </c>
      <c r="CS3" s="69">
        <v>0</v>
      </c>
      <c r="CT3" s="69">
        <v>0</v>
      </c>
      <c r="CU3" s="69">
        <v>0</v>
      </c>
      <c r="CV3" s="69">
        <v>0</v>
      </c>
      <c r="CW3" s="69">
        <v>0</v>
      </c>
      <c r="CX3" s="69">
        <v>0</v>
      </c>
    </row>
    <row r="4" spans="1:103">
      <c r="A4" s="70" t="s">
        <v>383</v>
      </c>
      <c r="B4" s="69">
        <v>6000</v>
      </c>
      <c r="C4" s="69">
        <v>26000</v>
      </c>
      <c r="D4" s="69">
        <v>10000</v>
      </c>
      <c r="E4" s="69">
        <v>5000</v>
      </c>
      <c r="F4" s="69">
        <v>9000</v>
      </c>
      <c r="G4" s="69">
        <v>3000</v>
      </c>
      <c r="H4" s="69">
        <v>5000</v>
      </c>
      <c r="I4" s="69">
        <v>5000</v>
      </c>
      <c r="J4" s="69">
        <v>6000</v>
      </c>
      <c r="K4" s="69">
        <v>3000</v>
      </c>
      <c r="L4" s="69">
        <v>8000</v>
      </c>
      <c r="M4" s="69">
        <v>1000</v>
      </c>
      <c r="N4" s="69">
        <v>2000</v>
      </c>
      <c r="O4" s="69">
        <v>2000</v>
      </c>
      <c r="P4" s="69">
        <v>2000</v>
      </c>
      <c r="Q4" s="69">
        <v>2000</v>
      </c>
      <c r="R4" s="69">
        <v>2000</v>
      </c>
      <c r="S4" s="69">
        <v>5000</v>
      </c>
      <c r="T4" s="69">
        <v>2000</v>
      </c>
      <c r="U4" s="69">
        <v>1000</v>
      </c>
      <c r="V4" s="69">
        <v>2000</v>
      </c>
      <c r="W4" s="69">
        <v>1000</v>
      </c>
      <c r="X4" s="69">
        <v>10000</v>
      </c>
      <c r="Y4" s="69">
        <v>2000</v>
      </c>
      <c r="Z4" s="69">
        <v>1000</v>
      </c>
      <c r="AA4" s="69"/>
      <c r="AB4" s="69"/>
      <c r="AC4" s="69">
        <v>2000</v>
      </c>
      <c r="AD4" s="69">
        <v>2000</v>
      </c>
      <c r="AE4" s="69">
        <v>1000</v>
      </c>
      <c r="AF4" s="69">
        <v>2000</v>
      </c>
      <c r="AG4" s="69">
        <v>1000</v>
      </c>
      <c r="AH4" s="69">
        <v>2000</v>
      </c>
      <c r="AI4" s="69">
        <v>1000</v>
      </c>
      <c r="AJ4" s="69">
        <v>1000</v>
      </c>
      <c r="AK4" s="69">
        <v>1000</v>
      </c>
      <c r="AL4" s="69">
        <v>1000</v>
      </c>
      <c r="AM4" s="69">
        <v>1000</v>
      </c>
      <c r="AN4" s="69">
        <v>1000</v>
      </c>
      <c r="AO4" s="69">
        <v>1000</v>
      </c>
      <c r="AP4" s="69">
        <v>1000</v>
      </c>
      <c r="AQ4" s="69">
        <v>2000</v>
      </c>
      <c r="AR4" s="69">
        <v>2000</v>
      </c>
      <c r="AS4" s="69">
        <v>1000</v>
      </c>
      <c r="AT4" s="69">
        <v>1000</v>
      </c>
      <c r="AU4" s="69"/>
      <c r="AV4" s="69">
        <v>1000</v>
      </c>
      <c r="AW4" s="69"/>
      <c r="AX4" s="69">
        <v>1000</v>
      </c>
      <c r="AY4" s="69">
        <v>1000</v>
      </c>
      <c r="AZ4" s="69">
        <v>1000</v>
      </c>
      <c r="BA4" s="69"/>
      <c r="BB4" s="69">
        <v>5000</v>
      </c>
      <c r="BC4" s="69">
        <v>1000</v>
      </c>
      <c r="BD4" s="69">
        <v>1000</v>
      </c>
      <c r="BE4" s="69">
        <v>1000</v>
      </c>
      <c r="BF4" s="69"/>
      <c r="BG4" s="69">
        <v>2000</v>
      </c>
      <c r="BH4" s="69"/>
      <c r="BI4" s="69">
        <v>2000</v>
      </c>
      <c r="BJ4" s="69">
        <v>1000</v>
      </c>
      <c r="BK4" s="69">
        <v>1000</v>
      </c>
      <c r="BL4" s="69">
        <v>2000</v>
      </c>
      <c r="BM4" s="69">
        <v>1000</v>
      </c>
      <c r="BN4" s="69">
        <v>2000</v>
      </c>
      <c r="BO4" s="69"/>
      <c r="BP4" s="69">
        <v>1000</v>
      </c>
      <c r="BQ4" s="69">
        <v>1000</v>
      </c>
      <c r="BR4" s="69"/>
      <c r="BS4" s="69">
        <v>1000</v>
      </c>
      <c r="BT4" s="69">
        <v>1000</v>
      </c>
      <c r="BU4" s="69">
        <v>1000</v>
      </c>
      <c r="BV4" s="69">
        <v>2000</v>
      </c>
      <c r="BW4" s="69">
        <v>1000</v>
      </c>
      <c r="BX4" s="69">
        <v>7000</v>
      </c>
      <c r="BY4" s="69">
        <v>1000</v>
      </c>
      <c r="BZ4" s="69">
        <v>1000</v>
      </c>
      <c r="CA4" s="69">
        <v>3000</v>
      </c>
      <c r="CB4" s="69">
        <v>1000</v>
      </c>
      <c r="CC4" s="69">
        <v>2000</v>
      </c>
      <c r="CD4" s="69">
        <v>1000</v>
      </c>
      <c r="CE4" s="69">
        <v>1000</v>
      </c>
      <c r="CF4" s="69"/>
      <c r="CG4" s="69">
        <v>1000</v>
      </c>
      <c r="CH4" s="69">
        <v>1000</v>
      </c>
      <c r="CI4" s="69">
        <v>2000</v>
      </c>
      <c r="CJ4" s="69"/>
      <c r="CK4" s="69">
        <v>1000</v>
      </c>
      <c r="CL4" s="69"/>
      <c r="CM4" s="69">
        <v>1000</v>
      </c>
      <c r="CN4" s="69">
        <v>1000</v>
      </c>
      <c r="CO4" s="69">
        <v>1000</v>
      </c>
      <c r="CP4" s="69">
        <v>2000</v>
      </c>
      <c r="CQ4" s="69">
        <v>1000</v>
      </c>
      <c r="CR4" s="69">
        <v>1000</v>
      </c>
      <c r="CS4" s="69">
        <v>1000</v>
      </c>
      <c r="CT4" s="69">
        <v>1000</v>
      </c>
      <c r="CU4" s="69"/>
      <c r="CV4" s="69">
        <v>1000</v>
      </c>
      <c r="CW4" s="69">
        <v>8000</v>
      </c>
      <c r="CX4" s="69">
        <v>1000</v>
      </c>
      <c r="CY4" s="69">
        <f>SUM(CV4:CX4)</f>
        <v>10000</v>
      </c>
    </row>
    <row r="5" spans="1:103">
      <c r="A5" s="70" t="s">
        <v>384</v>
      </c>
      <c r="B5" s="69">
        <v>54128000</v>
      </c>
      <c r="C5" s="69">
        <v>226511000</v>
      </c>
      <c r="D5" s="69">
        <v>95886000</v>
      </c>
      <c r="E5" s="69">
        <v>65059000</v>
      </c>
      <c r="F5" s="69">
        <v>137737000</v>
      </c>
      <c r="G5" s="69">
        <v>29270000</v>
      </c>
      <c r="H5" s="69">
        <v>37004000</v>
      </c>
      <c r="I5" s="69">
        <v>60374000</v>
      </c>
      <c r="J5" s="69">
        <v>77268000</v>
      </c>
      <c r="K5" s="69">
        <v>25720000</v>
      </c>
      <c r="L5" s="69">
        <v>94880000</v>
      </c>
      <c r="M5" s="69">
        <v>28252000</v>
      </c>
      <c r="N5" s="69">
        <v>49035000</v>
      </c>
      <c r="O5" s="69">
        <v>75721000</v>
      </c>
      <c r="P5" s="69">
        <v>28194000</v>
      </c>
      <c r="Q5" s="69">
        <v>26550000</v>
      </c>
      <c r="R5" s="69">
        <v>61284000</v>
      </c>
      <c r="S5" s="69">
        <v>150749000</v>
      </c>
      <c r="T5" s="69">
        <v>109593000</v>
      </c>
      <c r="U5" s="69">
        <v>32023000</v>
      </c>
      <c r="V5" s="69">
        <v>56775000</v>
      </c>
      <c r="W5" s="69">
        <v>30688000</v>
      </c>
      <c r="X5" s="69">
        <v>56645000</v>
      </c>
      <c r="Y5" s="69">
        <v>68415000</v>
      </c>
      <c r="Z5" s="69">
        <v>25563000</v>
      </c>
      <c r="AA5" s="69">
        <v>34374000</v>
      </c>
      <c r="AB5" s="69">
        <v>22996000</v>
      </c>
      <c r="AC5" s="69">
        <v>26552000</v>
      </c>
      <c r="AD5" s="69">
        <v>29659000</v>
      </c>
      <c r="AE5" s="69">
        <v>22067000</v>
      </c>
      <c r="AF5" s="69">
        <v>24114000</v>
      </c>
      <c r="AG5" s="69">
        <v>20863000</v>
      </c>
      <c r="AH5" s="69">
        <v>50626000</v>
      </c>
      <c r="AI5" s="69">
        <v>25558000</v>
      </c>
      <c r="AJ5" s="69">
        <v>21044000</v>
      </c>
      <c r="AK5" s="69">
        <v>25391000</v>
      </c>
      <c r="AL5" s="69">
        <v>24140000</v>
      </c>
      <c r="AM5" s="69">
        <v>30923000</v>
      </c>
      <c r="AN5" s="69">
        <v>34912000</v>
      </c>
      <c r="AO5" s="69">
        <v>28905000</v>
      </c>
      <c r="AP5" s="69">
        <v>30385000</v>
      </c>
      <c r="AQ5" s="69">
        <v>51981000</v>
      </c>
      <c r="AR5" s="69">
        <v>23564000</v>
      </c>
      <c r="AS5" s="69">
        <v>15561000</v>
      </c>
      <c r="AT5" s="69">
        <v>16364000</v>
      </c>
      <c r="AU5" s="69">
        <v>22724000</v>
      </c>
      <c r="AV5" s="69">
        <v>22980000</v>
      </c>
      <c r="AW5" s="69">
        <v>20831000</v>
      </c>
      <c r="AX5" s="69">
        <v>25935000</v>
      </c>
      <c r="AY5" s="69">
        <v>13996000</v>
      </c>
      <c r="AZ5" s="69">
        <v>19656000</v>
      </c>
      <c r="BA5" s="69">
        <v>20475000</v>
      </c>
      <c r="BB5" s="69">
        <v>78169000</v>
      </c>
      <c r="BC5" s="69">
        <v>26369000</v>
      </c>
      <c r="BD5" s="69">
        <v>25601000</v>
      </c>
      <c r="BE5" s="69">
        <v>17013000</v>
      </c>
      <c r="BF5" s="69">
        <v>17946000</v>
      </c>
      <c r="BG5" s="69">
        <v>20043000</v>
      </c>
      <c r="BH5" s="69">
        <v>15299000</v>
      </c>
      <c r="BI5" s="69">
        <v>52663000</v>
      </c>
      <c r="BJ5" s="69">
        <v>17534000</v>
      </c>
      <c r="BK5" s="69">
        <v>24972000</v>
      </c>
      <c r="BL5" s="69">
        <v>23250000</v>
      </c>
      <c r="BM5" s="69">
        <v>20822000</v>
      </c>
      <c r="BN5" s="69">
        <v>27567000</v>
      </c>
      <c r="BO5" s="69">
        <v>16555000</v>
      </c>
      <c r="BP5" s="69">
        <v>16016000</v>
      </c>
      <c r="BQ5" s="69">
        <v>18598000</v>
      </c>
      <c r="BR5" s="69">
        <v>20175000</v>
      </c>
      <c r="BS5" s="69">
        <v>21013000</v>
      </c>
      <c r="BT5" s="69">
        <v>23866000</v>
      </c>
      <c r="BU5" s="69">
        <v>18724000</v>
      </c>
      <c r="BV5" s="69">
        <v>32418000</v>
      </c>
      <c r="BW5" s="69">
        <v>29221000</v>
      </c>
      <c r="BX5" s="69">
        <v>27352000</v>
      </c>
      <c r="BY5" s="69">
        <v>22792000</v>
      </c>
      <c r="BZ5" s="69">
        <v>27531000</v>
      </c>
      <c r="CA5" s="69">
        <v>32656000</v>
      </c>
      <c r="CB5" s="69">
        <v>24527000</v>
      </c>
      <c r="CC5" s="69">
        <v>29528000</v>
      </c>
      <c r="CD5" s="69">
        <v>27465000</v>
      </c>
      <c r="CE5" s="69">
        <v>27139000</v>
      </c>
      <c r="CF5" s="69">
        <v>27068000</v>
      </c>
      <c r="CG5" s="69">
        <v>29993000</v>
      </c>
      <c r="CH5" s="69">
        <v>28259000</v>
      </c>
      <c r="CI5" s="69">
        <v>26335000</v>
      </c>
      <c r="CJ5" s="69">
        <v>28617000</v>
      </c>
      <c r="CK5" s="69">
        <v>27609000</v>
      </c>
      <c r="CL5" s="69">
        <v>29242000</v>
      </c>
      <c r="CM5" s="69">
        <v>27888000</v>
      </c>
      <c r="CN5" s="69">
        <v>24379000</v>
      </c>
      <c r="CO5" s="69">
        <v>27345000</v>
      </c>
      <c r="CP5" s="69">
        <v>25330000</v>
      </c>
      <c r="CQ5" s="69">
        <v>26653000</v>
      </c>
      <c r="CR5" s="69">
        <v>25278000</v>
      </c>
      <c r="CS5" s="69">
        <v>22641000</v>
      </c>
      <c r="CT5" s="69">
        <v>19520000</v>
      </c>
      <c r="CU5" s="69">
        <v>17903000</v>
      </c>
      <c r="CV5" s="69">
        <v>16720000</v>
      </c>
      <c r="CW5" s="69">
        <v>74409000</v>
      </c>
      <c r="CX5" s="69">
        <v>20500000</v>
      </c>
      <c r="CY5" s="69">
        <f>SUM(B5:CX5)</f>
        <v>3718413000</v>
      </c>
    </row>
    <row r="6" spans="1:103">
      <c r="A6" s="70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69"/>
      <c r="CU6" s="69"/>
      <c r="CV6" s="69"/>
      <c r="CW6" s="69"/>
      <c r="CX6" s="69"/>
      <c r="CY6" s="283"/>
    </row>
    <row r="7" spans="1:103">
      <c r="B7" s="218">
        <f>★彙整人事及業務費!$O2</f>
        <v>40783000</v>
      </c>
      <c r="C7" s="218">
        <f>★彙整人事及業務費!$O3</f>
        <v>184367000</v>
      </c>
      <c r="D7" s="218">
        <f>★彙整人事及業務費!$O4</f>
        <v>71877000</v>
      </c>
      <c r="E7" s="218">
        <f>★彙整人事及業務費!$O5</f>
        <v>54891000</v>
      </c>
      <c r="F7" s="218">
        <f>★彙整人事及業務費!$O6</f>
        <v>107600000</v>
      </c>
      <c r="G7" s="218">
        <f>★彙整人事及業務費!$O7</f>
        <v>23352000</v>
      </c>
      <c r="H7" s="218">
        <f>★彙整人事及業務費!$O8</f>
        <v>25687000</v>
      </c>
      <c r="I7" s="218">
        <f>★彙整人事及業務費!$O9</f>
        <v>52432000</v>
      </c>
      <c r="J7" s="218">
        <f>★彙整人事及業務費!$O10</f>
        <v>64172000</v>
      </c>
      <c r="K7" s="218">
        <f>★彙整人事及業務費!$O11</f>
        <v>24219000</v>
      </c>
      <c r="L7" s="218">
        <f>★彙整人事及業務費!$O12</f>
        <v>76305000</v>
      </c>
      <c r="M7" s="218">
        <f>★彙整人事及業務費!$O13</f>
        <v>22654000</v>
      </c>
      <c r="N7" s="218">
        <f>★彙整人事及業務費!$O14</f>
        <v>46313000</v>
      </c>
      <c r="O7" s="218">
        <f>★彙整人事及業務費!$O15</f>
        <v>69553000</v>
      </c>
      <c r="P7" s="218">
        <f>★彙整人事及業務費!$O16</f>
        <v>23783000</v>
      </c>
      <c r="Q7" s="218">
        <f>★彙整人事及業務費!$O17</f>
        <v>21281000</v>
      </c>
      <c r="R7" s="218">
        <f>★彙整人事及業務費!$O18</f>
        <v>47889000</v>
      </c>
      <c r="S7" s="218">
        <f>★彙整人事及業務費!$O19</f>
        <v>117961000</v>
      </c>
      <c r="T7" s="218">
        <f>★彙整人事及業務費!$O20</f>
        <v>95485000</v>
      </c>
      <c r="U7" s="218">
        <f>★彙整人事及業務費!$O21</f>
        <v>26469000</v>
      </c>
      <c r="V7" s="218">
        <f>★彙整人事及業務費!$O22</f>
        <v>46703000</v>
      </c>
      <c r="W7" s="218">
        <f>★彙整人事及業務費!$O23</f>
        <v>24393000</v>
      </c>
      <c r="X7" s="218">
        <f>★彙整人事及業務費!$O24</f>
        <v>43817000</v>
      </c>
      <c r="Y7" s="218">
        <f>★彙整人事及業務費!$O25</f>
        <v>51358000</v>
      </c>
      <c r="Z7" s="218">
        <f>★彙整人事及業務費!$O26</f>
        <v>21974000</v>
      </c>
      <c r="AA7" s="218">
        <f>★彙整人事及業務費!$O27</f>
        <v>30643000</v>
      </c>
      <c r="AB7" s="218">
        <f>★彙整人事及業務費!$O28</f>
        <v>21743000</v>
      </c>
      <c r="AC7" s="218">
        <f>★彙整人事及業務費!$O29</f>
        <v>22981000</v>
      </c>
      <c r="AD7" s="218">
        <f>★彙整人事及業務費!$O30</f>
        <v>25491000</v>
      </c>
      <c r="AE7" s="218">
        <f>★彙整人事及業務費!$O31</f>
        <v>19267000</v>
      </c>
      <c r="AF7" s="218">
        <f>★彙整人事及業務費!$O32</f>
        <v>22074000</v>
      </c>
      <c r="AG7" s="218">
        <f>★彙整人事及業務費!$O33</f>
        <v>17876000</v>
      </c>
      <c r="AH7" s="218">
        <f>★彙整人事及業務費!$O34</f>
        <v>40067000</v>
      </c>
      <c r="AI7" s="218">
        <f>★彙整人事及業務費!$O35</f>
        <v>20796000</v>
      </c>
      <c r="AJ7" s="218">
        <f>★彙整人事及業務費!$O36</f>
        <v>18607000</v>
      </c>
      <c r="AK7" s="218">
        <f>★彙整人事及業務費!$O37</f>
        <v>21230000</v>
      </c>
      <c r="AL7" s="218">
        <f>★彙整人事及業務費!$O38</f>
        <v>22846000</v>
      </c>
      <c r="AM7" s="218">
        <f>★彙整人事及業務費!$O39</f>
        <v>25136000</v>
      </c>
      <c r="AN7" s="218">
        <f>★彙整人事及業務費!$O40</f>
        <v>28560000</v>
      </c>
      <c r="AO7" s="218">
        <f>★彙整人事及業務費!$O41</f>
        <v>23092000</v>
      </c>
      <c r="AP7" s="218">
        <f>★彙整人事及業務費!$O42</f>
        <v>23594000</v>
      </c>
      <c r="AQ7" s="218">
        <f>★彙整人事及業務費!$O43</f>
        <v>44353000</v>
      </c>
      <c r="AR7" s="218">
        <f>★彙整人事及業務費!$O44</f>
        <v>20661000</v>
      </c>
      <c r="AS7" s="218">
        <f>★彙整人事及業務費!$O45</f>
        <v>14760000</v>
      </c>
      <c r="AT7" s="218">
        <f>★彙整人事及業務費!$O46</f>
        <v>15658000</v>
      </c>
      <c r="AU7" s="218">
        <f>★彙整人事及業務費!$O47</f>
        <v>20000000</v>
      </c>
      <c r="AV7" s="218">
        <f>★彙整人事及業務費!$O48</f>
        <v>20321000</v>
      </c>
      <c r="AW7" s="218">
        <f>★彙整人事及業務費!$O49</f>
        <v>20091000</v>
      </c>
      <c r="AX7" s="218">
        <f>★彙整人事及業務費!$O50</f>
        <v>24469000</v>
      </c>
      <c r="AY7" s="218">
        <f>★彙整人事及業務費!$O51</f>
        <v>13255000</v>
      </c>
      <c r="AZ7" s="218">
        <f>★彙整人事及業務費!$O52</f>
        <v>19140000</v>
      </c>
      <c r="BA7" s="218">
        <f>★彙整人事及業務費!$O53</f>
        <v>17922000</v>
      </c>
      <c r="BB7" s="218">
        <f>★彙整人事及業務費!$O54</f>
        <v>68420000</v>
      </c>
      <c r="BC7" s="218">
        <f>★彙整人事及業務費!$O55</f>
        <v>20894000</v>
      </c>
      <c r="BD7" s="218">
        <f>★彙整人事及業務費!$O56</f>
        <v>22104000</v>
      </c>
      <c r="BE7" s="218">
        <f>★彙整人事及業務費!$O57</f>
        <v>15743000</v>
      </c>
      <c r="BF7" s="218">
        <f>★彙整人事及業務費!$O58</f>
        <v>16049000</v>
      </c>
      <c r="BG7" s="218">
        <f>★彙整人事及業務費!$O59</f>
        <v>18833000</v>
      </c>
      <c r="BH7" s="218">
        <f>★彙整人事及業務費!$O60</f>
        <v>14524000</v>
      </c>
      <c r="BI7" s="218">
        <f>★彙整人事及業務費!$O61</f>
        <v>47509000</v>
      </c>
      <c r="BJ7" s="218">
        <f>★彙整人事及業務費!$O62</f>
        <v>16529000</v>
      </c>
      <c r="BK7" s="218">
        <f>★彙整人事及業務費!$O63</f>
        <v>19855000</v>
      </c>
      <c r="BL7" s="218">
        <f>★彙整人事及業務費!$O64</f>
        <v>22768000</v>
      </c>
      <c r="BM7" s="218">
        <f>★彙整人事及業務費!$O65</f>
        <v>19712000</v>
      </c>
      <c r="BN7" s="218">
        <f>★彙整人事及業務費!$O66</f>
        <v>25664000</v>
      </c>
      <c r="BO7" s="218">
        <f>★彙整人事及業務費!$O67</f>
        <v>15693000</v>
      </c>
      <c r="BP7" s="218">
        <f>★彙整人事及業務費!$O68</f>
        <v>15204000</v>
      </c>
      <c r="BQ7" s="218">
        <f>★彙整人事及業務費!$O69</f>
        <v>16894000</v>
      </c>
      <c r="BR7" s="218">
        <f>★彙整人事及業務費!$O70</f>
        <v>19625000</v>
      </c>
      <c r="BS7" s="218">
        <f>★彙整人事及業務費!$O71</f>
        <v>19727000</v>
      </c>
      <c r="BT7" s="218">
        <f>★彙整人事及業務費!$O72</f>
        <v>17965000</v>
      </c>
      <c r="BU7" s="218">
        <f>★彙整人事及業務費!$O73</f>
        <v>17401000</v>
      </c>
      <c r="BV7" s="218">
        <f>★彙整人事及業務費!$O74</f>
        <v>27858000</v>
      </c>
      <c r="BW7" s="218">
        <f>★彙整人事及業務費!$O75</f>
        <v>25176000</v>
      </c>
      <c r="BX7" s="218">
        <f>★彙整人事及業務費!$O76</f>
        <v>25167000</v>
      </c>
      <c r="BY7" s="218">
        <f>★彙整人事及業務費!$O77</f>
        <v>19613000</v>
      </c>
      <c r="BZ7" s="218">
        <f>★彙整人事及業務費!$O78</f>
        <v>24036000</v>
      </c>
      <c r="CA7" s="218">
        <f>★彙整人事及業務費!$O79</f>
        <v>25691000</v>
      </c>
      <c r="CB7" s="218">
        <f>★彙整人事及業務費!$O80</f>
        <v>23603000</v>
      </c>
      <c r="CC7" s="218">
        <f>★彙整人事及業務費!$O81</f>
        <v>25266000</v>
      </c>
      <c r="CD7" s="218">
        <f>★彙整人事及業務費!$O82</f>
        <v>22464000</v>
      </c>
      <c r="CE7" s="218">
        <f>★彙整人事及業務費!$O83</f>
        <v>24595000</v>
      </c>
      <c r="CF7" s="218">
        <f>★彙整人事及業務費!$O84</f>
        <v>22623000</v>
      </c>
      <c r="CG7" s="218">
        <f>★彙整人事及業務費!$O85</f>
        <v>27710000</v>
      </c>
      <c r="CH7" s="218">
        <f>★彙整人事及業務費!$O86</f>
        <v>23515000</v>
      </c>
      <c r="CI7" s="218">
        <f>★彙整人事及業務費!$O87</f>
        <v>23883000</v>
      </c>
      <c r="CJ7" s="218">
        <f>★彙整人事及業務費!$O88</f>
        <v>20149000</v>
      </c>
      <c r="CK7" s="218">
        <f>★彙整人事及業務費!$O89</f>
        <v>23477000</v>
      </c>
      <c r="CL7" s="218">
        <f>★彙整人事及業務費!$O90</f>
        <v>26033000</v>
      </c>
      <c r="CM7" s="218">
        <f>★彙整人事及業務費!$O91</f>
        <v>24566000</v>
      </c>
      <c r="CN7" s="218">
        <f>★彙整人事及業務費!$O92</f>
        <v>23616000</v>
      </c>
      <c r="CO7" s="218">
        <f>★彙整人事及業務費!$O93</f>
        <v>23287000</v>
      </c>
      <c r="CP7" s="218">
        <f>★彙整人事及業務費!$O94</f>
        <v>22015000</v>
      </c>
      <c r="CQ7" s="218">
        <f>★彙整人事及業務費!$O95</f>
        <v>23475000</v>
      </c>
      <c r="CR7" s="218">
        <f>★彙整人事及業務費!$O96</f>
        <v>22453000</v>
      </c>
      <c r="CS7" s="218">
        <f>★彙整人事及業務費!$O97</f>
        <v>21189000</v>
      </c>
      <c r="CT7" s="218">
        <f>★彙整人事及業務費!$O98</f>
        <v>18578000</v>
      </c>
      <c r="CU7" s="218">
        <f>★彙整人事及業務費!$O99</f>
        <v>15947000</v>
      </c>
      <c r="CV7" s="218">
        <f>★彙整人事及業務費!$O100</f>
        <v>15811000</v>
      </c>
      <c r="CW7" s="218">
        <f>★彙整人事及業務費!$O101</f>
        <v>70024000</v>
      </c>
      <c r="CX7" s="218">
        <f>★彙整人事及業務費!$O102</f>
        <v>18520000</v>
      </c>
      <c r="CY7" s="218">
        <f>SUM(B7:CX7)</f>
        <v>3161404000</v>
      </c>
    </row>
    <row r="8" spans="1:103">
      <c r="B8" s="218">
        <f>★彙整退撫!O2</f>
        <v>13345000</v>
      </c>
      <c r="C8" s="218">
        <f>★彙整退撫!O3</f>
        <v>42144000</v>
      </c>
      <c r="D8" s="218">
        <f>★彙整退撫!$O4</f>
        <v>24009000</v>
      </c>
      <c r="E8" s="218">
        <f>★彙整退撫!$O5</f>
        <v>10168000</v>
      </c>
      <c r="F8" s="218">
        <f>★彙整退撫!$O6</f>
        <v>30137000</v>
      </c>
      <c r="G8" s="218">
        <f>★彙整退撫!$O7</f>
        <v>5918000</v>
      </c>
      <c r="H8" s="218">
        <f>★彙整退撫!$O8</f>
        <v>11317000</v>
      </c>
      <c r="I8" s="218">
        <f>★彙整退撫!$O9</f>
        <v>7942000</v>
      </c>
      <c r="J8" s="218">
        <f>★彙整退撫!$O10</f>
        <v>13096000</v>
      </c>
      <c r="K8" s="218">
        <f>★彙整退撫!$O11</f>
        <v>1501000</v>
      </c>
      <c r="L8" s="218">
        <f>★彙整退撫!$O12</f>
        <v>18575000</v>
      </c>
      <c r="M8" s="218">
        <f>★彙整退撫!$O13</f>
        <v>5598000</v>
      </c>
      <c r="N8" s="218">
        <f>★彙整退撫!$O14</f>
        <v>2722000</v>
      </c>
      <c r="O8" s="218">
        <f>★彙整退撫!$O15</f>
        <v>6168000</v>
      </c>
      <c r="P8" s="218">
        <f>★彙整退撫!$O16</f>
        <v>4411000</v>
      </c>
      <c r="Q8" s="218">
        <f>★彙整退撫!$O17</f>
        <v>5269000</v>
      </c>
      <c r="R8" s="218">
        <f>★彙整退撫!$O18</f>
        <v>13395000</v>
      </c>
      <c r="S8" s="218">
        <f>★彙整退撫!$O19</f>
        <v>32788000</v>
      </c>
      <c r="T8" s="218">
        <f>★彙整退撫!$O20</f>
        <v>14108000</v>
      </c>
      <c r="U8" s="218">
        <f>★彙整退撫!$O21</f>
        <v>5554000</v>
      </c>
      <c r="V8" s="218">
        <f>★彙整退撫!$O22</f>
        <v>10072000</v>
      </c>
      <c r="W8" s="218">
        <f>★彙整退撫!$O23</f>
        <v>6295000</v>
      </c>
      <c r="X8" s="218">
        <f>★彙整退撫!$O24</f>
        <v>12828000</v>
      </c>
      <c r="Y8" s="218">
        <f>★彙整退撫!$O25</f>
        <v>17057000</v>
      </c>
      <c r="Z8" s="218">
        <f>★彙整退撫!$O26</f>
        <v>3589000</v>
      </c>
      <c r="AA8" s="218">
        <f>★彙整退撫!$O27</f>
        <v>3731000</v>
      </c>
      <c r="AB8" s="218">
        <f>★彙整退撫!$O28</f>
        <v>1253000</v>
      </c>
      <c r="AC8" s="218">
        <f>★彙整退撫!$O29</f>
        <v>3571000</v>
      </c>
      <c r="AD8" s="218">
        <f>★彙整退撫!$O30</f>
        <v>4168000</v>
      </c>
      <c r="AE8" s="218">
        <f>★彙整退撫!$O31</f>
        <v>2800000</v>
      </c>
      <c r="AF8" s="218">
        <f>★彙整退撫!$O32</f>
        <v>2040000</v>
      </c>
      <c r="AG8" s="218">
        <f>★彙整退撫!$O33</f>
        <v>2987000</v>
      </c>
      <c r="AH8" s="218">
        <f>★彙整退撫!$O34</f>
        <v>10559000</v>
      </c>
      <c r="AI8" s="218">
        <f>★彙整退撫!$O35</f>
        <v>4762000</v>
      </c>
      <c r="AJ8" s="218">
        <f>★彙整退撫!$O36</f>
        <v>2437000</v>
      </c>
      <c r="AK8" s="218">
        <f>★彙整退撫!$O37</f>
        <v>4161000</v>
      </c>
      <c r="AL8" s="218">
        <f>★彙整退撫!$O38</f>
        <v>1294000</v>
      </c>
      <c r="AM8" s="218">
        <f>★彙整退撫!$O39</f>
        <v>5787000</v>
      </c>
      <c r="AN8" s="218">
        <f>★彙整退撫!$O40</f>
        <v>6352000</v>
      </c>
      <c r="AO8" s="218">
        <f>★彙整退撫!$O41</f>
        <v>5813000</v>
      </c>
      <c r="AP8" s="218">
        <f>★彙整退撫!$O42</f>
        <v>6791000</v>
      </c>
      <c r="AQ8" s="218">
        <f>★彙整退撫!$O43</f>
        <v>7628000</v>
      </c>
      <c r="AR8" s="218">
        <f>★彙整退撫!$O44</f>
        <v>2903000</v>
      </c>
      <c r="AS8" s="218">
        <f>★彙整退撫!$O45</f>
        <v>801000</v>
      </c>
      <c r="AT8" s="218">
        <f>★彙整退撫!$O46</f>
        <v>706000</v>
      </c>
      <c r="AU8" s="218">
        <f>★彙整退撫!$O47</f>
        <v>2724000</v>
      </c>
      <c r="AV8" s="218">
        <f>★彙整退撫!$O48</f>
        <v>2659000</v>
      </c>
      <c r="AW8" s="218">
        <f>★彙整退撫!$O49</f>
        <v>740000</v>
      </c>
      <c r="AX8" s="218">
        <f>★彙整退撫!$O50</f>
        <v>1466000</v>
      </c>
      <c r="AY8" s="218">
        <f>★彙整退撫!$O51</f>
        <v>741000</v>
      </c>
      <c r="AZ8" s="218">
        <f>★彙整退撫!$O52</f>
        <v>516000</v>
      </c>
      <c r="BA8" s="218">
        <f>★彙整退撫!$O53</f>
        <v>2553000</v>
      </c>
      <c r="BB8" s="218">
        <f>★彙整退撫!$O54</f>
        <v>9749000</v>
      </c>
      <c r="BC8" s="218">
        <f>★彙整退撫!$O55</f>
        <v>5475000</v>
      </c>
      <c r="BD8" s="218">
        <f>★彙整退撫!$O56</f>
        <v>3497000</v>
      </c>
      <c r="BE8" s="218">
        <f>★彙整退撫!$O57</f>
        <v>1270000</v>
      </c>
      <c r="BF8" s="218">
        <f>★彙整退撫!$O58</f>
        <v>1897000</v>
      </c>
      <c r="BG8" s="218">
        <f>★彙整退撫!$O59</f>
        <v>1210000</v>
      </c>
      <c r="BH8" s="218">
        <f>★彙整退撫!$O60</f>
        <v>775000</v>
      </c>
      <c r="BI8" s="218">
        <f>★彙整退撫!$O61</f>
        <v>5154000</v>
      </c>
      <c r="BJ8" s="218">
        <f>★彙整退撫!$O62</f>
        <v>1005000</v>
      </c>
      <c r="BK8" s="218">
        <f>★彙整退撫!$O63</f>
        <v>5117000</v>
      </c>
      <c r="BL8" s="218">
        <f>★彙整退撫!$O64</f>
        <v>482000</v>
      </c>
      <c r="BM8" s="218">
        <f>★彙整退撫!$O65</f>
        <v>1110000</v>
      </c>
      <c r="BN8" s="218">
        <f>★彙整退撫!$O66</f>
        <v>1903000</v>
      </c>
      <c r="BO8" s="218">
        <f>★彙整退撫!$O67</f>
        <v>862000</v>
      </c>
      <c r="BP8" s="218">
        <f>★彙整退撫!$O68</f>
        <v>812000</v>
      </c>
      <c r="BQ8" s="218">
        <f>★彙整退撫!$O69</f>
        <v>1704000</v>
      </c>
      <c r="BR8" s="218">
        <f>★彙整退撫!$O70</f>
        <v>550000</v>
      </c>
      <c r="BS8" s="218">
        <f>★彙整退撫!$O71</f>
        <v>1286000</v>
      </c>
      <c r="BT8" s="218">
        <f>★彙整退撫!$O72</f>
        <v>5901000</v>
      </c>
      <c r="BU8" s="218">
        <f>★彙整退撫!$O73</f>
        <v>1323000</v>
      </c>
      <c r="BV8" s="218">
        <f>★彙整退撫!$O74</f>
        <v>4560000</v>
      </c>
      <c r="BW8" s="218">
        <f>★彙整退撫!$O75</f>
        <v>4045000</v>
      </c>
      <c r="BX8" s="218">
        <f>★彙整退撫!$O76</f>
        <v>2185000</v>
      </c>
      <c r="BY8" s="218">
        <f>★彙整退撫!$O77</f>
        <v>3179000</v>
      </c>
      <c r="BZ8" s="218">
        <f>★彙整退撫!$O78</f>
        <v>3495000</v>
      </c>
      <c r="CA8" s="218">
        <f>★彙整退撫!$O79</f>
        <v>6965000</v>
      </c>
      <c r="CB8" s="218">
        <f>★彙整退撫!$O80</f>
        <v>924000</v>
      </c>
      <c r="CC8" s="218">
        <f>★彙整退撫!$O81</f>
        <v>4262000</v>
      </c>
      <c r="CD8" s="218">
        <f>★彙整退撫!$O82</f>
        <v>5001000</v>
      </c>
      <c r="CE8" s="218">
        <f>★彙整退撫!$O83</f>
        <v>2544000</v>
      </c>
      <c r="CF8" s="218">
        <f>★彙整退撫!$O84</f>
        <v>4445000</v>
      </c>
      <c r="CG8" s="218">
        <f>★彙整退撫!$O85</f>
        <v>2283000</v>
      </c>
      <c r="CH8" s="218">
        <f>★彙整退撫!$O86</f>
        <v>4744000</v>
      </c>
      <c r="CI8" s="218">
        <f>★彙整退撫!$O87</f>
        <v>2452000</v>
      </c>
      <c r="CJ8" s="218">
        <f>★彙整退撫!$O88</f>
        <v>8468000</v>
      </c>
      <c r="CK8" s="218">
        <f>★彙整退撫!$O89</f>
        <v>4132000</v>
      </c>
      <c r="CL8" s="218">
        <f>★彙整退撫!$O90</f>
        <v>3209000</v>
      </c>
      <c r="CM8" s="218">
        <f>★彙整退撫!$O91</f>
        <v>3322000</v>
      </c>
      <c r="CN8" s="218">
        <f>★彙整退撫!$O92</f>
        <v>763000</v>
      </c>
      <c r="CO8" s="218">
        <f>★彙整退撫!$O93</f>
        <v>4058000</v>
      </c>
      <c r="CP8" s="218">
        <f>★彙整退撫!$O94</f>
        <v>3315000</v>
      </c>
      <c r="CQ8" s="218">
        <f>★彙整退撫!$O95</f>
        <v>3178000</v>
      </c>
      <c r="CR8" s="218">
        <f>★彙整退撫!$O96</f>
        <v>2825000</v>
      </c>
      <c r="CS8" s="218">
        <f>★彙整退撫!$O97</f>
        <v>1452000</v>
      </c>
      <c r="CT8" s="218">
        <f>★彙整退撫!$O98</f>
        <v>942000</v>
      </c>
      <c r="CU8" s="218">
        <f>★彙整退撫!$O99</f>
        <v>1956000</v>
      </c>
      <c r="CV8" s="218">
        <f>★彙整退撫!$O100</f>
        <v>909000</v>
      </c>
      <c r="CW8" s="218">
        <f>★彙整退撫!$O101</f>
        <v>4385000</v>
      </c>
      <c r="CX8" s="218">
        <f>★彙整退撫!$O102</f>
        <v>1980000</v>
      </c>
      <c r="CY8" s="218">
        <f>SUM(B8:CX8)</f>
        <v>557009000</v>
      </c>
    </row>
    <row r="9" spans="1:103">
      <c r="B9" s="218">
        <f>B5-B7-B8</f>
        <v>0</v>
      </c>
      <c r="C9" s="218">
        <f t="shared" ref="C9:BN9" si="0">C5-C7-C8</f>
        <v>0</v>
      </c>
      <c r="D9" s="218">
        <f t="shared" si="0"/>
        <v>0</v>
      </c>
      <c r="E9" s="218">
        <f t="shared" si="0"/>
        <v>0</v>
      </c>
      <c r="F9" s="218">
        <f t="shared" si="0"/>
        <v>0</v>
      </c>
      <c r="G9" s="218">
        <f t="shared" si="0"/>
        <v>0</v>
      </c>
      <c r="H9" s="218">
        <f t="shared" si="0"/>
        <v>0</v>
      </c>
      <c r="I9" s="218">
        <f t="shared" si="0"/>
        <v>0</v>
      </c>
      <c r="J9" s="218">
        <f t="shared" si="0"/>
        <v>0</v>
      </c>
      <c r="K9" s="218">
        <f t="shared" si="0"/>
        <v>0</v>
      </c>
      <c r="L9" s="218">
        <f t="shared" si="0"/>
        <v>0</v>
      </c>
      <c r="M9" s="218">
        <f t="shared" si="0"/>
        <v>0</v>
      </c>
      <c r="N9" s="218">
        <f t="shared" si="0"/>
        <v>0</v>
      </c>
      <c r="O9" s="218">
        <f t="shared" si="0"/>
        <v>0</v>
      </c>
      <c r="P9" s="218">
        <f t="shared" si="0"/>
        <v>0</v>
      </c>
      <c r="Q9" s="218">
        <f t="shared" si="0"/>
        <v>0</v>
      </c>
      <c r="R9" s="218">
        <f t="shared" si="0"/>
        <v>0</v>
      </c>
      <c r="S9" s="218">
        <f t="shared" si="0"/>
        <v>0</v>
      </c>
      <c r="T9" s="218">
        <f t="shared" si="0"/>
        <v>0</v>
      </c>
      <c r="U9" s="218">
        <f t="shared" si="0"/>
        <v>0</v>
      </c>
      <c r="V9" s="218">
        <f t="shared" si="0"/>
        <v>0</v>
      </c>
      <c r="W9" s="218">
        <f t="shared" si="0"/>
        <v>0</v>
      </c>
      <c r="X9" s="218">
        <f t="shared" si="0"/>
        <v>0</v>
      </c>
      <c r="Y9" s="218">
        <f t="shared" si="0"/>
        <v>0</v>
      </c>
      <c r="Z9" s="218">
        <f t="shared" si="0"/>
        <v>0</v>
      </c>
      <c r="AA9" s="218">
        <f t="shared" si="0"/>
        <v>0</v>
      </c>
      <c r="AB9" s="218">
        <f t="shared" si="0"/>
        <v>0</v>
      </c>
      <c r="AC9" s="218">
        <f t="shared" si="0"/>
        <v>0</v>
      </c>
      <c r="AD9" s="218">
        <f t="shared" si="0"/>
        <v>0</v>
      </c>
      <c r="AE9" s="218">
        <f t="shared" si="0"/>
        <v>0</v>
      </c>
      <c r="AF9" s="218">
        <f t="shared" si="0"/>
        <v>0</v>
      </c>
      <c r="AG9" s="218">
        <f t="shared" si="0"/>
        <v>0</v>
      </c>
      <c r="AH9" s="218">
        <f t="shared" si="0"/>
        <v>0</v>
      </c>
      <c r="AI9" s="218">
        <f t="shared" si="0"/>
        <v>0</v>
      </c>
      <c r="AJ9" s="218">
        <f t="shared" si="0"/>
        <v>0</v>
      </c>
      <c r="AK9" s="218">
        <f t="shared" si="0"/>
        <v>0</v>
      </c>
      <c r="AL9" s="218">
        <f t="shared" si="0"/>
        <v>0</v>
      </c>
      <c r="AM9" s="218">
        <f t="shared" si="0"/>
        <v>0</v>
      </c>
      <c r="AN9" s="218">
        <f t="shared" si="0"/>
        <v>0</v>
      </c>
      <c r="AO9" s="218">
        <f t="shared" si="0"/>
        <v>0</v>
      </c>
      <c r="AP9" s="218">
        <f t="shared" si="0"/>
        <v>0</v>
      </c>
      <c r="AQ9" s="218">
        <f t="shared" si="0"/>
        <v>0</v>
      </c>
      <c r="AR9" s="218">
        <f t="shared" si="0"/>
        <v>0</v>
      </c>
      <c r="AS9" s="218">
        <f t="shared" si="0"/>
        <v>0</v>
      </c>
      <c r="AT9" s="218">
        <f t="shared" si="0"/>
        <v>0</v>
      </c>
      <c r="AU9" s="218">
        <f t="shared" si="0"/>
        <v>0</v>
      </c>
      <c r="AV9" s="218">
        <f t="shared" si="0"/>
        <v>0</v>
      </c>
      <c r="AW9" s="218">
        <f t="shared" si="0"/>
        <v>0</v>
      </c>
      <c r="AX9" s="218">
        <f t="shared" si="0"/>
        <v>0</v>
      </c>
      <c r="AY9" s="218">
        <f t="shared" si="0"/>
        <v>0</v>
      </c>
      <c r="AZ9" s="218">
        <f t="shared" si="0"/>
        <v>0</v>
      </c>
      <c r="BA9" s="218">
        <f t="shared" si="0"/>
        <v>0</v>
      </c>
      <c r="BB9" s="218">
        <f t="shared" si="0"/>
        <v>0</v>
      </c>
      <c r="BC9" s="218">
        <f t="shared" si="0"/>
        <v>0</v>
      </c>
      <c r="BD9" s="218">
        <f t="shared" si="0"/>
        <v>0</v>
      </c>
      <c r="BE9" s="218">
        <f t="shared" si="0"/>
        <v>0</v>
      </c>
      <c r="BF9" s="218">
        <f t="shared" si="0"/>
        <v>0</v>
      </c>
      <c r="BG9" s="218">
        <f t="shared" si="0"/>
        <v>0</v>
      </c>
      <c r="BH9" s="218">
        <f t="shared" si="0"/>
        <v>0</v>
      </c>
      <c r="BI9" s="218">
        <f t="shared" si="0"/>
        <v>0</v>
      </c>
      <c r="BJ9" s="218">
        <f t="shared" si="0"/>
        <v>0</v>
      </c>
      <c r="BK9" s="218">
        <f t="shared" si="0"/>
        <v>0</v>
      </c>
      <c r="BL9" s="218">
        <f t="shared" si="0"/>
        <v>0</v>
      </c>
      <c r="BM9" s="218">
        <f t="shared" si="0"/>
        <v>0</v>
      </c>
      <c r="BN9" s="218">
        <f t="shared" si="0"/>
        <v>0</v>
      </c>
      <c r="BO9" s="218">
        <f t="shared" ref="BO9:CX9" si="1">BO5-BO7-BO8</f>
        <v>0</v>
      </c>
      <c r="BP9" s="218">
        <f t="shared" si="1"/>
        <v>0</v>
      </c>
      <c r="BQ9" s="218">
        <f t="shared" si="1"/>
        <v>0</v>
      </c>
      <c r="BR9" s="218">
        <f t="shared" si="1"/>
        <v>0</v>
      </c>
      <c r="BS9" s="218">
        <f t="shared" si="1"/>
        <v>0</v>
      </c>
      <c r="BT9" s="218">
        <f t="shared" si="1"/>
        <v>0</v>
      </c>
      <c r="BU9" s="218">
        <f t="shared" si="1"/>
        <v>0</v>
      </c>
      <c r="BV9" s="218">
        <f t="shared" si="1"/>
        <v>0</v>
      </c>
      <c r="BW9" s="218">
        <f t="shared" si="1"/>
        <v>0</v>
      </c>
      <c r="BX9" s="218">
        <f t="shared" si="1"/>
        <v>0</v>
      </c>
      <c r="BY9" s="218">
        <f t="shared" si="1"/>
        <v>0</v>
      </c>
      <c r="BZ9" s="218">
        <f t="shared" si="1"/>
        <v>0</v>
      </c>
      <c r="CA9" s="218">
        <f t="shared" si="1"/>
        <v>0</v>
      </c>
      <c r="CB9" s="218">
        <f t="shared" si="1"/>
        <v>0</v>
      </c>
      <c r="CC9" s="218">
        <f t="shared" si="1"/>
        <v>0</v>
      </c>
      <c r="CD9" s="218">
        <f t="shared" si="1"/>
        <v>0</v>
      </c>
      <c r="CE9" s="218">
        <f t="shared" si="1"/>
        <v>0</v>
      </c>
      <c r="CF9" s="218">
        <f t="shared" si="1"/>
        <v>0</v>
      </c>
      <c r="CG9" s="218">
        <f t="shared" si="1"/>
        <v>0</v>
      </c>
      <c r="CH9" s="218">
        <f t="shared" si="1"/>
        <v>0</v>
      </c>
      <c r="CI9" s="218">
        <f t="shared" si="1"/>
        <v>0</v>
      </c>
      <c r="CJ9" s="218">
        <f t="shared" si="1"/>
        <v>0</v>
      </c>
      <c r="CK9" s="218">
        <f t="shared" si="1"/>
        <v>0</v>
      </c>
      <c r="CL9" s="218">
        <f t="shared" si="1"/>
        <v>0</v>
      </c>
      <c r="CM9" s="218">
        <f t="shared" si="1"/>
        <v>0</v>
      </c>
      <c r="CN9" s="218">
        <f t="shared" si="1"/>
        <v>0</v>
      </c>
      <c r="CO9" s="218">
        <f t="shared" si="1"/>
        <v>0</v>
      </c>
      <c r="CP9" s="218">
        <f t="shared" si="1"/>
        <v>0</v>
      </c>
      <c r="CQ9" s="218">
        <f t="shared" si="1"/>
        <v>0</v>
      </c>
      <c r="CR9" s="218">
        <f t="shared" si="1"/>
        <v>0</v>
      </c>
      <c r="CS9" s="218">
        <f t="shared" si="1"/>
        <v>0</v>
      </c>
      <c r="CT9" s="218">
        <f t="shared" si="1"/>
        <v>0</v>
      </c>
      <c r="CU9" s="218">
        <f t="shared" si="1"/>
        <v>0</v>
      </c>
      <c r="CV9" s="218">
        <f t="shared" si="1"/>
        <v>0</v>
      </c>
      <c r="CW9" s="218">
        <f t="shared" si="1"/>
        <v>0</v>
      </c>
      <c r="CX9" s="218">
        <f>CX5-CX7-CX8</f>
        <v>0</v>
      </c>
      <c r="CY9" s="218">
        <f>CY5-CY7-CY8</f>
        <v>0</v>
      </c>
    </row>
  </sheetData>
  <phoneticPr fontId="3" type="noConversion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topLeftCell="A100"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642</v>
      </c>
      <c r="D1" s="28" t="str">
        <f>VLOOKUP(C1,[1]學校編號!A:B,2,FALSE)</f>
        <v>642太巴塱國小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29111000</v>
      </c>
      <c r="E2" s="37"/>
      <c r="F2" s="37">
        <f>F48+F70+F76+F77+F83</f>
        <v>8542000</v>
      </c>
      <c r="G2" s="37">
        <f t="shared" ref="G2:Q2" si="0">G48+G70+G76+G77+G83</f>
        <v>2099000</v>
      </c>
      <c r="H2" s="37">
        <f t="shared" si="0"/>
        <v>2159000</v>
      </c>
      <c r="I2" s="37">
        <f t="shared" si="0"/>
        <v>2378000</v>
      </c>
      <c r="J2" s="37">
        <f t="shared" si="0"/>
        <v>2105000</v>
      </c>
      <c r="K2" s="37">
        <f t="shared" si="0"/>
        <v>2109000</v>
      </c>
      <c r="L2" s="37">
        <f t="shared" si="0"/>
        <v>2174000</v>
      </c>
      <c r="M2" s="37">
        <f t="shared" si="0"/>
        <v>2105000</v>
      </c>
      <c r="N2" s="37">
        <f t="shared" si="0"/>
        <v>3182000</v>
      </c>
      <c r="O2" s="37">
        <f t="shared" si="0"/>
        <v>2105000</v>
      </c>
      <c r="P2" s="37">
        <f t="shared" si="0"/>
        <v>78000</v>
      </c>
      <c r="Q2" s="37">
        <f t="shared" si="0"/>
        <v>75000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51000</v>
      </c>
      <c r="E10" s="37" t="s">
        <v>525</v>
      </c>
      <c r="F10" s="37">
        <f t="shared" si="1"/>
        <v>4250</v>
      </c>
      <c r="G10" s="37">
        <f t="shared" si="1"/>
        <v>4250</v>
      </c>
      <c r="H10" s="37">
        <f t="shared" si="1"/>
        <v>4250</v>
      </c>
      <c r="I10" s="37">
        <f t="shared" si="1"/>
        <v>4250</v>
      </c>
      <c r="J10" s="37">
        <f t="shared" si="1"/>
        <v>4250</v>
      </c>
      <c r="K10" s="37">
        <f t="shared" si="1"/>
        <v>4250</v>
      </c>
      <c r="L10" s="37">
        <f t="shared" si="1"/>
        <v>4250</v>
      </c>
      <c r="M10" s="37">
        <f t="shared" si="1"/>
        <v>4250</v>
      </c>
      <c r="N10" s="37">
        <f t="shared" si="1"/>
        <v>4250</v>
      </c>
      <c r="O10" s="37">
        <f t="shared" si="1"/>
        <v>4250</v>
      </c>
      <c r="P10" s="37">
        <f t="shared" si="1"/>
        <v>4250</v>
      </c>
      <c r="Q10" s="37">
        <f t="shared" si="2"/>
        <v>4250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8000</v>
      </c>
      <c r="E11" s="37" t="s">
        <v>195</v>
      </c>
      <c r="F11" s="37">
        <f>D11</f>
        <v>8000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515000</v>
      </c>
      <c r="E12" s="113" t="s">
        <v>202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42000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164000</v>
      </c>
      <c r="E13" s="37" t="s">
        <v>525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34000</v>
      </c>
      <c r="E15" s="37" t="s">
        <v>193</v>
      </c>
      <c r="F15" s="37">
        <f>ROUND($D15/2,-3)</f>
        <v>17000</v>
      </c>
      <c r="G15" s="37"/>
      <c r="H15" s="37"/>
      <c r="I15" s="37"/>
      <c r="J15" s="37"/>
      <c r="K15" s="37"/>
      <c r="L15" s="37">
        <f>D15-F15</f>
        <v>17000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0</v>
      </c>
      <c r="E16" s="37" t="s">
        <v>525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105000</v>
      </c>
      <c r="E24" s="37" t="s">
        <v>193</v>
      </c>
      <c r="F24" s="37">
        <f>ROUND($D24/2,-3)</f>
        <v>53000</v>
      </c>
      <c r="G24" s="37"/>
      <c r="H24" s="37"/>
      <c r="I24" s="37"/>
      <c r="J24" s="37"/>
      <c r="K24" s="37"/>
      <c r="L24" s="37">
        <f>D24-F24</f>
        <v>52000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1179000</v>
      </c>
      <c r="E25" s="108"/>
      <c r="F25" s="108">
        <f>ROUND(SUM(F3:F24),-3)</f>
        <v>250000</v>
      </c>
      <c r="G25" s="108">
        <f t="shared" ref="G25:P25" si="5">ROUND(SUM(G3:G24),-3)</f>
        <v>86000</v>
      </c>
      <c r="H25" s="108">
        <f t="shared" si="5"/>
        <v>86000</v>
      </c>
      <c r="I25" s="108">
        <f t="shared" si="5"/>
        <v>86000</v>
      </c>
      <c r="J25" s="108">
        <f t="shared" si="5"/>
        <v>86000</v>
      </c>
      <c r="K25" s="108">
        <f t="shared" si="5"/>
        <v>86000</v>
      </c>
      <c r="L25" s="108">
        <f t="shared" si="5"/>
        <v>155000</v>
      </c>
      <c r="M25" s="108">
        <f t="shared" si="5"/>
        <v>86000</v>
      </c>
      <c r="N25" s="108">
        <f t="shared" si="5"/>
        <v>86000</v>
      </c>
      <c r="O25" s="108">
        <f t="shared" si="5"/>
        <v>85000</v>
      </c>
      <c r="P25" s="108">
        <f t="shared" si="5"/>
        <v>43000</v>
      </c>
      <c r="Q25" s="108">
        <f t="shared" ref="Q25:Q33" si="6">D25-SUM(F25:P25)</f>
        <v>44000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55000</v>
      </c>
      <c r="E26" s="114" t="s">
        <v>204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1000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19000</v>
      </c>
      <c r="E30" s="37" t="s">
        <v>525</v>
      </c>
      <c r="F30" s="37">
        <f t="shared" si="8"/>
        <v>1583</v>
      </c>
      <c r="G30" s="37">
        <f t="shared" si="8"/>
        <v>1583</v>
      </c>
      <c r="H30" s="37">
        <f t="shared" si="8"/>
        <v>1583</v>
      </c>
      <c r="I30" s="37">
        <f t="shared" si="8"/>
        <v>1583</v>
      </c>
      <c r="J30" s="37">
        <f t="shared" si="8"/>
        <v>1583</v>
      </c>
      <c r="K30" s="37">
        <f t="shared" si="8"/>
        <v>1583</v>
      </c>
      <c r="L30" s="37">
        <f t="shared" si="8"/>
        <v>1583</v>
      </c>
      <c r="M30" s="37">
        <f t="shared" si="8"/>
        <v>1583</v>
      </c>
      <c r="N30" s="37">
        <f t="shared" si="8"/>
        <v>1583</v>
      </c>
      <c r="O30" s="37">
        <f t="shared" si="8"/>
        <v>1583</v>
      </c>
      <c r="P30" s="37">
        <f t="shared" si="8"/>
        <v>1583</v>
      </c>
      <c r="Q30" s="37">
        <f t="shared" si="6"/>
        <v>1587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9000</v>
      </c>
      <c r="E31" s="37" t="s">
        <v>525</v>
      </c>
      <c r="F31" s="37">
        <f t="shared" si="8"/>
        <v>750</v>
      </c>
      <c r="G31" s="37">
        <f t="shared" si="8"/>
        <v>750</v>
      </c>
      <c r="H31" s="37">
        <f t="shared" si="8"/>
        <v>750</v>
      </c>
      <c r="I31" s="37">
        <f t="shared" si="8"/>
        <v>750</v>
      </c>
      <c r="J31" s="37">
        <f t="shared" si="8"/>
        <v>750</v>
      </c>
      <c r="K31" s="37">
        <f t="shared" si="8"/>
        <v>750</v>
      </c>
      <c r="L31" s="37">
        <f t="shared" si="8"/>
        <v>750</v>
      </c>
      <c r="M31" s="37">
        <f t="shared" si="8"/>
        <v>750</v>
      </c>
      <c r="N31" s="37">
        <f t="shared" si="8"/>
        <v>750</v>
      </c>
      <c r="O31" s="37">
        <f t="shared" si="8"/>
        <v>750</v>
      </c>
      <c r="P31" s="37">
        <f t="shared" si="8"/>
        <v>750</v>
      </c>
      <c r="Q31" s="37">
        <f t="shared" si="6"/>
        <v>750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349000</v>
      </c>
      <c r="E37" s="108"/>
      <c r="F37" s="108">
        <f t="shared" ref="F37:P37" si="9">ROUND(SUM(F26:F36),-3)</f>
        <v>30000</v>
      </c>
      <c r="G37" s="108">
        <f t="shared" si="9"/>
        <v>24000</v>
      </c>
      <c r="H37" s="108">
        <f t="shared" si="9"/>
        <v>30000</v>
      </c>
      <c r="I37" s="108">
        <f t="shared" si="9"/>
        <v>30000</v>
      </c>
      <c r="J37" s="108">
        <f t="shared" si="9"/>
        <v>30000</v>
      </c>
      <c r="K37" s="108">
        <f t="shared" si="9"/>
        <v>30000</v>
      </c>
      <c r="L37" s="108">
        <f t="shared" si="9"/>
        <v>24000</v>
      </c>
      <c r="M37" s="108">
        <f t="shared" si="9"/>
        <v>30000</v>
      </c>
      <c r="N37" s="108">
        <f t="shared" si="9"/>
        <v>30000</v>
      </c>
      <c r="O37" s="108">
        <f t="shared" si="9"/>
        <v>30000</v>
      </c>
      <c r="P37" s="108">
        <f t="shared" si="9"/>
        <v>30000</v>
      </c>
      <c r="Q37" s="108">
        <f>D37-SUM(F37:P37)</f>
        <v>31000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11000</v>
      </c>
      <c r="E42" s="37" t="s">
        <v>199</v>
      </c>
      <c r="F42" s="37"/>
      <c r="G42" s="37"/>
      <c r="H42" s="37"/>
      <c r="I42" s="37">
        <f>D42</f>
        <v>11000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6000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6000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18000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11000</v>
      </c>
      <c r="J45" s="108">
        <f t="shared" si="12"/>
        <v>0</v>
      </c>
      <c r="K45" s="108">
        <f t="shared" si="12"/>
        <v>0</v>
      </c>
      <c r="L45" s="108">
        <f t="shared" si="12"/>
        <v>6000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1558000</v>
      </c>
      <c r="E48" s="37"/>
      <c r="F48" s="115">
        <f>F25+F37+F45+F47</f>
        <v>285000</v>
      </c>
      <c r="G48" s="115">
        <f t="shared" ref="G48:R48" si="14">G25+G37+G45+G47</f>
        <v>110000</v>
      </c>
      <c r="H48" s="115">
        <f t="shared" si="14"/>
        <v>116000</v>
      </c>
      <c r="I48" s="115">
        <f t="shared" si="14"/>
        <v>127000</v>
      </c>
      <c r="J48" s="115">
        <f t="shared" si="14"/>
        <v>116000</v>
      </c>
      <c r="K48" s="115">
        <f t="shared" si="14"/>
        <v>120000</v>
      </c>
      <c r="L48" s="115">
        <f t="shared" si="14"/>
        <v>185000</v>
      </c>
      <c r="M48" s="115">
        <f t="shared" si="14"/>
        <v>116000</v>
      </c>
      <c r="N48" s="115">
        <f t="shared" si="14"/>
        <v>120000</v>
      </c>
      <c r="O48" s="115">
        <f t="shared" si="14"/>
        <v>115000</v>
      </c>
      <c r="P48" s="115">
        <f t="shared" si="14"/>
        <v>73000</v>
      </c>
      <c r="Q48" s="115">
        <f t="shared" si="14"/>
        <v>75000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13239000</v>
      </c>
      <c r="E49" s="114" t="s">
        <v>202</v>
      </c>
      <c r="F49" s="37">
        <f>ROUND($D49/12*3,-3)</f>
        <v>3310000</v>
      </c>
      <c r="G49" s="37">
        <f>ROUND($D49/12,-3)</f>
        <v>1103000</v>
      </c>
      <c r="H49" s="37">
        <f t="shared" ref="H49:N53" si="15">ROUND($D49/12,-3)</f>
        <v>1103000</v>
      </c>
      <c r="I49" s="37">
        <f t="shared" si="15"/>
        <v>1103000</v>
      </c>
      <c r="J49" s="37">
        <f t="shared" si="15"/>
        <v>1103000</v>
      </c>
      <c r="K49" s="37">
        <f t="shared" si="15"/>
        <v>1103000</v>
      </c>
      <c r="L49" s="37">
        <f t="shared" si="15"/>
        <v>1103000</v>
      </c>
      <c r="M49" s="37">
        <f t="shared" si="15"/>
        <v>1103000</v>
      </c>
      <c r="N49" s="37">
        <f t="shared" si="15"/>
        <v>1103000</v>
      </c>
      <c r="O49" s="37">
        <f>D49-SUM(F49:N49)</f>
        <v>1105000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406000</v>
      </c>
      <c r="E50" s="114" t="s">
        <v>202</v>
      </c>
      <c r="F50" s="37">
        <f t="shared" ref="F50:F53" si="16">ROUND($D50/12*3,-3)</f>
        <v>102000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si="15"/>
        <v>34000</v>
      </c>
      <c r="N50" s="37">
        <f t="shared" si="15"/>
        <v>34000</v>
      </c>
      <c r="O50" s="37">
        <f t="shared" ref="O50:O53" si="18">D50-SUM(F50:N50)</f>
        <v>32000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1349000</v>
      </c>
      <c r="E51" s="114" t="s">
        <v>202</v>
      </c>
      <c r="F51" s="37">
        <f t="shared" si="16"/>
        <v>337000</v>
      </c>
      <c r="G51" s="37">
        <f t="shared" si="17"/>
        <v>112000</v>
      </c>
      <c r="H51" s="37">
        <f t="shared" si="15"/>
        <v>112000</v>
      </c>
      <c r="I51" s="37">
        <f t="shared" si="15"/>
        <v>112000</v>
      </c>
      <c r="J51" s="37">
        <f t="shared" si="15"/>
        <v>112000</v>
      </c>
      <c r="K51" s="37">
        <f t="shared" si="15"/>
        <v>112000</v>
      </c>
      <c r="L51" s="37">
        <f t="shared" si="15"/>
        <v>112000</v>
      </c>
      <c r="M51" s="37">
        <f t="shared" si="15"/>
        <v>112000</v>
      </c>
      <c r="N51" s="37">
        <f t="shared" si="15"/>
        <v>112000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366000</v>
      </c>
      <c r="E60" s="37" t="s">
        <v>195</v>
      </c>
      <c r="F60" s="37">
        <f>D60</f>
        <v>366000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1309000</v>
      </c>
      <c r="E62" s="37" t="s">
        <v>197</v>
      </c>
      <c r="F62" s="37"/>
      <c r="G62" s="37"/>
      <c r="H62" s="37"/>
      <c r="I62" s="37">
        <f>ROUND($D62/5,-3)</f>
        <v>262000</v>
      </c>
      <c r="J62" s="37"/>
      <c r="K62" s="37"/>
      <c r="L62" s="37"/>
      <c r="M62" s="37"/>
      <c r="N62" s="37">
        <f>D62-I62</f>
        <v>1047000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1693000</v>
      </c>
      <c r="E63" s="37" t="s">
        <v>195</v>
      </c>
      <c r="F63" s="37">
        <f>D63</f>
        <v>1693000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1315000</v>
      </c>
      <c r="E64" s="114" t="s">
        <v>202</v>
      </c>
      <c r="F64" s="37">
        <f>ROUND($D64/12*3,-3)</f>
        <v>329000</v>
      </c>
      <c r="G64" s="37">
        <f>ROUND($D64/12,-3)</f>
        <v>110000</v>
      </c>
      <c r="H64" s="37">
        <f t="shared" ref="H64:N66" si="21">ROUND($D64/12,-3)</f>
        <v>110000</v>
      </c>
      <c r="I64" s="37">
        <f t="shared" si="21"/>
        <v>110000</v>
      </c>
      <c r="J64" s="37">
        <f t="shared" si="21"/>
        <v>110000</v>
      </c>
      <c r="K64" s="37">
        <f t="shared" si="21"/>
        <v>110000</v>
      </c>
      <c r="L64" s="37">
        <f t="shared" si="21"/>
        <v>110000</v>
      </c>
      <c r="M64" s="37">
        <f t="shared" si="21"/>
        <v>110000</v>
      </c>
      <c r="N64" s="37">
        <f t="shared" si="21"/>
        <v>110000</v>
      </c>
      <c r="O64" s="37">
        <f>D64-SUM(F64:N64)</f>
        <v>106000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277000</v>
      </c>
      <c r="E65" s="114" t="s">
        <v>202</v>
      </c>
      <c r="F65" s="37">
        <f t="shared" ref="F65:F66" si="22">ROUND($D65/12*3,-3)</f>
        <v>69000</v>
      </c>
      <c r="G65" s="37">
        <f t="shared" ref="G65:G66" si="23">ROUND($D65/12,-3)</f>
        <v>23000</v>
      </c>
      <c r="H65" s="37">
        <f t="shared" si="21"/>
        <v>23000</v>
      </c>
      <c r="I65" s="37">
        <f t="shared" si="21"/>
        <v>23000</v>
      </c>
      <c r="J65" s="37">
        <f t="shared" si="21"/>
        <v>23000</v>
      </c>
      <c r="K65" s="37">
        <f t="shared" si="21"/>
        <v>23000</v>
      </c>
      <c r="L65" s="37">
        <f t="shared" si="21"/>
        <v>23000</v>
      </c>
      <c r="M65" s="37">
        <f t="shared" si="21"/>
        <v>23000</v>
      </c>
      <c r="N65" s="37">
        <f t="shared" si="21"/>
        <v>23000</v>
      </c>
      <c r="O65" s="37">
        <f t="shared" ref="O65:O66" si="24">D65-SUM(F65:N65)</f>
        <v>24000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1147000</v>
      </c>
      <c r="E66" s="114" t="s">
        <v>202</v>
      </c>
      <c r="F66" s="37">
        <f t="shared" si="22"/>
        <v>287000</v>
      </c>
      <c r="G66" s="37">
        <f t="shared" si="23"/>
        <v>96000</v>
      </c>
      <c r="H66" s="37">
        <f t="shared" si="21"/>
        <v>96000</v>
      </c>
      <c r="I66" s="37">
        <f t="shared" si="21"/>
        <v>96000</v>
      </c>
      <c r="J66" s="37">
        <f t="shared" si="21"/>
        <v>96000</v>
      </c>
      <c r="K66" s="37">
        <f t="shared" si="21"/>
        <v>96000</v>
      </c>
      <c r="L66" s="37">
        <f t="shared" si="21"/>
        <v>96000</v>
      </c>
      <c r="M66" s="37">
        <f t="shared" si="21"/>
        <v>96000</v>
      </c>
      <c r="N66" s="37">
        <f t="shared" si="21"/>
        <v>96000</v>
      </c>
      <c r="O66" s="37">
        <f t="shared" si="24"/>
        <v>92000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27000</v>
      </c>
      <c r="E67" s="37" t="s">
        <v>196</v>
      </c>
      <c r="F67" s="37"/>
      <c r="G67" s="37"/>
      <c r="H67" s="37">
        <f>D67</f>
        <v>27000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139000</v>
      </c>
      <c r="E68" s="37" t="s">
        <v>195</v>
      </c>
      <c r="F68" s="37">
        <f>D68</f>
        <v>139000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21587000</v>
      </c>
      <c r="E70" s="108"/>
      <c r="F70" s="108">
        <f t="shared" ref="F70:P70" si="25">ROUND(SUM(F49:F69),-3)</f>
        <v>6703000</v>
      </c>
      <c r="G70" s="108">
        <f t="shared" si="25"/>
        <v>1505000</v>
      </c>
      <c r="H70" s="108">
        <f t="shared" si="25"/>
        <v>1532000</v>
      </c>
      <c r="I70" s="108">
        <f t="shared" si="25"/>
        <v>1767000</v>
      </c>
      <c r="J70" s="108">
        <f t="shared" si="25"/>
        <v>1505000</v>
      </c>
      <c r="K70" s="108">
        <f t="shared" si="25"/>
        <v>1505000</v>
      </c>
      <c r="L70" s="108">
        <f t="shared" si="25"/>
        <v>1505000</v>
      </c>
      <c r="M70" s="108">
        <f t="shared" si="25"/>
        <v>1505000</v>
      </c>
      <c r="N70" s="108">
        <f t="shared" si="25"/>
        <v>2552000</v>
      </c>
      <c r="O70" s="108">
        <f t="shared" si="25"/>
        <v>1503000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4826000</v>
      </c>
      <c r="E72" s="114" t="s">
        <v>202</v>
      </c>
      <c r="F72" s="37">
        <f>ROUND($D72/12*3,-3)</f>
        <v>1207000</v>
      </c>
      <c r="G72" s="37">
        <f>ROUND($D72/12,-3)</f>
        <v>402000</v>
      </c>
      <c r="H72" s="37">
        <f t="shared" ref="H72:N75" si="26">ROUND($D72/12,-3)</f>
        <v>402000</v>
      </c>
      <c r="I72" s="37">
        <f t="shared" si="26"/>
        <v>402000</v>
      </c>
      <c r="J72" s="37">
        <f t="shared" si="26"/>
        <v>402000</v>
      </c>
      <c r="K72" s="37">
        <f t="shared" si="26"/>
        <v>402000</v>
      </c>
      <c r="L72" s="37">
        <f t="shared" si="26"/>
        <v>402000</v>
      </c>
      <c r="M72" s="37">
        <f t="shared" si="26"/>
        <v>402000</v>
      </c>
      <c r="N72" s="37">
        <f t="shared" si="26"/>
        <v>402000</v>
      </c>
      <c r="O72" s="37">
        <f>D72-SUM(F72:N72)</f>
        <v>403000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987000</v>
      </c>
      <c r="E75" s="114" t="s">
        <v>202</v>
      </c>
      <c r="F75" s="37">
        <f>ROUND($D75/12*3,-3)</f>
        <v>247000</v>
      </c>
      <c r="G75" s="37">
        <f>ROUND($D75/12,-3)</f>
        <v>82000</v>
      </c>
      <c r="H75" s="37">
        <f t="shared" si="26"/>
        <v>82000</v>
      </c>
      <c r="I75" s="37">
        <f t="shared" si="26"/>
        <v>82000</v>
      </c>
      <c r="J75" s="37">
        <f t="shared" si="26"/>
        <v>82000</v>
      </c>
      <c r="K75" s="37">
        <f t="shared" si="26"/>
        <v>82000</v>
      </c>
      <c r="L75" s="37">
        <f t="shared" si="26"/>
        <v>82000</v>
      </c>
      <c r="M75" s="37">
        <f t="shared" si="26"/>
        <v>82000</v>
      </c>
      <c r="N75" s="37">
        <f t="shared" si="26"/>
        <v>82000</v>
      </c>
      <c r="O75" s="37">
        <f>D75-SUM(F75:N75)</f>
        <v>84000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5813000</v>
      </c>
      <c r="E76" s="108"/>
      <c r="F76" s="108">
        <f>ROUND(SUM(F71:F75),-3)</f>
        <v>1454000</v>
      </c>
      <c r="G76" s="108">
        <f t="shared" ref="G76:N76" si="27">ROUND(SUM(G71:G75),-3)</f>
        <v>484000</v>
      </c>
      <c r="H76" s="108">
        <f t="shared" si="27"/>
        <v>484000</v>
      </c>
      <c r="I76" s="108">
        <f t="shared" si="27"/>
        <v>484000</v>
      </c>
      <c r="J76" s="108">
        <f t="shared" si="27"/>
        <v>484000</v>
      </c>
      <c r="K76" s="108">
        <f t="shared" si="27"/>
        <v>484000</v>
      </c>
      <c r="L76" s="108">
        <f t="shared" si="27"/>
        <v>484000</v>
      </c>
      <c r="M76" s="108">
        <f t="shared" si="27"/>
        <v>484000</v>
      </c>
      <c r="N76" s="108">
        <f t="shared" si="27"/>
        <v>484000</v>
      </c>
      <c r="O76" s="108">
        <f>D76-SUM(F76:N76)</f>
        <v>487000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53000</v>
      </c>
      <c r="E77" s="37" t="s">
        <v>681</v>
      </c>
      <c r="F77" s="224"/>
      <c r="G77" s="224"/>
      <c r="H77" s="224">
        <f>ROUND($D77/2,-3)</f>
        <v>27000</v>
      </c>
      <c r="I77" s="224"/>
      <c r="J77" s="224"/>
      <c r="K77" s="224"/>
      <c r="L77" s="224"/>
      <c r="M77" s="224"/>
      <c r="N77" s="224">
        <f>D77-H77</f>
        <v>26000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27453000</v>
      </c>
      <c r="E78" s="227"/>
      <c r="F78" s="227">
        <f>F76+F70+F77</f>
        <v>8157000</v>
      </c>
      <c r="G78" s="227">
        <f t="shared" ref="G78:Q78" si="29">G76+G70+G77</f>
        <v>1989000</v>
      </c>
      <c r="H78" s="227">
        <f t="shared" si="29"/>
        <v>2043000</v>
      </c>
      <c r="I78" s="227">
        <f t="shared" si="29"/>
        <v>2251000</v>
      </c>
      <c r="J78" s="227">
        <f t="shared" si="29"/>
        <v>1989000</v>
      </c>
      <c r="K78" s="227">
        <f t="shared" si="29"/>
        <v>1989000</v>
      </c>
      <c r="L78" s="227">
        <f t="shared" si="29"/>
        <v>1989000</v>
      </c>
      <c r="M78" s="227">
        <f t="shared" si="29"/>
        <v>1989000</v>
      </c>
      <c r="N78" s="227">
        <f t="shared" si="29"/>
        <v>3062000</v>
      </c>
      <c r="O78" s="227">
        <f t="shared" si="29"/>
        <v>1990000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100000</v>
      </c>
      <c r="E82" s="108" t="s">
        <v>195</v>
      </c>
      <c r="F82" s="108">
        <f t="shared" si="30"/>
        <v>100000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100000</v>
      </c>
      <c r="E83" s="116"/>
      <c r="F83" s="116">
        <f>SUM(F79:F82)</f>
        <v>100000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-200000</v>
      </c>
      <c r="E86" s="37"/>
      <c r="F86" s="37">
        <f>D86</f>
        <v>-200000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28911000</v>
      </c>
      <c r="E87" s="37"/>
      <c r="F87" s="37">
        <f>F88+F89+F90+F91</f>
        <v>8342000</v>
      </c>
      <c r="G87" s="37">
        <f t="shared" ref="G87:Q87" si="32">G88+G89+G90+G91</f>
        <v>2099000</v>
      </c>
      <c r="H87" s="37">
        <f t="shared" si="32"/>
        <v>2159000</v>
      </c>
      <c r="I87" s="37">
        <f t="shared" si="32"/>
        <v>2378000</v>
      </c>
      <c r="J87" s="37">
        <f t="shared" si="32"/>
        <v>2105000</v>
      </c>
      <c r="K87" s="37">
        <f t="shared" si="32"/>
        <v>2109000</v>
      </c>
      <c r="L87" s="37">
        <f t="shared" si="32"/>
        <v>2174000</v>
      </c>
      <c r="M87" s="37">
        <f t="shared" si="32"/>
        <v>2105000</v>
      </c>
      <c r="N87" s="37">
        <f t="shared" si="32"/>
        <v>3182000</v>
      </c>
      <c r="O87" s="37">
        <f t="shared" si="32"/>
        <v>2105000</v>
      </c>
      <c r="P87" s="37">
        <f t="shared" si="32"/>
        <v>78000</v>
      </c>
      <c r="Q87" s="37">
        <f t="shared" si="32"/>
        <v>75000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5000</v>
      </c>
      <c r="E88" s="108" t="s">
        <v>193</v>
      </c>
      <c r="F88" s="108">
        <f>ROUND($D88/2,-3)</f>
        <v>3000</v>
      </c>
      <c r="G88" s="108"/>
      <c r="H88" s="108"/>
      <c r="I88" s="108"/>
      <c r="J88" s="108"/>
      <c r="K88" s="108"/>
      <c r="L88" s="108">
        <f>D88-F88</f>
        <v>2000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28905000</v>
      </c>
      <c r="E91" s="108"/>
      <c r="F91" s="108">
        <f>F92+F93+F94+F95</f>
        <v>8339000</v>
      </c>
      <c r="G91" s="108">
        <f t="shared" ref="G91:Q91" si="34">G92+G93+G94+G95</f>
        <v>2099000</v>
      </c>
      <c r="H91" s="108">
        <f t="shared" si="34"/>
        <v>2159000</v>
      </c>
      <c r="I91" s="108">
        <f t="shared" si="34"/>
        <v>2378000</v>
      </c>
      <c r="J91" s="108">
        <f t="shared" si="34"/>
        <v>2105000</v>
      </c>
      <c r="K91" s="108">
        <f t="shared" si="34"/>
        <v>2109000</v>
      </c>
      <c r="L91" s="108">
        <f t="shared" si="34"/>
        <v>2172000</v>
      </c>
      <c r="M91" s="108">
        <f t="shared" si="34"/>
        <v>2105000</v>
      </c>
      <c r="N91" s="108">
        <f t="shared" si="34"/>
        <v>3182000</v>
      </c>
      <c r="O91" s="108">
        <f t="shared" si="34"/>
        <v>2105000</v>
      </c>
      <c r="P91" s="108">
        <f t="shared" si="34"/>
        <v>78000</v>
      </c>
      <c r="Q91" s="108">
        <f t="shared" si="34"/>
        <v>74000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2965000</v>
      </c>
      <c r="E92" s="114" t="s">
        <v>537</v>
      </c>
      <c r="F92" s="37">
        <f>ROUND($D92/12*5,-3)</f>
        <v>1235000</v>
      </c>
      <c r="G92" s="37">
        <f>ROUND($D92/12,-3)</f>
        <v>247000</v>
      </c>
      <c r="H92" s="37">
        <f t="shared" ref="H92:L92" si="35">ROUND($D92/12,-3)</f>
        <v>247000</v>
      </c>
      <c r="I92" s="37">
        <f t="shared" si="35"/>
        <v>247000</v>
      </c>
      <c r="J92" s="37">
        <f t="shared" si="35"/>
        <v>247000</v>
      </c>
      <c r="K92" s="37">
        <f t="shared" si="35"/>
        <v>247000</v>
      </c>
      <c r="L92" s="37">
        <f t="shared" si="35"/>
        <v>247000</v>
      </c>
      <c r="M92" s="37">
        <f>D92-SUM(F92:L92)</f>
        <v>248000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28000</v>
      </c>
      <c r="E94" s="190" t="s">
        <v>229</v>
      </c>
      <c r="F94" s="37"/>
      <c r="G94" s="37"/>
      <c r="H94" s="37">
        <f>ROUND($D94/2,-3)</f>
        <v>14000</v>
      </c>
      <c r="I94" s="37"/>
      <c r="J94" s="37"/>
      <c r="K94" s="37"/>
      <c r="L94" s="37"/>
      <c r="M94" s="37"/>
      <c r="N94" s="37"/>
      <c r="O94" s="37">
        <f>D94-H94</f>
        <v>14000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25822000</v>
      </c>
      <c r="E95" s="37"/>
      <c r="F95" s="37">
        <f>F2+F86-F88-F89-F90-F92-F93-F94</f>
        <v>7096000</v>
      </c>
      <c r="G95" s="37">
        <f t="shared" ref="G95:Q95" si="37">G2-G88-G89-G90-G92-G93-G94</f>
        <v>1844000</v>
      </c>
      <c r="H95" s="37">
        <f t="shared" si="37"/>
        <v>1890000</v>
      </c>
      <c r="I95" s="37">
        <f t="shared" si="37"/>
        <v>2123000</v>
      </c>
      <c r="J95" s="37">
        <f t="shared" si="37"/>
        <v>1850000</v>
      </c>
      <c r="K95" s="37">
        <f t="shared" si="37"/>
        <v>1854000</v>
      </c>
      <c r="L95" s="37">
        <f t="shared" si="37"/>
        <v>1917000</v>
      </c>
      <c r="M95" s="37">
        <f t="shared" si="37"/>
        <v>1849000</v>
      </c>
      <c r="N95" s="37">
        <f t="shared" si="37"/>
        <v>3174000</v>
      </c>
      <c r="O95" s="37">
        <f t="shared" si="37"/>
        <v>2083000</v>
      </c>
      <c r="P95" s="37">
        <f t="shared" si="37"/>
        <v>70000</v>
      </c>
      <c r="Q95" s="37">
        <f t="shared" si="37"/>
        <v>72000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1300000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0</v>
      </c>
    </row>
    <row r="104" spans="2:17" ht="32.4">
      <c r="B104" s="76" t="s">
        <v>240</v>
      </c>
      <c r="D104" s="30">
        <f>HLOOKUP(D1,[1]縣庫撥款收入明細表!H:DD,18,FALSE)</f>
        <v>28000</v>
      </c>
    </row>
    <row r="105" spans="2:17" ht="32.4">
      <c r="B105" s="72" t="s">
        <v>380</v>
      </c>
      <c r="D105" s="30">
        <f>HLOOKUP(D1,[1]縣庫撥款收入明細表!H:DD,19,FALSE)</f>
        <v>650000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25822000</v>
      </c>
    </row>
    <row r="108" spans="2:17" ht="16.5" customHeight="1"/>
    <row r="109" spans="2:17" ht="16.5" customHeight="1">
      <c r="B109" s="4" t="s">
        <v>682</v>
      </c>
      <c r="D109" s="30">
        <f>D91-D76</f>
        <v>23092000</v>
      </c>
      <c r="F109" s="30">
        <f>F91-F76</f>
        <v>6885000</v>
      </c>
      <c r="G109" s="30">
        <f t="shared" ref="G109:Q109" si="38">G91-G76</f>
        <v>1615000</v>
      </c>
      <c r="H109" s="30">
        <f t="shared" si="38"/>
        <v>1675000</v>
      </c>
      <c r="I109" s="30">
        <f t="shared" si="38"/>
        <v>1894000</v>
      </c>
      <c r="J109" s="30">
        <f t="shared" si="38"/>
        <v>1621000</v>
      </c>
      <c r="K109" s="30">
        <f t="shared" si="38"/>
        <v>1625000</v>
      </c>
      <c r="L109" s="30">
        <f t="shared" si="38"/>
        <v>1688000</v>
      </c>
      <c r="M109" s="30">
        <f t="shared" si="38"/>
        <v>1621000</v>
      </c>
      <c r="N109" s="30">
        <f t="shared" si="38"/>
        <v>2698000</v>
      </c>
      <c r="O109" s="30">
        <f t="shared" si="38"/>
        <v>1618000</v>
      </c>
      <c r="P109" s="30">
        <f t="shared" si="38"/>
        <v>78000</v>
      </c>
      <c r="Q109" s="30">
        <f t="shared" si="38"/>
        <v>74000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24" priority="1" operator="lessThan">
      <formula>0</formula>
    </cfRule>
  </conditionalFormatting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topLeftCell="A103"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645</v>
      </c>
      <c r="D1" s="28" t="str">
        <f>VLOOKUP(C1,[1]學校編號!A:B,2,FALSE)</f>
        <v>645大進國小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30401000</v>
      </c>
      <c r="E2" s="37"/>
      <c r="F2" s="37">
        <f>F48+F70+F76+F77+F83</f>
        <v>8628000</v>
      </c>
      <c r="G2" s="37">
        <f t="shared" ref="G2:Q2" si="0">G48+G70+G76+G77+G83</f>
        <v>2206000</v>
      </c>
      <c r="H2" s="37">
        <f t="shared" si="0"/>
        <v>2286000</v>
      </c>
      <c r="I2" s="37">
        <f t="shared" si="0"/>
        <v>2532000</v>
      </c>
      <c r="J2" s="37">
        <f t="shared" si="0"/>
        <v>2212000</v>
      </c>
      <c r="K2" s="37">
        <f t="shared" si="0"/>
        <v>2218000</v>
      </c>
      <c r="L2" s="37">
        <f t="shared" si="0"/>
        <v>2235000</v>
      </c>
      <c r="M2" s="37">
        <f t="shared" si="0"/>
        <v>2212000</v>
      </c>
      <c r="N2" s="37">
        <f t="shared" si="0"/>
        <v>3513000</v>
      </c>
      <c r="O2" s="37">
        <f t="shared" si="0"/>
        <v>2212000</v>
      </c>
      <c r="P2" s="37">
        <f t="shared" si="0"/>
        <v>79000</v>
      </c>
      <c r="Q2" s="37">
        <f t="shared" si="0"/>
        <v>68000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153000</v>
      </c>
      <c r="E3" s="37" t="s">
        <v>525</v>
      </c>
      <c r="F3" s="37">
        <f t="shared" ref="F3:P17" si="1">ROUND($D3/12,0)</f>
        <v>12750</v>
      </c>
      <c r="G3" s="37">
        <f t="shared" si="1"/>
        <v>12750</v>
      </c>
      <c r="H3" s="37">
        <f t="shared" si="1"/>
        <v>12750</v>
      </c>
      <c r="I3" s="37">
        <f t="shared" si="1"/>
        <v>12750</v>
      </c>
      <c r="J3" s="37">
        <f t="shared" si="1"/>
        <v>12750</v>
      </c>
      <c r="K3" s="37">
        <f t="shared" si="1"/>
        <v>12750</v>
      </c>
      <c r="L3" s="37">
        <f t="shared" si="1"/>
        <v>12750</v>
      </c>
      <c r="M3" s="37">
        <f t="shared" si="1"/>
        <v>12750</v>
      </c>
      <c r="N3" s="37">
        <f t="shared" si="1"/>
        <v>12750</v>
      </c>
      <c r="O3" s="37">
        <f t="shared" si="1"/>
        <v>12750</v>
      </c>
      <c r="P3" s="37">
        <f t="shared" si="1"/>
        <v>12750</v>
      </c>
      <c r="Q3" s="37">
        <f t="shared" ref="Q3:Q10" si="2">D3-SUM(F3:P3)</f>
        <v>12750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66000</v>
      </c>
      <c r="E4" s="37" t="s">
        <v>525</v>
      </c>
      <c r="F4" s="37">
        <f t="shared" si="1"/>
        <v>5500</v>
      </c>
      <c r="G4" s="37">
        <f t="shared" si="1"/>
        <v>5500</v>
      </c>
      <c r="H4" s="37">
        <f t="shared" si="1"/>
        <v>5500</v>
      </c>
      <c r="I4" s="37">
        <f t="shared" si="1"/>
        <v>5500</v>
      </c>
      <c r="J4" s="37">
        <f t="shared" si="1"/>
        <v>5500</v>
      </c>
      <c r="K4" s="37">
        <f t="shared" si="1"/>
        <v>5500</v>
      </c>
      <c r="L4" s="37">
        <f t="shared" si="1"/>
        <v>5500</v>
      </c>
      <c r="M4" s="37">
        <f t="shared" si="1"/>
        <v>5500</v>
      </c>
      <c r="N4" s="37">
        <f t="shared" si="1"/>
        <v>5500</v>
      </c>
      <c r="O4" s="37">
        <f t="shared" si="1"/>
        <v>5500</v>
      </c>
      <c r="P4" s="37">
        <f t="shared" si="1"/>
        <v>5500</v>
      </c>
      <c r="Q4" s="37">
        <f t="shared" si="2"/>
        <v>5500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65000</v>
      </c>
      <c r="E7" s="37" t="s">
        <v>525</v>
      </c>
      <c r="F7" s="37">
        <f t="shared" si="1"/>
        <v>5417</v>
      </c>
      <c r="G7" s="37">
        <f t="shared" si="1"/>
        <v>5417</v>
      </c>
      <c r="H7" s="37">
        <f t="shared" si="1"/>
        <v>5417</v>
      </c>
      <c r="I7" s="37">
        <f t="shared" si="1"/>
        <v>5417</v>
      </c>
      <c r="J7" s="37">
        <f t="shared" si="1"/>
        <v>5417</v>
      </c>
      <c r="K7" s="37">
        <f t="shared" si="1"/>
        <v>5417</v>
      </c>
      <c r="L7" s="37">
        <f t="shared" si="1"/>
        <v>5417</v>
      </c>
      <c r="M7" s="37">
        <f t="shared" si="1"/>
        <v>5417</v>
      </c>
      <c r="N7" s="37">
        <f t="shared" si="1"/>
        <v>5417</v>
      </c>
      <c r="O7" s="37">
        <f t="shared" si="1"/>
        <v>5417</v>
      </c>
      <c r="P7" s="37">
        <f t="shared" si="1"/>
        <v>5417</v>
      </c>
      <c r="Q7" s="37">
        <f t="shared" si="2"/>
        <v>5413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26000</v>
      </c>
      <c r="E10" s="37" t="s">
        <v>525</v>
      </c>
      <c r="F10" s="37">
        <f t="shared" si="1"/>
        <v>2167</v>
      </c>
      <c r="G10" s="37">
        <f t="shared" si="1"/>
        <v>2167</v>
      </c>
      <c r="H10" s="37">
        <f t="shared" si="1"/>
        <v>2167</v>
      </c>
      <c r="I10" s="37">
        <f t="shared" si="1"/>
        <v>2167</v>
      </c>
      <c r="J10" s="37">
        <f t="shared" si="1"/>
        <v>2167</v>
      </c>
      <c r="K10" s="37">
        <f t="shared" si="1"/>
        <v>2167</v>
      </c>
      <c r="L10" s="37">
        <f t="shared" si="1"/>
        <v>2167</v>
      </c>
      <c r="M10" s="37">
        <f t="shared" si="1"/>
        <v>2167</v>
      </c>
      <c r="N10" s="37">
        <f t="shared" si="1"/>
        <v>2167</v>
      </c>
      <c r="O10" s="37">
        <f t="shared" si="1"/>
        <v>2167</v>
      </c>
      <c r="P10" s="37">
        <f t="shared" si="1"/>
        <v>2167</v>
      </c>
      <c r="Q10" s="37">
        <f t="shared" si="2"/>
        <v>2163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23000</v>
      </c>
      <c r="E11" s="37" t="s">
        <v>195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514000</v>
      </c>
      <c r="E12" s="113" t="s">
        <v>202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41000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157000</v>
      </c>
      <c r="E13" s="37" t="s">
        <v>525</v>
      </c>
      <c r="F13" s="37">
        <f>ROUND($D13/12,0)</f>
        <v>13083</v>
      </c>
      <c r="G13" s="37">
        <f t="shared" si="1"/>
        <v>13083</v>
      </c>
      <c r="H13" s="37">
        <f t="shared" si="1"/>
        <v>13083</v>
      </c>
      <c r="I13" s="37">
        <f t="shared" si="1"/>
        <v>13083</v>
      </c>
      <c r="J13" s="37">
        <f t="shared" si="1"/>
        <v>13083</v>
      </c>
      <c r="K13" s="37">
        <f t="shared" si="1"/>
        <v>13083</v>
      </c>
      <c r="L13" s="37">
        <f t="shared" si="1"/>
        <v>13083</v>
      </c>
      <c r="M13" s="37">
        <f t="shared" si="1"/>
        <v>13083</v>
      </c>
      <c r="N13" s="37">
        <f t="shared" si="1"/>
        <v>13083</v>
      </c>
      <c r="O13" s="37">
        <f t="shared" si="1"/>
        <v>13083</v>
      </c>
      <c r="P13" s="37">
        <f t="shared" si="1"/>
        <v>13083</v>
      </c>
      <c r="Q13" s="37">
        <f>D13-SUM(F13:P13)</f>
        <v>13087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34000</v>
      </c>
      <c r="E15" s="37" t="s">
        <v>193</v>
      </c>
      <c r="F15" s="37">
        <f>ROUND($D15/2,-3)</f>
        <v>17000</v>
      </c>
      <c r="G15" s="37"/>
      <c r="H15" s="37"/>
      <c r="I15" s="37"/>
      <c r="J15" s="37"/>
      <c r="K15" s="37"/>
      <c r="L15" s="37">
        <f>D15-F15</f>
        <v>17000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0</v>
      </c>
      <c r="E16" s="37" t="s">
        <v>525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44000</v>
      </c>
      <c r="E17" s="37" t="s">
        <v>525</v>
      </c>
      <c r="F17" s="37">
        <f>ROUND($D17/12,0)</f>
        <v>3667</v>
      </c>
      <c r="G17" s="37">
        <f t="shared" si="1"/>
        <v>3667</v>
      </c>
      <c r="H17" s="37">
        <f t="shared" si="1"/>
        <v>3667</v>
      </c>
      <c r="I17" s="37">
        <f t="shared" si="1"/>
        <v>3667</v>
      </c>
      <c r="J17" s="37">
        <f t="shared" si="1"/>
        <v>3667</v>
      </c>
      <c r="K17" s="37">
        <f t="shared" si="1"/>
        <v>3667</v>
      </c>
      <c r="L17" s="37">
        <f t="shared" si="1"/>
        <v>3667</v>
      </c>
      <c r="M17" s="37">
        <f t="shared" si="1"/>
        <v>3667</v>
      </c>
      <c r="N17" s="37">
        <f t="shared" si="1"/>
        <v>3667</v>
      </c>
      <c r="O17" s="37">
        <f t="shared" si="1"/>
        <v>3667</v>
      </c>
      <c r="P17" s="37">
        <f t="shared" si="1"/>
        <v>3667</v>
      </c>
      <c r="Q17" s="37">
        <f>D17-SUM(F17:P17)</f>
        <v>3663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15000</v>
      </c>
      <c r="E24" s="37" t="s">
        <v>193</v>
      </c>
      <c r="F24" s="37">
        <f>ROUND($D24/2,-3)</f>
        <v>8000</v>
      </c>
      <c r="G24" s="37"/>
      <c r="H24" s="37"/>
      <c r="I24" s="37"/>
      <c r="J24" s="37"/>
      <c r="K24" s="37"/>
      <c r="L24" s="37">
        <f>D24-F24</f>
        <v>7000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1097000</v>
      </c>
      <c r="E25" s="108"/>
      <c r="F25" s="108">
        <f>ROUND(SUM(F3:F24),-3)</f>
        <v>220000</v>
      </c>
      <c r="G25" s="108">
        <f t="shared" ref="G25:P25" si="5">ROUND(SUM(G3:G24),-3)</f>
        <v>86000</v>
      </c>
      <c r="H25" s="108">
        <f t="shared" si="5"/>
        <v>86000</v>
      </c>
      <c r="I25" s="108">
        <f t="shared" si="5"/>
        <v>86000</v>
      </c>
      <c r="J25" s="108">
        <f t="shared" si="5"/>
        <v>86000</v>
      </c>
      <c r="K25" s="108">
        <f t="shared" si="5"/>
        <v>86000</v>
      </c>
      <c r="L25" s="108">
        <f t="shared" si="5"/>
        <v>110000</v>
      </c>
      <c r="M25" s="108">
        <f t="shared" si="5"/>
        <v>86000</v>
      </c>
      <c r="N25" s="108">
        <f t="shared" si="5"/>
        <v>86000</v>
      </c>
      <c r="O25" s="108">
        <f t="shared" si="5"/>
        <v>84000</v>
      </c>
      <c r="P25" s="108">
        <f t="shared" si="5"/>
        <v>43000</v>
      </c>
      <c r="Q25" s="108">
        <f t="shared" ref="Q25:Q33" si="6">D25-SUM(F25:P25)</f>
        <v>38000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63000</v>
      </c>
      <c r="E26" s="114" t="s">
        <v>204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9000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254000</v>
      </c>
      <c r="E27" s="37" t="s">
        <v>525</v>
      </c>
      <c r="F27" s="37">
        <f t="shared" ref="F27:P33" si="8">ROUND($D27/12,0)</f>
        <v>21167</v>
      </c>
      <c r="G27" s="37">
        <f t="shared" si="8"/>
        <v>21167</v>
      </c>
      <c r="H27" s="37">
        <f t="shared" si="8"/>
        <v>21167</v>
      </c>
      <c r="I27" s="37">
        <f t="shared" si="8"/>
        <v>21167</v>
      </c>
      <c r="J27" s="37">
        <f t="shared" si="8"/>
        <v>21167</v>
      </c>
      <c r="K27" s="37">
        <f t="shared" si="8"/>
        <v>21167</v>
      </c>
      <c r="L27" s="37">
        <f t="shared" si="8"/>
        <v>21167</v>
      </c>
      <c r="M27" s="37">
        <f t="shared" si="8"/>
        <v>21167</v>
      </c>
      <c r="N27" s="37">
        <f t="shared" si="8"/>
        <v>21167</v>
      </c>
      <c r="O27" s="37">
        <f t="shared" si="8"/>
        <v>21167</v>
      </c>
      <c r="P27" s="37">
        <f t="shared" si="8"/>
        <v>21167</v>
      </c>
      <c r="Q27" s="37">
        <f t="shared" si="6"/>
        <v>21163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21000</v>
      </c>
      <c r="E29" s="37" t="s">
        <v>525</v>
      </c>
      <c r="F29" s="37">
        <f t="shared" si="8"/>
        <v>1750</v>
      </c>
      <c r="G29" s="37">
        <f t="shared" si="8"/>
        <v>1750</v>
      </c>
      <c r="H29" s="37">
        <f t="shared" si="8"/>
        <v>1750</v>
      </c>
      <c r="I29" s="37">
        <f t="shared" si="8"/>
        <v>1750</v>
      </c>
      <c r="J29" s="37">
        <f t="shared" si="8"/>
        <v>1750</v>
      </c>
      <c r="K29" s="37">
        <f t="shared" si="8"/>
        <v>1750</v>
      </c>
      <c r="L29" s="37">
        <f t="shared" si="8"/>
        <v>1750</v>
      </c>
      <c r="M29" s="37">
        <f t="shared" si="8"/>
        <v>1750</v>
      </c>
      <c r="N29" s="37">
        <f t="shared" si="8"/>
        <v>1750</v>
      </c>
      <c r="O29" s="37">
        <f t="shared" si="8"/>
        <v>1750</v>
      </c>
      <c r="P29" s="37">
        <f t="shared" si="8"/>
        <v>1750</v>
      </c>
      <c r="Q29" s="37">
        <f t="shared" si="6"/>
        <v>1750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22000</v>
      </c>
      <c r="E30" s="37" t="s">
        <v>525</v>
      </c>
      <c r="F30" s="37">
        <f t="shared" si="8"/>
        <v>1833</v>
      </c>
      <c r="G30" s="37">
        <f t="shared" si="8"/>
        <v>1833</v>
      </c>
      <c r="H30" s="37">
        <f t="shared" si="8"/>
        <v>1833</v>
      </c>
      <c r="I30" s="37">
        <f t="shared" si="8"/>
        <v>1833</v>
      </c>
      <c r="J30" s="37">
        <f t="shared" si="8"/>
        <v>1833</v>
      </c>
      <c r="K30" s="37">
        <f t="shared" si="8"/>
        <v>1833</v>
      </c>
      <c r="L30" s="37">
        <f t="shared" si="8"/>
        <v>1833</v>
      </c>
      <c r="M30" s="37">
        <f t="shared" si="8"/>
        <v>1833</v>
      </c>
      <c r="N30" s="37">
        <f t="shared" si="8"/>
        <v>1833</v>
      </c>
      <c r="O30" s="37">
        <f t="shared" si="8"/>
        <v>1833</v>
      </c>
      <c r="P30" s="37">
        <f t="shared" si="8"/>
        <v>1833</v>
      </c>
      <c r="Q30" s="37">
        <f t="shared" si="6"/>
        <v>1837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11000</v>
      </c>
      <c r="E31" s="37" t="s">
        <v>525</v>
      </c>
      <c r="F31" s="37">
        <f t="shared" si="8"/>
        <v>917</v>
      </c>
      <c r="G31" s="37">
        <f t="shared" si="8"/>
        <v>917</v>
      </c>
      <c r="H31" s="37">
        <f t="shared" si="8"/>
        <v>917</v>
      </c>
      <c r="I31" s="37">
        <f t="shared" si="8"/>
        <v>917</v>
      </c>
      <c r="J31" s="37">
        <f t="shared" si="8"/>
        <v>917</v>
      </c>
      <c r="K31" s="37">
        <f t="shared" si="8"/>
        <v>917</v>
      </c>
      <c r="L31" s="37">
        <f t="shared" si="8"/>
        <v>917</v>
      </c>
      <c r="M31" s="37">
        <f t="shared" si="8"/>
        <v>917</v>
      </c>
      <c r="N31" s="37">
        <f t="shared" si="8"/>
        <v>917</v>
      </c>
      <c r="O31" s="37">
        <f t="shared" si="8"/>
        <v>917</v>
      </c>
      <c r="P31" s="37">
        <f t="shared" si="8"/>
        <v>917</v>
      </c>
      <c r="Q31" s="37">
        <f t="shared" si="6"/>
        <v>913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371000</v>
      </c>
      <c r="E37" s="108"/>
      <c r="F37" s="108">
        <f t="shared" ref="F37:P37" si="9">ROUND(SUM(F26:F36),-3)</f>
        <v>32000</v>
      </c>
      <c r="G37" s="108">
        <f t="shared" si="9"/>
        <v>26000</v>
      </c>
      <c r="H37" s="108">
        <f t="shared" si="9"/>
        <v>32000</v>
      </c>
      <c r="I37" s="108">
        <f t="shared" si="9"/>
        <v>32000</v>
      </c>
      <c r="J37" s="108">
        <f t="shared" si="9"/>
        <v>32000</v>
      </c>
      <c r="K37" s="108">
        <f t="shared" si="9"/>
        <v>32000</v>
      </c>
      <c r="L37" s="108">
        <f t="shared" si="9"/>
        <v>26000</v>
      </c>
      <c r="M37" s="108">
        <f t="shared" si="9"/>
        <v>32000</v>
      </c>
      <c r="N37" s="108">
        <f t="shared" si="9"/>
        <v>32000</v>
      </c>
      <c r="O37" s="108">
        <f t="shared" si="9"/>
        <v>32000</v>
      </c>
      <c r="P37" s="108">
        <f t="shared" si="9"/>
        <v>32000</v>
      </c>
      <c r="Q37" s="108">
        <f>D37-SUM(F37:P37)</f>
        <v>31000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5000</v>
      </c>
      <c r="E42" s="37" t="s">
        <v>199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5000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11000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5000</v>
      </c>
      <c r="J45" s="108">
        <f t="shared" si="12"/>
        <v>0</v>
      </c>
      <c r="K45" s="108">
        <f t="shared" si="12"/>
        <v>0</v>
      </c>
      <c r="L45" s="108">
        <f t="shared" si="12"/>
        <v>5000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18000</v>
      </c>
      <c r="E46" s="37" t="s">
        <v>194</v>
      </c>
      <c r="F46" s="37">
        <f>ROUND($D46/3,0)</f>
        <v>6000</v>
      </c>
      <c r="G46" s="37"/>
      <c r="H46" s="37"/>
      <c r="I46" s="37"/>
      <c r="J46" s="37"/>
      <c r="K46" s="37">
        <f>ROUND($D46/3,0)</f>
        <v>6000</v>
      </c>
      <c r="L46" s="37"/>
      <c r="M46" s="37"/>
      <c r="N46" s="37">
        <f>ROUND($D46/3,0)</f>
        <v>6000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18000</v>
      </c>
      <c r="E47" s="108"/>
      <c r="F47" s="108">
        <f t="shared" ref="F47:P47" si="13">ROUND(SUM(F46),-3)</f>
        <v>6000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6000</v>
      </c>
      <c r="L47" s="108">
        <f t="shared" si="13"/>
        <v>0</v>
      </c>
      <c r="M47" s="108">
        <f t="shared" si="13"/>
        <v>0</v>
      </c>
      <c r="N47" s="108">
        <f t="shared" si="13"/>
        <v>6000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1497000</v>
      </c>
      <c r="E48" s="37"/>
      <c r="F48" s="115">
        <f>F25+F37+F45+F47</f>
        <v>259000</v>
      </c>
      <c r="G48" s="115">
        <f t="shared" ref="G48:R48" si="14">G25+G37+G45+G47</f>
        <v>112000</v>
      </c>
      <c r="H48" s="115">
        <f t="shared" si="14"/>
        <v>118000</v>
      </c>
      <c r="I48" s="115">
        <f t="shared" si="14"/>
        <v>123000</v>
      </c>
      <c r="J48" s="115">
        <f t="shared" si="14"/>
        <v>118000</v>
      </c>
      <c r="K48" s="115">
        <f t="shared" si="14"/>
        <v>124000</v>
      </c>
      <c r="L48" s="115">
        <f t="shared" si="14"/>
        <v>141000</v>
      </c>
      <c r="M48" s="115">
        <f t="shared" si="14"/>
        <v>118000</v>
      </c>
      <c r="N48" s="115">
        <f t="shared" si="14"/>
        <v>124000</v>
      </c>
      <c r="O48" s="115">
        <f t="shared" si="14"/>
        <v>116000</v>
      </c>
      <c r="P48" s="115">
        <f t="shared" si="14"/>
        <v>75000</v>
      </c>
      <c r="Q48" s="115">
        <f t="shared" si="14"/>
        <v>69000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12974000</v>
      </c>
      <c r="E49" s="114" t="s">
        <v>202</v>
      </c>
      <c r="F49" s="37">
        <f>ROUND($D49/12*3,-3)</f>
        <v>3244000</v>
      </c>
      <c r="G49" s="37">
        <f>ROUND($D49/12,-3)</f>
        <v>1081000</v>
      </c>
      <c r="H49" s="37">
        <f t="shared" ref="H49:N53" si="15">ROUND($D49/12,-3)</f>
        <v>1081000</v>
      </c>
      <c r="I49" s="37">
        <f t="shared" si="15"/>
        <v>1081000</v>
      </c>
      <c r="J49" s="37">
        <f t="shared" si="15"/>
        <v>1081000</v>
      </c>
      <c r="K49" s="37">
        <f t="shared" si="15"/>
        <v>1081000</v>
      </c>
      <c r="L49" s="37">
        <f t="shared" si="15"/>
        <v>1081000</v>
      </c>
      <c r="M49" s="37">
        <f t="shared" si="15"/>
        <v>1081000</v>
      </c>
      <c r="N49" s="37">
        <f t="shared" si="15"/>
        <v>1081000</v>
      </c>
      <c r="O49" s="37">
        <f>D49-SUM(F49:N49)</f>
        <v>1082000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406000</v>
      </c>
      <c r="E50" s="114" t="s">
        <v>202</v>
      </c>
      <c r="F50" s="37">
        <f t="shared" ref="F50:F53" si="16">ROUND($D50/12*3,-3)</f>
        <v>102000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si="15"/>
        <v>34000</v>
      </c>
      <c r="N50" s="37">
        <f t="shared" si="15"/>
        <v>34000</v>
      </c>
      <c r="O50" s="37">
        <f t="shared" ref="O50:O53" si="18">D50-SUM(F50:N50)</f>
        <v>32000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1960000</v>
      </c>
      <c r="E51" s="114" t="s">
        <v>202</v>
      </c>
      <c r="F51" s="37">
        <f t="shared" si="16"/>
        <v>490000</v>
      </c>
      <c r="G51" s="37">
        <f t="shared" si="17"/>
        <v>163000</v>
      </c>
      <c r="H51" s="37">
        <f t="shared" si="15"/>
        <v>163000</v>
      </c>
      <c r="I51" s="37">
        <f t="shared" si="15"/>
        <v>163000</v>
      </c>
      <c r="J51" s="37">
        <f t="shared" si="15"/>
        <v>163000</v>
      </c>
      <c r="K51" s="37">
        <f t="shared" si="15"/>
        <v>163000</v>
      </c>
      <c r="L51" s="37">
        <f t="shared" si="15"/>
        <v>163000</v>
      </c>
      <c r="M51" s="37">
        <f t="shared" si="15"/>
        <v>163000</v>
      </c>
      <c r="N51" s="37">
        <f t="shared" si="15"/>
        <v>163000</v>
      </c>
      <c r="O51" s="37">
        <f t="shared" si="18"/>
        <v>166000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36000</v>
      </c>
      <c r="E54" s="37" t="s">
        <v>525</v>
      </c>
      <c r="F54" s="37">
        <f t="shared" ref="F54:P61" si="19">ROUND($D54/12,0)</f>
        <v>3000</v>
      </c>
      <c r="G54" s="37">
        <f t="shared" si="19"/>
        <v>3000</v>
      </c>
      <c r="H54" s="37">
        <f t="shared" si="19"/>
        <v>3000</v>
      </c>
      <c r="I54" s="37">
        <f t="shared" si="19"/>
        <v>3000</v>
      </c>
      <c r="J54" s="37">
        <f t="shared" si="19"/>
        <v>3000</v>
      </c>
      <c r="K54" s="37">
        <f t="shared" si="19"/>
        <v>3000</v>
      </c>
      <c r="L54" s="37">
        <f t="shared" si="19"/>
        <v>3000</v>
      </c>
      <c r="M54" s="37">
        <f t="shared" si="19"/>
        <v>3000</v>
      </c>
      <c r="N54" s="37">
        <f t="shared" si="19"/>
        <v>3000</v>
      </c>
      <c r="O54" s="37">
        <f t="shared" si="19"/>
        <v>3000</v>
      </c>
      <c r="P54" s="37">
        <f t="shared" si="19"/>
        <v>3000</v>
      </c>
      <c r="Q54" s="37">
        <f t="shared" ref="Q54:Q61" si="20">D54-SUM(F54:P54)</f>
        <v>3000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0</v>
      </c>
      <c r="E59" s="37" t="s">
        <v>525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315000</v>
      </c>
      <c r="E60" s="37" t="s">
        <v>195</v>
      </c>
      <c r="F60" s="37">
        <f>D60</f>
        <v>315000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7000</v>
      </c>
      <c r="E61" s="37" t="s">
        <v>525</v>
      </c>
      <c r="F61" s="37">
        <f t="shared" si="19"/>
        <v>583</v>
      </c>
      <c r="G61" s="37">
        <f t="shared" si="19"/>
        <v>583</v>
      </c>
      <c r="H61" s="37">
        <f t="shared" si="19"/>
        <v>583</v>
      </c>
      <c r="I61" s="37">
        <f t="shared" si="19"/>
        <v>583</v>
      </c>
      <c r="J61" s="37">
        <f t="shared" si="19"/>
        <v>583</v>
      </c>
      <c r="K61" s="37">
        <f t="shared" si="19"/>
        <v>583</v>
      </c>
      <c r="L61" s="37">
        <f t="shared" si="19"/>
        <v>583</v>
      </c>
      <c r="M61" s="37">
        <f t="shared" si="19"/>
        <v>583</v>
      </c>
      <c r="N61" s="37">
        <f t="shared" si="19"/>
        <v>583</v>
      </c>
      <c r="O61" s="37">
        <f t="shared" si="19"/>
        <v>583</v>
      </c>
      <c r="P61" s="37">
        <f t="shared" si="19"/>
        <v>583</v>
      </c>
      <c r="Q61" s="37">
        <f t="shared" si="20"/>
        <v>587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1573000</v>
      </c>
      <c r="E62" s="37" t="s">
        <v>197</v>
      </c>
      <c r="F62" s="37"/>
      <c r="G62" s="37"/>
      <c r="H62" s="37"/>
      <c r="I62" s="37">
        <f>ROUND($D62/5,-3)</f>
        <v>315000</v>
      </c>
      <c r="J62" s="37"/>
      <c r="K62" s="37"/>
      <c r="L62" s="37"/>
      <c r="M62" s="37"/>
      <c r="N62" s="37">
        <f>D62-I62</f>
        <v>1258000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1647000</v>
      </c>
      <c r="E63" s="37" t="s">
        <v>195</v>
      </c>
      <c r="F63" s="37">
        <f>D63</f>
        <v>1647000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1322000</v>
      </c>
      <c r="E64" s="114" t="s">
        <v>202</v>
      </c>
      <c r="F64" s="37">
        <f>ROUND($D64/12*3,-3)</f>
        <v>331000</v>
      </c>
      <c r="G64" s="37">
        <f>ROUND($D64/12,-3)</f>
        <v>110000</v>
      </c>
      <c r="H64" s="37">
        <f t="shared" ref="H64:N66" si="21">ROUND($D64/12,-3)</f>
        <v>110000</v>
      </c>
      <c r="I64" s="37">
        <f t="shared" si="21"/>
        <v>110000</v>
      </c>
      <c r="J64" s="37">
        <f t="shared" si="21"/>
        <v>110000</v>
      </c>
      <c r="K64" s="37">
        <f t="shared" si="21"/>
        <v>110000</v>
      </c>
      <c r="L64" s="37">
        <f t="shared" si="21"/>
        <v>110000</v>
      </c>
      <c r="M64" s="37">
        <f t="shared" si="21"/>
        <v>110000</v>
      </c>
      <c r="N64" s="37">
        <f t="shared" si="21"/>
        <v>110000</v>
      </c>
      <c r="O64" s="37">
        <f>D64-SUM(F64:N64)</f>
        <v>111000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289000</v>
      </c>
      <c r="E65" s="114" t="s">
        <v>202</v>
      </c>
      <c r="F65" s="37">
        <f t="shared" ref="F65:F66" si="22">ROUND($D65/12*3,-3)</f>
        <v>72000</v>
      </c>
      <c r="G65" s="37">
        <f t="shared" ref="G65:G66" si="23">ROUND($D65/12,-3)</f>
        <v>24000</v>
      </c>
      <c r="H65" s="37">
        <f t="shared" si="21"/>
        <v>24000</v>
      </c>
      <c r="I65" s="37">
        <f t="shared" si="21"/>
        <v>24000</v>
      </c>
      <c r="J65" s="37">
        <f t="shared" si="21"/>
        <v>24000</v>
      </c>
      <c r="K65" s="37">
        <f t="shared" si="21"/>
        <v>24000</v>
      </c>
      <c r="L65" s="37">
        <f t="shared" si="21"/>
        <v>24000</v>
      </c>
      <c r="M65" s="37">
        <f t="shared" si="21"/>
        <v>24000</v>
      </c>
      <c r="N65" s="37">
        <f t="shared" si="21"/>
        <v>24000</v>
      </c>
      <c r="O65" s="37">
        <f t="shared" ref="O65:O66" si="24">D65-SUM(F65:N65)</f>
        <v>25000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1077000</v>
      </c>
      <c r="E66" s="114" t="s">
        <v>202</v>
      </c>
      <c r="F66" s="37">
        <f t="shared" si="22"/>
        <v>269000</v>
      </c>
      <c r="G66" s="37">
        <f t="shared" si="23"/>
        <v>90000</v>
      </c>
      <c r="H66" s="37">
        <f t="shared" si="21"/>
        <v>90000</v>
      </c>
      <c r="I66" s="37">
        <f t="shared" si="21"/>
        <v>90000</v>
      </c>
      <c r="J66" s="37">
        <f t="shared" si="21"/>
        <v>90000</v>
      </c>
      <c r="K66" s="37">
        <f t="shared" si="21"/>
        <v>90000</v>
      </c>
      <c r="L66" s="37">
        <f t="shared" si="21"/>
        <v>90000</v>
      </c>
      <c r="M66" s="37">
        <f t="shared" si="21"/>
        <v>90000</v>
      </c>
      <c r="N66" s="37">
        <f t="shared" si="21"/>
        <v>90000</v>
      </c>
      <c r="O66" s="37">
        <f t="shared" si="24"/>
        <v>88000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36000</v>
      </c>
      <c r="E67" s="37" t="s">
        <v>196</v>
      </c>
      <c r="F67" s="37"/>
      <c r="G67" s="37"/>
      <c r="H67" s="37">
        <f>D67</f>
        <v>36000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131000</v>
      </c>
      <c r="E68" s="37" t="s">
        <v>195</v>
      </c>
      <c r="F68" s="37">
        <f>D68</f>
        <v>131000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22038000</v>
      </c>
      <c r="E70" s="108"/>
      <c r="F70" s="108">
        <f t="shared" ref="F70:P70" si="25">ROUND(SUM(F49:F69),-3)</f>
        <v>6671000</v>
      </c>
      <c r="G70" s="108">
        <f t="shared" si="25"/>
        <v>1528000</v>
      </c>
      <c r="H70" s="108">
        <f t="shared" si="25"/>
        <v>1564000</v>
      </c>
      <c r="I70" s="108">
        <f t="shared" si="25"/>
        <v>1843000</v>
      </c>
      <c r="J70" s="108">
        <f t="shared" si="25"/>
        <v>1528000</v>
      </c>
      <c r="K70" s="108">
        <f t="shared" si="25"/>
        <v>1528000</v>
      </c>
      <c r="L70" s="108">
        <f t="shared" si="25"/>
        <v>1528000</v>
      </c>
      <c r="M70" s="108">
        <f t="shared" si="25"/>
        <v>1528000</v>
      </c>
      <c r="N70" s="108">
        <f t="shared" si="25"/>
        <v>2786000</v>
      </c>
      <c r="O70" s="108">
        <f t="shared" si="25"/>
        <v>1531000</v>
      </c>
      <c r="P70" s="108">
        <f t="shared" si="25"/>
        <v>4000</v>
      </c>
      <c r="Q70" s="108">
        <f>D70-SUM(F70:P70)</f>
        <v>-1000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6350000</v>
      </c>
      <c r="E72" s="114" t="s">
        <v>202</v>
      </c>
      <c r="F72" s="37">
        <f>ROUND($D72/12*3,-3)</f>
        <v>1588000</v>
      </c>
      <c r="G72" s="37">
        <f>ROUND($D72/12,-3)</f>
        <v>529000</v>
      </c>
      <c r="H72" s="37">
        <f t="shared" ref="H72:N75" si="26">ROUND($D72/12,-3)</f>
        <v>529000</v>
      </c>
      <c r="I72" s="37">
        <f t="shared" si="26"/>
        <v>529000</v>
      </c>
      <c r="J72" s="37">
        <f t="shared" si="26"/>
        <v>529000</v>
      </c>
      <c r="K72" s="37">
        <f t="shared" si="26"/>
        <v>529000</v>
      </c>
      <c r="L72" s="37">
        <f t="shared" si="26"/>
        <v>529000</v>
      </c>
      <c r="M72" s="37">
        <f t="shared" si="26"/>
        <v>529000</v>
      </c>
      <c r="N72" s="37">
        <f t="shared" si="26"/>
        <v>529000</v>
      </c>
      <c r="O72" s="37">
        <f>D72-SUM(F72:N72)</f>
        <v>530000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441000</v>
      </c>
      <c r="E74" s="114" t="s">
        <v>202</v>
      </c>
      <c r="F74" s="37">
        <f>ROUND($D74/12*3,-3)</f>
        <v>110000</v>
      </c>
      <c r="G74" s="37">
        <f>ROUND($D74/12,-3)</f>
        <v>37000</v>
      </c>
      <c r="H74" s="37">
        <f t="shared" si="26"/>
        <v>37000</v>
      </c>
      <c r="I74" s="37">
        <f t="shared" si="26"/>
        <v>37000</v>
      </c>
      <c r="J74" s="37">
        <f t="shared" si="26"/>
        <v>37000</v>
      </c>
      <c r="K74" s="37">
        <f t="shared" si="26"/>
        <v>37000</v>
      </c>
      <c r="L74" s="37">
        <f t="shared" si="26"/>
        <v>37000</v>
      </c>
      <c r="M74" s="37">
        <f t="shared" si="26"/>
        <v>37000</v>
      </c>
      <c r="N74" s="37">
        <f t="shared" si="26"/>
        <v>37000</v>
      </c>
      <c r="O74" s="37">
        <f>D74-SUM(F74:N74)</f>
        <v>35000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6791000</v>
      </c>
      <c r="E76" s="108"/>
      <c r="F76" s="108">
        <f>ROUND(SUM(F71:F75),-3)</f>
        <v>1698000</v>
      </c>
      <c r="G76" s="108">
        <f t="shared" ref="G76:N76" si="27">ROUND(SUM(G71:G75),-3)</f>
        <v>566000</v>
      </c>
      <c r="H76" s="108">
        <f t="shared" si="27"/>
        <v>566000</v>
      </c>
      <c r="I76" s="108">
        <f t="shared" si="27"/>
        <v>566000</v>
      </c>
      <c r="J76" s="108">
        <f t="shared" si="27"/>
        <v>566000</v>
      </c>
      <c r="K76" s="108">
        <f t="shared" si="27"/>
        <v>566000</v>
      </c>
      <c r="L76" s="108">
        <f t="shared" si="27"/>
        <v>566000</v>
      </c>
      <c r="M76" s="108">
        <f t="shared" si="27"/>
        <v>566000</v>
      </c>
      <c r="N76" s="108">
        <f t="shared" si="27"/>
        <v>566000</v>
      </c>
      <c r="O76" s="108">
        <f>D76-SUM(F76:N76)</f>
        <v>565000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75000</v>
      </c>
      <c r="E77" s="37" t="s">
        <v>681</v>
      </c>
      <c r="F77" s="224"/>
      <c r="G77" s="224"/>
      <c r="H77" s="224">
        <f>ROUND($D77/2,-3)</f>
        <v>38000</v>
      </c>
      <c r="I77" s="224"/>
      <c r="J77" s="224"/>
      <c r="K77" s="224"/>
      <c r="L77" s="224"/>
      <c r="M77" s="224"/>
      <c r="N77" s="224">
        <f>D77-H77</f>
        <v>37000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28904000</v>
      </c>
      <c r="E78" s="227"/>
      <c r="F78" s="227">
        <f>F76+F70+F77</f>
        <v>8369000</v>
      </c>
      <c r="G78" s="227">
        <f t="shared" ref="G78:Q78" si="29">G76+G70+G77</f>
        <v>2094000</v>
      </c>
      <c r="H78" s="227">
        <f t="shared" si="29"/>
        <v>2168000</v>
      </c>
      <c r="I78" s="227">
        <f t="shared" si="29"/>
        <v>2409000</v>
      </c>
      <c r="J78" s="227">
        <f t="shared" si="29"/>
        <v>2094000</v>
      </c>
      <c r="K78" s="227">
        <f t="shared" si="29"/>
        <v>2094000</v>
      </c>
      <c r="L78" s="227">
        <f t="shared" si="29"/>
        <v>2094000</v>
      </c>
      <c r="M78" s="227">
        <f t="shared" si="29"/>
        <v>2094000</v>
      </c>
      <c r="N78" s="227">
        <f t="shared" si="29"/>
        <v>3389000</v>
      </c>
      <c r="O78" s="227">
        <f t="shared" si="29"/>
        <v>2096000</v>
      </c>
      <c r="P78" s="227">
        <f t="shared" si="29"/>
        <v>4000</v>
      </c>
      <c r="Q78" s="227">
        <f t="shared" si="29"/>
        <v>-1000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30401000</v>
      </c>
      <c r="E87" s="37"/>
      <c r="F87" s="37">
        <f>F88+F89+F90+F91</f>
        <v>8628000</v>
      </c>
      <c r="G87" s="37">
        <f t="shared" ref="G87:Q87" si="32">G88+G89+G90+G91</f>
        <v>2206000</v>
      </c>
      <c r="H87" s="37">
        <f t="shared" si="32"/>
        <v>2286000</v>
      </c>
      <c r="I87" s="37">
        <f t="shared" si="32"/>
        <v>2532000</v>
      </c>
      <c r="J87" s="37">
        <f t="shared" si="32"/>
        <v>2212000</v>
      </c>
      <c r="K87" s="37">
        <f t="shared" si="32"/>
        <v>2218000</v>
      </c>
      <c r="L87" s="37">
        <f t="shared" si="32"/>
        <v>2235000</v>
      </c>
      <c r="M87" s="37">
        <f t="shared" si="32"/>
        <v>2212000</v>
      </c>
      <c r="N87" s="37">
        <f t="shared" si="32"/>
        <v>3513000</v>
      </c>
      <c r="O87" s="37">
        <f t="shared" si="32"/>
        <v>2212000</v>
      </c>
      <c r="P87" s="37">
        <f t="shared" si="32"/>
        <v>79000</v>
      </c>
      <c r="Q87" s="37">
        <f t="shared" si="32"/>
        <v>68000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15000</v>
      </c>
      <c r="E88" s="108" t="s">
        <v>193</v>
      </c>
      <c r="F88" s="108">
        <f>ROUND($D88/2,-3)</f>
        <v>8000</v>
      </c>
      <c r="G88" s="108"/>
      <c r="H88" s="108"/>
      <c r="I88" s="108"/>
      <c r="J88" s="108"/>
      <c r="K88" s="108"/>
      <c r="L88" s="108">
        <f>D88-F88</f>
        <v>7000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30385000</v>
      </c>
      <c r="E91" s="108"/>
      <c r="F91" s="108">
        <f>F92+F93+F94+F95</f>
        <v>8620000</v>
      </c>
      <c r="G91" s="108">
        <f t="shared" ref="G91:Q91" si="34">G92+G93+G94+G95</f>
        <v>2206000</v>
      </c>
      <c r="H91" s="108">
        <f t="shared" si="34"/>
        <v>2286000</v>
      </c>
      <c r="I91" s="108">
        <f t="shared" si="34"/>
        <v>2532000</v>
      </c>
      <c r="J91" s="108">
        <f t="shared" si="34"/>
        <v>2212000</v>
      </c>
      <c r="K91" s="108">
        <f t="shared" si="34"/>
        <v>2218000</v>
      </c>
      <c r="L91" s="108">
        <f t="shared" si="34"/>
        <v>2228000</v>
      </c>
      <c r="M91" s="108">
        <f t="shared" si="34"/>
        <v>2212000</v>
      </c>
      <c r="N91" s="108">
        <f t="shared" si="34"/>
        <v>3513000</v>
      </c>
      <c r="O91" s="108">
        <f t="shared" si="34"/>
        <v>2212000</v>
      </c>
      <c r="P91" s="108">
        <f t="shared" si="34"/>
        <v>79000</v>
      </c>
      <c r="Q91" s="108">
        <f t="shared" si="34"/>
        <v>67000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4575000</v>
      </c>
      <c r="E92" s="114" t="s">
        <v>537</v>
      </c>
      <c r="F92" s="37">
        <f>ROUND($D92/12*5,-3)</f>
        <v>1906000</v>
      </c>
      <c r="G92" s="37">
        <f>ROUND($D92/12,-3)</f>
        <v>381000</v>
      </c>
      <c r="H92" s="37">
        <f t="shared" ref="H92:L92" si="35">ROUND($D92/12,-3)</f>
        <v>381000</v>
      </c>
      <c r="I92" s="37">
        <f t="shared" si="35"/>
        <v>381000</v>
      </c>
      <c r="J92" s="37">
        <f t="shared" si="35"/>
        <v>381000</v>
      </c>
      <c r="K92" s="37">
        <f t="shared" si="35"/>
        <v>381000</v>
      </c>
      <c r="L92" s="37">
        <f t="shared" si="35"/>
        <v>381000</v>
      </c>
      <c r="M92" s="37">
        <f>D92-SUM(F92:L92)</f>
        <v>383000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91000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3000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25719000</v>
      </c>
      <c r="E95" s="37"/>
      <c r="F95" s="37">
        <f>F2+F86-F88-F89-F90-F92-F93-F94</f>
        <v>6706000</v>
      </c>
      <c r="G95" s="37">
        <f t="shared" ref="G95:Q95" si="37">G2-G88-G89-G90-G92-G93-G94</f>
        <v>1817000</v>
      </c>
      <c r="H95" s="37">
        <f t="shared" si="37"/>
        <v>1897000</v>
      </c>
      <c r="I95" s="37">
        <f t="shared" si="37"/>
        <v>2143000</v>
      </c>
      <c r="J95" s="37">
        <f t="shared" si="37"/>
        <v>1823000</v>
      </c>
      <c r="K95" s="37">
        <f t="shared" si="37"/>
        <v>1829000</v>
      </c>
      <c r="L95" s="37">
        <f t="shared" si="37"/>
        <v>1839000</v>
      </c>
      <c r="M95" s="37">
        <f t="shared" si="37"/>
        <v>1821000</v>
      </c>
      <c r="N95" s="37">
        <f t="shared" si="37"/>
        <v>3505000</v>
      </c>
      <c r="O95" s="37">
        <f t="shared" si="37"/>
        <v>2204000</v>
      </c>
      <c r="P95" s="37">
        <f t="shared" si="37"/>
        <v>71000</v>
      </c>
      <c r="Q95" s="37">
        <f t="shared" si="37"/>
        <v>64000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2250000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1025000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1300000</v>
      </c>
    </row>
    <row r="106" spans="2:17" ht="32.4">
      <c r="B106" s="71" t="s">
        <v>241</v>
      </c>
      <c r="D106" s="30">
        <f>HLOOKUP(D1,[1]縣庫撥款收入明細表!H:DD,20,FALSE)</f>
        <v>7000</v>
      </c>
    </row>
    <row r="107" spans="2:17" ht="32.4">
      <c r="B107" s="77" t="s">
        <v>242</v>
      </c>
      <c r="D107" s="30">
        <f>HLOOKUP(D1,[1]縣庫撥款收入明細表!H:DD,21,FALSE)</f>
        <v>25719000</v>
      </c>
    </row>
    <row r="108" spans="2:17" ht="16.5" customHeight="1"/>
    <row r="109" spans="2:17" ht="16.5" customHeight="1">
      <c r="B109" s="4" t="s">
        <v>682</v>
      </c>
      <c r="D109" s="30">
        <f>D91-D76</f>
        <v>23594000</v>
      </c>
      <c r="F109" s="30">
        <f>F91-F76</f>
        <v>6922000</v>
      </c>
      <c r="G109" s="30">
        <f t="shared" ref="G109:Q109" si="38">G91-G76</f>
        <v>1640000</v>
      </c>
      <c r="H109" s="30">
        <f t="shared" si="38"/>
        <v>1720000</v>
      </c>
      <c r="I109" s="30">
        <f t="shared" si="38"/>
        <v>1966000</v>
      </c>
      <c r="J109" s="30">
        <f t="shared" si="38"/>
        <v>1646000</v>
      </c>
      <c r="K109" s="30">
        <f t="shared" si="38"/>
        <v>1652000</v>
      </c>
      <c r="L109" s="30">
        <f t="shared" si="38"/>
        <v>1662000</v>
      </c>
      <c r="M109" s="30">
        <f t="shared" si="38"/>
        <v>1646000</v>
      </c>
      <c r="N109" s="30">
        <f t="shared" si="38"/>
        <v>2947000</v>
      </c>
      <c r="O109" s="30">
        <f t="shared" si="38"/>
        <v>1647000</v>
      </c>
      <c r="P109" s="30">
        <f t="shared" si="38"/>
        <v>79000</v>
      </c>
      <c r="Q109" s="30">
        <f t="shared" si="38"/>
        <v>67000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22" priority="1" operator="lessThan">
      <formula>0</formula>
    </cfRule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647</v>
      </c>
      <c r="D1" s="28" t="str">
        <f>VLOOKUP(C1,[1]學校編號!A:B,2,FALSE)</f>
        <v>647瑞穗國小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52018000</v>
      </c>
      <c r="E2" s="37"/>
      <c r="F2" s="37">
        <f>F48+F70+F76+F77+F83</f>
        <v>15354000</v>
      </c>
      <c r="G2" s="37">
        <f t="shared" ref="G2:Q2" si="0">G48+G70+G76+G77+G83</f>
        <v>3722000</v>
      </c>
      <c r="H2" s="37">
        <f t="shared" si="0"/>
        <v>3921000</v>
      </c>
      <c r="I2" s="37">
        <f t="shared" si="0"/>
        <v>4233000</v>
      </c>
      <c r="J2" s="37">
        <f t="shared" si="0"/>
        <v>3732000</v>
      </c>
      <c r="K2" s="37">
        <f t="shared" si="0"/>
        <v>3738000</v>
      </c>
      <c r="L2" s="37">
        <f t="shared" si="0"/>
        <v>3786000</v>
      </c>
      <c r="M2" s="37">
        <f t="shared" si="0"/>
        <v>3732000</v>
      </c>
      <c r="N2" s="37">
        <f t="shared" si="0"/>
        <v>5813000</v>
      </c>
      <c r="O2" s="37">
        <f t="shared" si="0"/>
        <v>3729000</v>
      </c>
      <c r="P2" s="37">
        <f t="shared" si="0"/>
        <v>126000</v>
      </c>
      <c r="Q2" s="37">
        <f t="shared" si="0"/>
        <v>132000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283000</v>
      </c>
      <c r="E3" s="37" t="s">
        <v>525</v>
      </c>
      <c r="F3" s="37">
        <f t="shared" ref="F3:P17" si="1">ROUND($D3/12,0)</f>
        <v>23583</v>
      </c>
      <c r="G3" s="37">
        <f t="shared" si="1"/>
        <v>23583</v>
      </c>
      <c r="H3" s="37">
        <f t="shared" si="1"/>
        <v>23583</v>
      </c>
      <c r="I3" s="37">
        <f t="shared" si="1"/>
        <v>23583</v>
      </c>
      <c r="J3" s="37">
        <f t="shared" si="1"/>
        <v>23583</v>
      </c>
      <c r="K3" s="37">
        <f t="shared" si="1"/>
        <v>23583</v>
      </c>
      <c r="L3" s="37">
        <f t="shared" si="1"/>
        <v>23583</v>
      </c>
      <c r="M3" s="37">
        <f t="shared" si="1"/>
        <v>23583</v>
      </c>
      <c r="N3" s="37">
        <f t="shared" si="1"/>
        <v>23583</v>
      </c>
      <c r="O3" s="37">
        <f t="shared" si="1"/>
        <v>23583</v>
      </c>
      <c r="P3" s="37">
        <f t="shared" si="1"/>
        <v>23583</v>
      </c>
      <c r="Q3" s="37">
        <f t="shared" ref="Q3:Q10" si="2">D3-SUM(F3:P3)</f>
        <v>23587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122000</v>
      </c>
      <c r="E4" s="37" t="s">
        <v>525</v>
      </c>
      <c r="F4" s="37">
        <f t="shared" si="1"/>
        <v>10167</v>
      </c>
      <c r="G4" s="37">
        <f t="shared" si="1"/>
        <v>10167</v>
      </c>
      <c r="H4" s="37">
        <f t="shared" si="1"/>
        <v>10167</v>
      </c>
      <c r="I4" s="37">
        <f t="shared" si="1"/>
        <v>10167</v>
      </c>
      <c r="J4" s="37">
        <f t="shared" si="1"/>
        <v>10167</v>
      </c>
      <c r="K4" s="37">
        <f t="shared" si="1"/>
        <v>10167</v>
      </c>
      <c r="L4" s="37">
        <f t="shared" si="1"/>
        <v>10167</v>
      </c>
      <c r="M4" s="37">
        <f t="shared" si="1"/>
        <v>10167</v>
      </c>
      <c r="N4" s="37">
        <f t="shared" si="1"/>
        <v>10167</v>
      </c>
      <c r="O4" s="37">
        <f t="shared" si="1"/>
        <v>10167</v>
      </c>
      <c r="P4" s="37">
        <f t="shared" si="1"/>
        <v>10167</v>
      </c>
      <c r="Q4" s="37">
        <f t="shared" si="2"/>
        <v>10163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70000</v>
      </c>
      <c r="E7" s="37" t="s">
        <v>525</v>
      </c>
      <c r="F7" s="37">
        <f t="shared" si="1"/>
        <v>5833</v>
      </c>
      <c r="G7" s="37">
        <f t="shared" si="1"/>
        <v>5833</v>
      </c>
      <c r="H7" s="37">
        <f t="shared" si="1"/>
        <v>5833</v>
      </c>
      <c r="I7" s="37">
        <f t="shared" si="1"/>
        <v>5833</v>
      </c>
      <c r="J7" s="37">
        <f t="shared" si="1"/>
        <v>5833</v>
      </c>
      <c r="K7" s="37">
        <f t="shared" si="1"/>
        <v>5833</v>
      </c>
      <c r="L7" s="37">
        <f t="shared" si="1"/>
        <v>5833</v>
      </c>
      <c r="M7" s="37">
        <f t="shared" si="1"/>
        <v>5833</v>
      </c>
      <c r="N7" s="37">
        <f t="shared" si="1"/>
        <v>5833</v>
      </c>
      <c r="O7" s="37">
        <f t="shared" si="1"/>
        <v>5833</v>
      </c>
      <c r="P7" s="37">
        <f t="shared" si="1"/>
        <v>5833</v>
      </c>
      <c r="Q7" s="37">
        <f t="shared" si="2"/>
        <v>5837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85000</v>
      </c>
      <c r="E10" s="37" t="s">
        <v>525</v>
      </c>
      <c r="F10" s="37">
        <f t="shared" si="1"/>
        <v>7083</v>
      </c>
      <c r="G10" s="37">
        <f t="shared" si="1"/>
        <v>7083</v>
      </c>
      <c r="H10" s="37">
        <f t="shared" si="1"/>
        <v>7083</v>
      </c>
      <c r="I10" s="37">
        <f t="shared" si="1"/>
        <v>7083</v>
      </c>
      <c r="J10" s="37">
        <f t="shared" si="1"/>
        <v>7083</v>
      </c>
      <c r="K10" s="37">
        <f t="shared" si="1"/>
        <v>7083</v>
      </c>
      <c r="L10" s="37">
        <f t="shared" si="1"/>
        <v>7083</v>
      </c>
      <c r="M10" s="37">
        <f t="shared" si="1"/>
        <v>7083</v>
      </c>
      <c r="N10" s="37">
        <f t="shared" si="1"/>
        <v>7083</v>
      </c>
      <c r="O10" s="37">
        <f t="shared" si="1"/>
        <v>7083</v>
      </c>
      <c r="P10" s="37">
        <f t="shared" si="1"/>
        <v>7083</v>
      </c>
      <c r="Q10" s="37">
        <f t="shared" si="2"/>
        <v>7087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31000</v>
      </c>
      <c r="E11" s="37" t="s">
        <v>195</v>
      </c>
      <c r="F11" s="37">
        <f>D11</f>
        <v>31000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1029000</v>
      </c>
      <c r="E12" s="113" t="s">
        <v>202</v>
      </c>
      <c r="F12" s="37">
        <f>ROUND($D12/12*3,-3)</f>
        <v>257000</v>
      </c>
      <c r="G12" s="37">
        <f>ROUND($D12/12,-3)</f>
        <v>86000</v>
      </c>
      <c r="H12" s="37">
        <f t="shared" ref="H12:N12" si="4">ROUND($D12/12,-3)</f>
        <v>86000</v>
      </c>
      <c r="I12" s="37">
        <f t="shared" si="4"/>
        <v>86000</v>
      </c>
      <c r="J12" s="37">
        <f t="shared" si="4"/>
        <v>86000</v>
      </c>
      <c r="K12" s="37">
        <f t="shared" si="4"/>
        <v>86000</v>
      </c>
      <c r="L12" s="37">
        <f t="shared" si="4"/>
        <v>86000</v>
      </c>
      <c r="M12" s="37">
        <f t="shared" si="4"/>
        <v>86000</v>
      </c>
      <c r="N12" s="37">
        <f t="shared" si="4"/>
        <v>86000</v>
      </c>
      <c r="O12" s="37">
        <f>D12-SUM(F12:N12)</f>
        <v>84000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55000</v>
      </c>
      <c r="E13" s="37" t="s">
        <v>525</v>
      </c>
      <c r="F13" s="37">
        <f>ROUND($D13/12,0)</f>
        <v>4583</v>
      </c>
      <c r="G13" s="37">
        <f t="shared" si="1"/>
        <v>4583</v>
      </c>
      <c r="H13" s="37">
        <f t="shared" si="1"/>
        <v>4583</v>
      </c>
      <c r="I13" s="37">
        <f t="shared" si="1"/>
        <v>4583</v>
      </c>
      <c r="J13" s="37">
        <f t="shared" si="1"/>
        <v>4583</v>
      </c>
      <c r="K13" s="37">
        <f t="shared" si="1"/>
        <v>4583</v>
      </c>
      <c r="L13" s="37">
        <f t="shared" si="1"/>
        <v>4583</v>
      </c>
      <c r="M13" s="37">
        <f t="shared" si="1"/>
        <v>4583</v>
      </c>
      <c r="N13" s="37">
        <f t="shared" si="1"/>
        <v>4583</v>
      </c>
      <c r="O13" s="37">
        <f t="shared" si="1"/>
        <v>4583</v>
      </c>
      <c r="P13" s="37">
        <f t="shared" si="1"/>
        <v>4583</v>
      </c>
      <c r="Q13" s="37">
        <f>D13-SUM(F13:P13)</f>
        <v>4587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80000</v>
      </c>
      <c r="E14" s="37" t="s">
        <v>525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72000</v>
      </c>
      <c r="E15" s="37" t="s">
        <v>193</v>
      </c>
      <c r="F15" s="37">
        <f>ROUND($D15/2,-3)</f>
        <v>36000</v>
      </c>
      <c r="G15" s="37"/>
      <c r="H15" s="37"/>
      <c r="I15" s="37"/>
      <c r="J15" s="37"/>
      <c r="K15" s="37"/>
      <c r="L15" s="37">
        <f>D15-F15</f>
        <v>36000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109000</v>
      </c>
      <c r="E16" s="37" t="s">
        <v>525</v>
      </c>
      <c r="F16" s="37">
        <f>ROUND($D16/12,0)</f>
        <v>9083</v>
      </c>
      <c r="G16" s="37">
        <f t="shared" si="1"/>
        <v>9083</v>
      </c>
      <c r="H16" s="37">
        <f t="shared" si="1"/>
        <v>9083</v>
      </c>
      <c r="I16" s="37">
        <f t="shared" si="1"/>
        <v>9083</v>
      </c>
      <c r="J16" s="37">
        <f t="shared" si="1"/>
        <v>9083</v>
      </c>
      <c r="K16" s="37">
        <f t="shared" si="1"/>
        <v>9083</v>
      </c>
      <c r="L16" s="37">
        <f t="shared" si="1"/>
        <v>9083</v>
      </c>
      <c r="M16" s="37">
        <f t="shared" si="1"/>
        <v>9083</v>
      </c>
      <c r="N16" s="37">
        <f t="shared" si="1"/>
        <v>9083</v>
      </c>
      <c r="O16" s="37">
        <f t="shared" si="1"/>
        <v>9083</v>
      </c>
      <c r="P16" s="37">
        <f t="shared" si="1"/>
        <v>9083</v>
      </c>
      <c r="Q16" s="37">
        <f>D16-SUM(F16:P16)</f>
        <v>9087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54000</v>
      </c>
      <c r="E17" s="37" t="s">
        <v>525</v>
      </c>
      <c r="F17" s="37">
        <f>ROUND($D17/12,0)</f>
        <v>4500</v>
      </c>
      <c r="G17" s="37">
        <f t="shared" si="1"/>
        <v>4500</v>
      </c>
      <c r="H17" s="37">
        <f t="shared" si="1"/>
        <v>4500</v>
      </c>
      <c r="I17" s="37">
        <f t="shared" si="1"/>
        <v>4500</v>
      </c>
      <c r="J17" s="37">
        <f t="shared" si="1"/>
        <v>4500</v>
      </c>
      <c r="K17" s="37">
        <f t="shared" si="1"/>
        <v>4500</v>
      </c>
      <c r="L17" s="37">
        <f t="shared" si="1"/>
        <v>4500</v>
      </c>
      <c r="M17" s="37">
        <f t="shared" si="1"/>
        <v>4500</v>
      </c>
      <c r="N17" s="37">
        <f t="shared" si="1"/>
        <v>4500</v>
      </c>
      <c r="O17" s="37">
        <f t="shared" si="1"/>
        <v>4500</v>
      </c>
      <c r="P17" s="37">
        <f t="shared" si="1"/>
        <v>4500</v>
      </c>
      <c r="Q17" s="37">
        <f>D17-SUM(F17:P17)</f>
        <v>4500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25000</v>
      </c>
      <c r="E24" s="37" t="s">
        <v>193</v>
      </c>
      <c r="F24" s="37">
        <f>ROUND($D24/2,-3)</f>
        <v>13000</v>
      </c>
      <c r="G24" s="37"/>
      <c r="H24" s="37"/>
      <c r="I24" s="37"/>
      <c r="J24" s="37"/>
      <c r="K24" s="37"/>
      <c r="L24" s="37">
        <f>D24-F24</f>
        <v>12000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2015000</v>
      </c>
      <c r="E25" s="108"/>
      <c r="F25" s="108">
        <f>ROUND(SUM(F3:F24),-3)</f>
        <v>408000</v>
      </c>
      <c r="G25" s="108">
        <f t="shared" ref="G25:P25" si="5">ROUND(SUM(G3:G24),-3)</f>
        <v>157000</v>
      </c>
      <c r="H25" s="108">
        <f t="shared" si="5"/>
        <v>157000</v>
      </c>
      <c r="I25" s="108">
        <f t="shared" si="5"/>
        <v>157000</v>
      </c>
      <c r="J25" s="108">
        <f t="shared" si="5"/>
        <v>157000</v>
      </c>
      <c r="K25" s="108">
        <f t="shared" si="5"/>
        <v>157000</v>
      </c>
      <c r="L25" s="108">
        <f t="shared" si="5"/>
        <v>205000</v>
      </c>
      <c r="M25" s="108">
        <f t="shared" si="5"/>
        <v>157000</v>
      </c>
      <c r="N25" s="108">
        <f t="shared" si="5"/>
        <v>157000</v>
      </c>
      <c r="O25" s="108">
        <f t="shared" si="5"/>
        <v>155000</v>
      </c>
      <c r="P25" s="108">
        <f t="shared" si="5"/>
        <v>71000</v>
      </c>
      <c r="Q25" s="108">
        <f t="shared" ref="Q25:Q33" si="6">D25-SUM(F25:P25)</f>
        <v>77000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100000</v>
      </c>
      <c r="E26" s="114" t="s">
        <v>204</v>
      </c>
      <c r="F26" s="37">
        <f>ROUND($D26/10,-3)</f>
        <v>10000</v>
      </c>
      <c r="G26" s="37"/>
      <c r="H26" s="37">
        <f>ROUND($D26/10,-3)</f>
        <v>10000</v>
      </c>
      <c r="I26" s="37">
        <f>ROUND($D26/10,-3)</f>
        <v>10000</v>
      </c>
      <c r="J26" s="37">
        <f>ROUND($D26/10,-3)</f>
        <v>10000</v>
      </c>
      <c r="K26" s="37">
        <f>ROUND($D26/10,-3)</f>
        <v>10000</v>
      </c>
      <c r="L26" s="37"/>
      <c r="M26" s="37">
        <f>ROUND($D26/10,-3)</f>
        <v>10000</v>
      </c>
      <c r="N26" s="37">
        <f>ROUND($D26/10,-3)</f>
        <v>10000</v>
      </c>
      <c r="O26" s="37">
        <f>ROUND($D26/10,-3)</f>
        <v>10000</v>
      </c>
      <c r="P26" s="37">
        <f>ROUND($D26/10,-3)</f>
        <v>10000</v>
      </c>
      <c r="Q26" s="37">
        <f t="shared" si="6"/>
        <v>10000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308000</v>
      </c>
      <c r="E27" s="37" t="s">
        <v>525</v>
      </c>
      <c r="F27" s="37">
        <f t="shared" ref="F27:P33" si="8">ROUND($D27/12,0)</f>
        <v>25667</v>
      </c>
      <c r="G27" s="37">
        <f t="shared" si="8"/>
        <v>25667</v>
      </c>
      <c r="H27" s="37">
        <f t="shared" si="8"/>
        <v>25667</v>
      </c>
      <c r="I27" s="37">
        <f t="shared" si="8"/>
        <v>25667</v>
      </c>
      <c r="J27" s="37">
        <f t="shared" si="8"/>
        <v>25667</v>
      </c>
      <c r="K27" s="37">
        <f t="shared" si="8"/>
        <v>25667</v>
      </c>
      <c r="L27" s="37">
        <f t="shared" si="8"/>
        <v>25667</v>
      </c>
      <c r="M27" s="37">
        <f t="shared" si="8"/>
        <v>25667</v>
      </c>
      <c r="N27" s="37">
        <f t="shared" si="8"/>
        <v>25667</v>
      </c>
      <c r="O27" s="37">
        <f t="shared" si="8"/>
        <v>25667</v>
      </c>
      <c r="P27" s="37">
        <f t="shared" si="8"/>
        <v>25667</v>
      </c>
      <c r="Q27" s="37">
        <f t="shared" si="6"/>
        <v>25663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30000</v>
      </c>
      <c r="E29" s="37" t="s">
        <v>525</v>
      </c>
      <c r="F29" s="37">
        <f t="shared" si="8"/>
        <v>2500</v>
      </c>
      <c r="G29" s="37">
        <f t="shared" si="8"/>
        <v>2500</v>
      </c>
      <c r="H29" s="37">
        <f t="shared" si="8"/>
        <v>2500</v>
      </c>
      <c r="I29" s="37">
        <f t="shared" si="8"/>
        <v>2500</v>
      </c>
      <c r="J29" s="37">
        <f t="shared" si="8"/>
        <v>2500</v>
      </c>
      <c r="K29" s="37">
        <f t="shared" si="8"/>
        <v>2500</v>
      </c>
      <c r="L29" s="37">
        <f t="shared" si="8"/>
        <v>2500</v>
      </c>
      <c r="M29" s="37">
        <f t="shared" si="8"/>
        <v>2500</v>
      </c>
      <c r="N29" s="37">
        <f t="shared" si="8"/>
        <v>2500</v>
      </c>
      <c r="O29" s="37">
        <f t="shared" si="8"/>
        <v>2500</v>
      </c>
      <c r="P29" s="37">
        <f t="shared" si="8"/>
        <v>2500</v>
      </c>
      <c r="Q29" s="37">
        <f t="shared" si="6"/>
        <v>2500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46000</v>
      </c>
      <c r="E30" s="37" t="s">
        <v>525</v>
      </c>
      <c r="F30" s="37">
        <f t="shared" si="8"/>
        <v>3833</v>
      </c>
      <c r="G30" s="37">
        <f t="shared" si="8"/>
        <v>3833</v>
      </c>
      <c r="H30" s="37">
        <f t="shared" si="8"/>
        <v>3833</v>
      </c>
      <c r="I30" s="37">
        <f t="shared" si="8"/>
        <v>3833</v>
      </c>
      <c r="J30" s="37">
        <f t="shared" si="8"/>
        <v>3833</v>
      </c>
      <c r="K30" s="37">
        <f t="shared" si="8"/>
        <v>3833</v>
      </c>
      <c r="L30" s="37">
        <f t="shared" si="8"/>
        <v>3833</v>
      </c>
      <c r="M30" s="37">
        <f t="shared" si="8"/>
        <v>3833</v>
      </c>
      <c r="N30" s="37">
        <f t="shared" si="8"/>
        <v>3833</v>
      </c>
      <c r="O30" s="37">
        <f t="shared" si="8"/>
        <v>3833</v>
      </c>
      <c r="P30" s="37">
        <f t="shared" si="8"/>
        <v>3833</v>
      </c>
      <c r="Q30" s="37">
        <f t="shared" si="6"/>
        <v>3837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23000</v>
      </c>
      <c r="E31" s="37" t="s">
        <v>525</v>
      </c>
      <c r="F31" s="37">
        <f t="shared" si="8"/>
        <v>1917</v>
      </c>
      <c r="G31" s="37">
        <f t="shared" si="8"/>
        <v>1917</v>
      </c>
      <c r="H31" s="37">
        <f t="shared" si="8"/>
        <v>1917</v>
      </c>
      <c r="I31" s="37">
        <f t="shared" si="8"/>
        <v>1917</v>
      </c>
      <c r="J31" s="37">
        <f t="shared" si="8"/>
        <v>1917</v>
      </c>
      <c r="K31" s="37">
        <f t="shared" si="8"/>
        <v>1917</v>
      </c>
      <c r="L31" s="37">
        <f t="shared" si="8"/>
        <v>1917</v>
      </c>
      <c r="M31" s="37">
        <f t="shared" si="8"/>
        <v>1917</v>
      </c>
      <c r="N31" s="37">
        <f t="shared" si="8"/>
        <v>1917</v>
      </c>
      <c r="O31" s="37">
        <f t="shared" si="8"/>
        <v>1917</v>
      </c>
      <c r="P31" s="37">
        <f t="shared" si="8"/>
        <v>1917</v>
      </c>
      <c r="Q31" s="37">
        <f t="shared" si="6"/>
        <v>1913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36000</v>
      </c>
      <c r="E32" s="37" t="s">
        <v>525</v>
      </c>
      <c r="F32" s="37">
        <f t="shared" si="8"/>
        <v>3000</v>
      </c>
      <c r="G32" s="37">
        <f t="shared" si="8"/>
        <v>3000</v>
      </c>
      <c r="H32" s="37">
        <f t="shared" si="8"/>
        <v>3000</v>
      </c>
      <c r="I32" s="37">
        <f t="shared" si="8"/>
        <v>3000</v>
      </c>
      <c r="J32" s="37">
        <f t="shared" si="8"/>
        <v>3000</v>
      </c>
      <c r="K32" s="37">
        <f t="shared" si="8"/>
        <v>3000</v>
      </c>
      <c r="L32" s="37">
        <f t="shared" si="8"/>
        <v>3000</v>
      </c>
      <c r="M32" s="37">
        <f t="shared" si="8"/>
        <v>3000</v>
      </c>
      <c r="N32" s="37">
        <f t="shared" si="8"/>
        <v>3000</v>
      </c>
      <c r="O32" s="37">
        <f t="shared" si="8"/>
        <v>3000</v>
      </c>
      <c r="P32" s="37">
        <f t="shared" si="8"/>
        <v>3000</v>
      </c>
      <c r="Q32" s="37">
        <f t="shared" si="6"/>
        <v>3000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21000</v>
      </c>
      <c r="E33" s="37" t="s">
        <v>525</v>
      </c>
      <c r="F33" s="37">
        <f t="shared" si="8"/>
        <v>1750</v>
      </c>
      <c r="G33" s="37">
        <f t="shared" si="8"/>
        <v>1750</v>
      </c>
      <c r="H33" s="37">
        <f t="shared" si="8"/>
        <v>1750</v>
      </c>
      <c r="I33" s="37">
        <f t="shared" si="8"/>
        <v>1750</v>
      </c>
      <c r="J33" s="37">
        <f t="shared" si="8"/>
        <v>1750</v>
      </c>
      <c r="K33" s="37">
        <f t="shared" si="8"/>
        <v>1750</v>
      </c>
      <c r="L33" s="37">
        <f t="shared" si="8"/>
        <v>1750</v>
      </c>
      <c r="M33" s="37">
        <f t="shared" si="8"/>
        <v>1750</v>
      </c>
      <c r="N33" s="37">
        <f t="shared" si="8"/>
        <v>1750</v>
      </c>
      <c r="O33" s="37">
        <f t="shared" si="8"/>
        <v>1750</v>
      </c>
      <c r="P33" s="37">
        <f t="shared" si="8"/>
        <v>1750</v>
      </c>
      <c r="Q33" s="37">
        <f t="shared" si="6"/>
        <v>1750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10000</v>
      </c>
      <c r="E36" s="37" t="s">
        <v>193</v>
      </c>
      <c r="F36" s="37">
        <f>ROUND($D36/2,-3)</f>
        <v>5000</v>
      </c>
      <c r="G36" s="37"/>
      <c r="H36" s="37"/>
      <c r="I36" s="37"/>
      <c r="J36" s="37"/>
      <c r="K36" s="37"/>
      <c r="L36" s="37">
        <f>D36-F36</f>
        <v>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574000</v>
      </c>
      <c r="E37" s="108"/>
      <c r="F37" s="108">
        <f t="shared" ref="F37:P37" si="9">ROUND(SUM(F26:F36),-3)</f>
        <v>54000</v>
      </c>
      <c r="G37" s="108">
        <f t="shared" si="9"/>
        <v>39000</v>
      </c>
      <c r="H37" s="108">
        <f t="shared" si="9"/>
        <v>49000</v>
      </c>
      <c r="I37" s="108">
        <f t="shared" si="9"/>
        <v>49000</v>
      </c>
      <c r="J37" s="108">
        <f t="shared" si="9"/>
        <v>49000</v>
      </c>
      <c r="K37" s="108">
        <f t="shared" si="9"/>
        <v>49000</v>
      </c>
      <c r="L37" s="108">
        <f t="shared" si="9"/>
        <v>44000</v>
      </c>
      <c r="M37" s="108">
        <f t="shared" si="9"/>
        <v>49000</v>
      </c>
      <c r="N37" s="108">
        <f t="shared" si="9"/>
        <v>49000</v>
      </c>
      <c r="O37" s="108">
        <f t="shared" si="9"/>
        <v>49000</v>
      </c>
      <c r="P37" s="108">
        <f t="shared" si="9"/>
        <v>49000</v>
      </c>
      <c r="Q37" s="108">
        <f>D37-SUM(F37:P37)</f>
        <v>45000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18000</v>
      </c>
      <c r="E42" s="37" t="s">
        <v>199</v>
      </c>
      <c r="F42" s="37"/>
      <c r="G42" s="37"/>
      <c r="H42" s="37"/>
      <c r="I42" s="37">
        <f>D42</f>
        <v>18000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2000</v>
      </c>
      <c r="E43" s="37" t="s">
        <v>195</v>
      </c>
      <c r="F43" s="37">
        <f>D43</f>
        <v>2000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11000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11000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31000</v>
      </c>
      <c r="E45" s="108"/>
      <c r="F45" s="108">
        <f t="shared" ref="F45:P45" si="12">ROUND(SUM(F42:F44),-3)</f>
        <v>2000</v>
      </c>
      <c r="G45" s="108">
        <f t="shared" si="12"/>
        <v>0</v>
      </c>
      <c r="H45" s="108">
        <f t="shared" si="12"/>
        <v>0</v>
      </c>
      <c r="I45" s="108">
        <f t="shared" si="12"/>
        <v>18000</v>
      </c>
      <c r="J45" s="108">
        <f t="shared" si="12"/>
        <v>0</v>
      </c>
      <c r="K45" s="108">
        <f t="shared" si="12"/>
        <v>0</v>
      </c>
      <c r="L45" s="108">
        <f t="shared" si="12"/>
        <v>11000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18000</v>
      </c>
      <c r="E46" s="37" t="s">
        <v>194</v>
      </c>
      <c r="F46" s="37">
        <f>ROUND($D46/3,0)</f>
        <v>6000</v>
      </c>
      <c r="G46" s="37"/>
      <c r="H46" s="37"/>
      <c r="I46" s="37"/>
      <c r="J46" s="37"/>
      <c r="K46" s="37">
        <f>ROUND($D46/3,0)</f>
        <v>6000</v>
      </c>
      <c r="L46" s="37"/>
      <c r="M46" s="37"/>
      <c r="N46" s="37">
        <f>ROUND($D46/3,0)</f>
        <v>6000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18000</v>
      </c>
      <c r="E47" s="108"/>
      <c r="F47" s="108">
        <f t="shared" ref="F47:P47" si="13">ROUND(SUM(F46),-3)</f>
        <v>6000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6000</v>
      </c>
      <c r="L47" s="108">
        <f t="shared" si="13"/>
        <v>0</v>
      </c>
      <c r="M47" s="108">
        <f t="shared" si="13"/>
        <v>0</v>
      </c>
      <c r="N47" s="108">
        <f t="shared" si="13"/>
        <v>6000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2638000</v>
      </c>
      <c r="E48" s="37"/>
      <c r="F48" s="115">
        <f>F25+F37+F45+F47</f>
        <v>470000</v>
      </c>
      <c r="G48" s="115">
        <f t="shared" ref="G48:R48" si="14">G25+G37+G45+G47</f>
        <v>196000</v>
      </c>
      <c r="H48" s="115">
        <f t="shared" si="14"/>
        <v>206000</v>
      </c>
      <c r="I48" s="115">
        <f t="shared" si="14"/>
        <v>224000</v>
      </c>
      <c r="J48" s="115">
        <f t="shared" si="14"/>
        <v>206000</v>
      </c>
      <c r="K48" s="115">
        <f t="shared" si="14"/>
        <v>212000</v>
      </c>
      <c r="L48" s="115">
        <f t="shared" si="14"/>
        <v>260000</v>
      </c>
      <c r="M48" s="115">
        <f t="shared" si="14"/>
        <v>206000</v>
      </c>
      <c r="N48" s="115">
        <f t="shared" si="14"/>
        <v>212000</v>
      </c>
      <c r="O48" s="115">
        <f t="shared" si="14"/>
        <v>204000</v>
      </c>
      <c r="P48" s="115">
        <f t="shared" si="14"/>
        <v>120000</v>
      </c>
      <c r="Q48" s="115">
        <f t="shared" si="14"/>
        <v>122000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27396000</v>
      </c>
      <c r="E49" s="114" t="s">
        <v>202</v>
      </c>
      <c r="F49" s="37">
        <f>ROUND($D49/12*3,-3)</f>
        <v>6849000</v>
      </c>
      <c r="G49" s="37">
        <f>ROUND($D49/12,-3)</f>
        <v>2283000</v>
      </c>
      <c r="H49" s="37">
        <f t="shared" ref="H49:N53" si="15">ROUND($D49/12,-3)</f>
        <v>2283000</v>
      </c>
      <c r="I49" s="37">
        <f t="shared" si="15"/>
        <v>2283000</v>
      </c>
      <c r="J49" s="37">
        <f t="shared" si="15"/>
        <v>2283000</v>
      </c>
      <c r="K49" s="37">
        <f t="shared" si="15"/>
        <v>2283000</v>
      </c>
      <c r="L49" s="37">
        <f t="shared" si="15"/>
        <v>2283000</v>
      </c>
      <c r="M49" s="37">
        <f t="shared" si="15"/>
        <v>2283000</v>
      </c>
      <c r="N49" s="37">
        <f t="shared" si="15"/>
        <v>2283000</v>
      </c>
      <c r="O49" s="37">
        <f>D49-SUM(F49:N49)</f>
        <v>2283000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1413000</v>
      </c>
      <c r="E51" s="114" t="s">
        <v>202</v>
      </c>
      <c r="F51" s="37">
        <f t="shared" si="16"/>
        <v>353000</v>
      </c>
      <c r="G51" s="37">
        <f t="shared" si="17"/>
        <v>118000</v>
      </c>
      <c r="H51" s="37">
        <f t="shared" si="15"/>
        <v>118000</v>
      </c>
      <c r="I51" s="37">
        <f t="shared" si="15"/>
        <v>118000</v>
      </c>
      <c r="J51" s="37">
        <f t="shared" si="15"/>
        <v>118000</v>
      </c>
      <c r="K51" s="37">
        <f t="shared" si="15"/>
        <v>118000</v>
      </c>
      <c r="L51" s="37">
        <f t="shared" si="15"/>
        <v>118000</v>
      </c>
      <c r="M51" s="37">
        <f t="shared" si="15"/>
        <v>118000</v>
      </c>
      <c r="N51" s="37">
        <f t="shared" si="15"/>
        <v>118000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76000</v>
      </c>
      <c r="E54" s="37" t="s">
        <v>525</v>
      </c>
      <c r="F54" s="37">
        <f t="shared" ref="F54:P61" si="19">ROUND($D54/12,0)</f>
        <v>6333</v>
      </c>
      <c r="G54" s="37">
        <f t="shared" si="19"/>
        <v>6333</v>
      </c>
      <c r="H54" s="37">
        <f t="shared" si="19"/>
        <v>6333</v>
      </c>
      <c r="I54" s="37">
        <f t="shared" si="19"/>
        <v>6333</v>
      </c>
      <c r="J54" s="37">
        <f t="shared" si="19"/>
        <v>6333</v>
      </c>
      <c r="K54" s="37">
        <f t="shared" si="19"/>
        <v>6333</v>
      </c>
      <c r="L54" s="37">
        <f t="shared" si="19"/>
        <v>6333</v>
      </c>
      <c r="M54" s="37">
        <f t="shared" si="19"/>
        <v>6333</v>
      </c>
      <c r="N54" s="37">
        <f t="shared" si="19"/>
        <v>6333</v>
      </c>
      <c r="O54" s="37">
        <f t="shared" si="19"/>
        <v>6333</v>
      </c>
      <c r="P54" s="37">
        <f t="shared" si="19"/>
        <v>6333</v>
      </c>
      <c r="Q54" s="37">
        <f t="shared" ref="Q54:Q61" si="20">D54-SUM(F54:P54)</f>
        <v>6337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0</v>
      </c>
      <c r="E59" s="37" t="s">
        <v>525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713000</v>
      </c>
      <c r="E60" s="37" t="s">
        <v>195</v>
      </c>
      <c r="F60" s="37">
        <f>D60</f>
        <v>713000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2414000</v>
      </c>
      <c r="E62" s="37" t="s">
        <v>197</v>
      </c>
      <c r="F62" s="37"/>
      <c r="G62" s="37"/>
      <c r="H62" s="37"/>
      <c r="I62" s="37">
        <f>ROUND($D62/5,-3)</f>
        <v>483000</v>
      </c>
      <c r="J62" s="37"/>
      <c r="K62" s="37"/>
      <c r="L62" s="37"/>
      <c r="M62" s="37"/>
      <c r="N62" s="37">
        <f>D62-I62</f>
        <v>1931000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3364000</v>
      </c>
      <c r="E63" s="37" t="s">
        <v>195</v>
      </c>
      <c r="F63" s="37">
        <f>D63</f>
        <v>3364000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2703000</v>
      </c>
      <c r="E64" s="114" t="s">
        <v>202</v>
      </c>
      <c r="F64" s="37">
        <f>ROUND($D64/12*3,-3)</f>
        <v>676000</v>
      </c>
      <c r="G64" s="37">
        <f>ROUND($D64/12,-3)</f>
        <v>225000</v>
      </c>
      <c r="H64" s="37">
        <f t="shared" ref="H64:N66" si="21">ROUND($D64/12,-3)</f>
        <v>225000</v>
      </c>
      <c r="I64" s="37">
        <f t="shared" si="21"/>
        <v>225000</v>
      </c>
      <c r="J64" s="37">
        <f t="shared" si="21"/>
        <v>225000</v>
      </c>
      <c r="K64" s="37">
        <f t="shared" si="21"/>
        <v>225000</v>
      </c>
      <c r="L64" s="37">
        <f t="shared" si="21"/>
        <v>225000</v>
      </c>
      <c r="M64" s="37">
        <f t="shared" si="21"/>
        <v>225000</v>
      </c>
      <c r="N64" s="37">
        <f t="shared" si="21"/>
        <v>225000</v>
      </c>
      <c r="O64" s="37">
        <f>D64-SUM(F64:N64)</f>
        <v>227000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564000</v>
      </c>
      <c r="E65" s="114" t="s">
        <v>202</v>
      </c>
      <c r="F65" s="37">
        <f t="shared" ref="F65:F66" si="22">ROUND($D65/12*3,-3)</f>
        <v>141000</v>
      </c>
      <c r="G65" s="37">
        <f t="shared" ref="G65:G66" si="23">ROUND($D65/12,-3)</f>
        <v>47000</v>
      </c>
      <c r="H65" s="37">
        <f t="shared" si="21"/>
        <v>47000</v>
      </c>
      <c r="I65" s="37">
        <f t="shared" si="21"/>
        <v>47000</v>
      </c>
      <c r="J65" s="37">
        <f t="shared" si="21"/>
        <v>47000</v>
      </c>
      <c r="K65" s="37">
        <f t="shared" si="21"/>
        <v>47000</v>
      </c>
      <c r="L65" s="37">
        <f t="shared" si="21"/>
        <v>47000</v>
      </c>
      <c r="M65" s="37">
        <f t="shared" si="21"/>
        <v>47000</v>
      </c>
      <c r="N65" s="37">
        <f t="shared" si="21"/>
        <v>47000</v>
      </c>
      <c r="O65" s="37">
        <f t="shared" ref="O65:O66" si="24">D65-SUM(F65:N65)</f>
        <v>47000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2271000</v>
      </c>
      <c r="E66" s="114" t="s">
        <v>202</v>
      </c>
      <c r="F66" s="37">
        <f t="shared" si="22"/>
        <v>568000</v>
      </c>
      <c r="G66" s="37">
        <f t="shared" si="23"/>
        <v>189000</v>
      </c>
      <c r="H66" s="37">
        <f t="shared" si="21"/>
        <v>189000</v>
      </c>
      <c r="I66" s="37">
        <f t="shared" si="21"/>
        <v>189000</v>
      </c>
      <c r="J66" s="37">
        <f t="shared" si="21"/>
        <v>189000</v>
      </c>
      <c r="K66" s="37">
        <f t="shared" si="21"/>
        <v>189000</v>
      </c>
      <c r="L66" s="37">
        <f t="shared" si="21"/>
        <v>189000</v>
      </c>
      <c r="M66" s="37">
        <f t="shared" si="21"/>
        <v>189000</v>
      </c>
      <c r="N66" s="37">
        <f t="shared" si="21"/>
        <v>189000</v>
      </c>
      <c r="O66" s="37">
        <f t="shared" si="24"/>
        <v>191000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45000</v>
      </c>
      <c r="E67" s="37" t="s">
        <v>196</v>
      </c>
      <c r="F67" s="37"/>
      <c r="G67" s="37"/>
      <c r="H67" s="37">
        <f>D67</f>
        <v>45000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240000</v>
      </c>
      <c r="E68" s="37" t="s">
        <v>195</v>
      </c>
      <c r="F68" s="37">
        <f>D68</f>
        <v>240000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41464000</v>
      </c>
      <c r="E70" s="108"/>
      <c r="F70" s="108">
        <f t="shared" ref="F70:P70" si="25">ROUND(SUM(F49:F69),-3)</f>
        <v>12976000</v>
      </c>
      <c r="G70" s="108">
        <f t="shared" si="25"/>
        <v>2890000</v>
      </c>
      <c r="H70" s="108">
        <f t="shared" si="25"/>
        <v>2935000</v>
      </c>
      <c r="I70" s="108">
        <f t="shared" si="25"/>
        <v>3373000</v>
      </c>
      <c r="J70" s="108">
        <f t="shared" si="25"/>
        <v>2890000</v>
      </c>
      <c r="K70" s="108">
        <f t="shared" si="25"/>
        <v>2890000</v>
      </c>
      <c r="L70" s="108">
        <f t="shared" si="25"/>
        <v>2890000</v>
      </c>
      <c r="M70" s="108">
        <f t="shared" si="25"/>
        <v>2890000</v>
      </c>
      <c r="N70" s="108">
        <f t="shared" si="25"/>
        <v>4821000</v>
      </c>
      <c r="O70" s="108">
        <f t="shared" si="25"/>
        <v>2893000</v>
      </c>
      <c r="P70" s="108">
        <f t="shared" si="25"/>
        <v>6000</v>
      </c>
      <c r="Q70" s="108">
        <f>D70-SUM(F70:P70)</f>
        <v>10000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6990000</v>
      </c>
      <c r="E72" s="114" t="s">
        <v>202</v>
      </c>
      <c r="F72" s="37">
        <f>ROUND($D72/12*3,-3)</f>
        <v>1748000</v>
      </c>
      <c r="G72" s="37">
        <f>ROUND($D72/12,-3)</f>
        <v>583000</v>
      </c>
      <c r="H72" s="37">
        <f t="shared" ref="H72:N75" si="26">ROUND($D72/12,-3)</f>
        <v>583000</v>
      </c>
      <c r="I72" s="37">
        <f t="shared" si="26"/>
        <v>583000</v>
      </c>
      <c r="J72" s="37">
        <f t="shared" si="26"/>
        <v>583000</v>
      </c>
      <c r="K72" s="37">
        <f t="shared" si="26"/>
        <v>583000</v>
      </c>
      <c r="L72" s="37">
        <f t="shared" si="26"/>
        <v>583000</v>
      </c>
      <c r="M72" s="37">
        <f t="shared" si="26"/>
        <v>583000</v>
      </c>
      <c r="N72" s="37">
        <f t="shared" si="26"/>
        <v>583000</v>
      </c>
      <c r="O72" s="37">
        <f>D72-SUM(F72:N72)</f>
        <v>578000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638000</v>
      </c>
      <c r="E75" s="114" t="s">
        <v>202</v>
      </c>
      <c r="F75" s="37">
        <f>ROUND($D75/12*3,-3)</f>
        <v>160000</v>
      </c>
      <c r="G75" s="37">
        <f>ROUND($D75/12,-3)</f>
        <v>53000</v>
      </c>
      <c r="H75" s="37">
        <f t="shared" si="26"/>
        <v>53000</v>
      </c>
      <c r="I75" s="37">
        <f t="shared" si="26"/>
        <v>53000</v>
      </c>
      <c r="J75" s="37">
        <f t="shared" si="26"/>
        <v>53000</v>
      </c>
      <c r="K75" s="37">
        <f t="shared" si="26"/>
        <v>53000</v>
      </c>
      <c r="L75" s="37">
        <f t="shared" si="26"/>
        <v>53000</v>
      </c>
      <c r="M75" s="37">
        <f t="shared" si="26"/>
        <v>53000</v>
      </c>
      <c r="N75" s="37">
        <f t="shared" si="26"/>
        <v>53000</v>
      </c>
      <c r="O75" s="37">
        <f>D75-SUM(F75:N75)</f>
        <v>54000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7628000</v>
      </c>
      <c r="E76" s="108"/>
      <c r="F76" s="108">
        <f>ROUND(SUM(F71:F75),-3)</f>
        <v>1908000</v>
      </c>
      <c r="G76" s="108">
        <f t="shared" ref="G76:N76" si="27">ROUND(SUM(G71:G75),-3)</f>
        <v>636000</v>
      </c>
      <c r="H76" s="108">
        <f t="shared" si="27"/>
        <v>636000</v>
      </c>
      <c r="I76" s="108">
        <f t="shared" si="27"/>
        <v>636000</v>
      </c>
      <c r="J76" s="108">
        <f t="shared" si="27"/>
        <v>636000</v>
      </c>
      <c r="K76" s="108">
        <f t="shared" si="27"/>
        <v>636000</v>
      </c>
      <c r="L76" s="108">
        <f t="shared" si="27"/>
        <v>636000</v>
      </c>
      <c r="M76" s="108">
        <f t="shared" si="27"/>
        <v>636000</v>
      </c>
      <c r="N76" s="108">
        <f t="shared" si="27"/>
        <v>636000</v>
      </c>
      <c r="O76" s="108">
        <f>D76-SUM(F76:N76)</f>
        <v>632000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288000</v>
      </c>
      <c r="E77" s="37" t="s">
        <v>681</v>
      </c>
      <c r="F77" s="224"/>
      <c r="G77" s="224"/>
      <c r="H77" s="224">
        <f>ROUND($D77/2,-3)</f>
        <v>144000</v>
      </c>
      <c r="I77" s="224"/>
      <c r="J77" s="224"/>
      <c r="K77" s="224"/>
      <c r="L77" s="224"/>
      <c r="M77" s="224"/>
      <c r="N77" s="224">
        <f>D77-H77</f>
        <v>144000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49380000</v>
      </c>
      <c r="E78" s="227"/>
      <c r="F78" s="227">
        <f>F76+F70+F77</f>
        <v>14884000</v>
      </c>
      <c r="G78" s="227">
        <f t="shared" ref="G78:Q78" si="29">G76+G70+G77</f>
        <v>3526000</v>
      </c>
      <c r="H78" s="227">
        <f t="shared" si="29"/>
        <v>3715000</v>
      </c>
      <c r="I78" s="227">
        <f t="shared" si="29"/>
        <v>4009000</v>
      </c>
      <c r="J78" s="227">
        <f t="shared" si="29"/>
        <v>3526000</v>
      </c>
      <c r="K78" s="227">
        <f t="shared" si="29"/>
        <v>3526000</v>
      </c>
      <c r="L78" s="227">
        <f t="shared" si="29"/>
        <v>3526000</v>
      </c>
      <c r="M78" s="227">
        <f t="shared" si="29"/>
        <v>3526000</v>
      </c>
      <c r="N78" s="227">
        <f t="shared" si="29"/>
        <v>5601000</v>
      </c>
      <c r="O78" s="227">
        <f t="shared" si="29"/>
        <v>3525000</v>
      </c>
      <c r="P78" s="227">
        <f t="shared" si="29"/>
        <v>6000</v>
      </c>
      <c r="Q78" s="227">
        <f t="shared" si="29"/>
        <v>10000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52018000</v>
      </c>
      <c r="E87" s="37"/>
      <c r="F87" s="37">
        <f>F88+F89+F90+F91</f>
        <v>15354000</v>
      </c>
      <c r="G87" s="37">
        <f t="shared" ref="G87:Q87" si="32">G88+G89+G90+G91</f>
        <v>3722000</v>
      </c>
      <c r="H87" s="37">
        <f t="shared" si="32"/>
        <v>3921000</v>
      </c>
      <c r="I87" s="37">
        <f t="shared" si="32"/>
        <v>4233000</v>
      </c>
      <c r="J87" s="37">
        <f t="shared" si="32"/>
        <v>3732000</v>
      </c>
      <c r="K87" s="37">
        <f t="shared" si="32"/>
        <v>3738000</v>
      </c>
      <c r="L87" s="37">
        <f t="shared" si="32"/>
        <v>3786000</v>
      </c>
      <c r="M87" s="37">
        <f t="shared" si="32"/>
        <v>3732000</v>
      </c>
      <c r="N87" s="37">
        <f t="shared" si="32"/>
        <v>5813000</v>
      </c>
      <c r="O87" s="37">
        <f t="shared" si="32"/>
        <v>3729000</v>
      </c>
      <c r="P87" s="37">
        <f t="shared" si="32"/>
        <v>126000</v>
      </c>
      <c r="Q87" s="37">
        <f t="shared" si="32"/>
        <v>132000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35000</v>
      </c>
      <c r="E88" s="108" t="s">
        <v>193</v>
      </c>
      <c r="F88" s="108">
        <f>ROUND($D88/2,-3)</f>
        <v>18000</v>
      </c>
      <c r="G88" s="108"/>
      <c r="H88" s="108"/>
      <c r="I88" s="108"/>
      <c r="J88" s="108"/>
      <c r="K88" s="108"/>
      <c r="L88" s="108">
        <f>D88-F88</f>
        <v>17000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2000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1000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51981000</v>
      </c>
      <c r="E91" s="108"/>
      <c r="F91" s="108">
        <f>F92+F93+F94+F95</f>
        <v>15336000</v>
      </c>
      <c r="G91" s="108">
        <f t="shared" ref="G91:Q91" si="34">G92+G93+G94+G95</f>
        <v>3722000</v>
      </c>
      <c r="H91" s="108">
        <f t="shared" si="34"/>
        <v>3921000</v>
      </c>
      <c r="I91" s="108">
        <f t="shared" si="34"/>
        <v>4233000</v>
      </c>
      <c r="J91" s="108">
        <f t="shared" si="34"/>
        <v>3732000</v>
      </c>
      <c r="K91" s="108">
        <f t="shared" si="34"/>
        <v>3738000</v>
      </c>
      <c r="L91" s="108">
        <f t="shared" si="34"/>
        <v>3768000</v>
      </c>
      <c r="M91" s="108">
        <f t="shared" si="34"/>
        <v>3732000</v>
      </c>
      <c r="N91" s="108">
        <f t="shared" si="34"/>
        <v>5813000</v>
      </c>
      <c r="O91" s="108">
        <f t="shared" si="34"/>
        <v>3729000</v>
      </c>
      <c r="P91" s="108">
        <f t="shared" si="34"/>
        <v>126000</v>
      </c>
      <c r="Q91" s="108">
        <f t="shared" si="34"/>
        <v>131000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2465000</v>
      </c>
      <c r="E92" s="114" t="s">
        <v>537</v>
      </c>
      <c r="F92" s="37">
        <f>ROUND($D92/12*5,-3)</f>
        <v>1027000</v>
      </c>
      <c r="G92" s="37">
        <f>ROUND($D92/12,-3)</f>
        <v>205000</v>
      </c>
      <c r="H92" s="37">
        <f t="shared" ref="H92:L92" si="35">ROUND($D92/12,-3)</f>
        <v>205000</v>
      </c>
      <c r="I92" s="37">
        <f t="shared" si="35"/>
        <v>205000</v>
      </c>
      <c r="J92" s="37">
        <f t="shared" si="35"/>
        <v>205000</v>
      </c>
      <c r="K92" s="37">
        <f t="shared" si="35"/>
        <v>205000</v>
      </c>
      <c r="L92" s="37">
        <f t="shared" si="35"/>
        <v>205000</v>
      </c>
      <c r="M92" s="37">
        <f>D92-SUM(F92:L92)</f>
        <v>208000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265000</v>
      </c>
      <c r="E93" s="189" t="s">
        <v>227</v>
      </c>
      <c r="F93" s="37">
        <f>ROUND($D93/12,-3)</f>
        <v>22000</v>
      </c>
      <c r="G93" s="37">
        <f t="shared" ref="G93:P93" si="36">ROUND($D93/12,-3)</f>
        <v>22000</v>
      </c>
      <c r="H93" s="37">
        <f t="shared" si="36"/>
        <v>22000</v>
      </c>
      <c r="I93" s="37">
        <f t="shared" si="36"/>
        <v>22000</v>
      </c>
      <c r="J93" s="37">
        <f t="shared" si="36"/>
        <v>22000</v>
      </c>
      <c r="K93" s="37">
        <f t="shared" si="36"/>
        <v>22000</v>
      </c>
      <c r="L93" s="37">
        <f t="shared" si="36"/>
        <v>22000</v>
      </c>
      <c r="M93" s="37">
        <f t="shared" si="36"/>
        <v>22000</v>
      </c>
      <c r="N93" s="37">
        <f t="shared" si="36"/>
        <v>22000</v>
      </c>
      <c r="O93" s="37">
        <f t="shared" si="36"/>
        <v>22000</v>
      </c>
      <c r="P93" s="37">
        <f t="shared" si="36"/>
        <v>22000</v>
      </c>
      <c r="Q93" s="37">
        <f>D93-SUM(F93:P93)</f>
        <v>23000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630000</v>
      </c>
      <c r="E94" s="190" t="s">
        <v>229</v>
      </c>
      <c r="F94" s="37"/>
      <c r="G94" s="37"/>
      <c r="H94" s="37">
        <f>ROUND($D94/2,-3)</f>
        <v>315000</v>
      </c>
      <c r="I94" s="37"/>
      <c r="J94" s="37"/>
      <c r="K94" s="37"/>
      <c r="L94" s="37"/>
      <c r="M94" s="37"/>
      <c r="N94" s="37"/>
      <c r="O94" s="37">
        <f>D94-H94</f>
        <v>315000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48621000</v>
      </c>
      <c r="E95" s="37"/>
      <c r="F95" s="37">
        <f>F2+F86-F88-F89-F90-F92-F93-F94</f>
        <v>14287000</v>
      </c>
      <c r="G95" s="37">
        <f t="shared" ref="G95:Q95" si="37">G2-G88-G89-G90-G92-G93-G94</f>
        <v>3495000</v>
      </c>
      <c r="H95" s="37">
        <f t="shared" si="37"/>
        <v>3379000</v>
      </c>
      <c r="I95" s="37">
        <f t="shared" si="37"/>
        <v>4006000</v>
      </c>
      <c r="J95" s="37">
        <f t="shared" si="37"/>
        <v>3505000</v>
      </c>
      <c r="K95" s="37">
        <f t="shared" si="37"/>
        <v>3511000</v>
      </c>
      <c r="L95" s="37">
        <f t="shared" si="37"/>
        <v>3541000</v>
      </c>
      <c r="M95" s="37">
        <f t="shared" si="37"/>
        <v>3502000</v>
      </c>
      <c r="N95" s="37">
        <f t="shared" si="37"/>
        <v>5791000</v>
      </c>
      <c r="O95" s="37">
        <f t="shared" si="37"/>
        <v>3392000</v>
      </c>
      <c r="P95" s="37">
        <f t="shared" si="37"/>
        <v>104000</v>
      </c>
      <c r="Q95" s="37">
        <f t="shared" si="37"/>
        <v>108000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800000</v>
      </c>
    </row>
    <row r="99" spans="2:17" ht="32.4">
      <c r="B99" s="72" t="s">
        <v>235</v>
      </c>
      <c r="D99" s="30">
        <f>HLOOKUP(D1,[1]縣庫撥款收入明細表!H:DD,5,FALSE)</f>
        <v>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251000</v>
      </c>
    </row>
    <row r="103" spans="2:17" ht="32.4">
      <c r="B103" s="72" t="s">
        <v>239</v>
      </c>
      <c r="D103" s="30">
        <f>HLOOKUP(D1,[1]縣庫撥款收入明細表!H:DD,17,FALSE)</f>
        <v>0</v>
      </c>
    </row>
    <row r="104" spans="2:17" ht="32.4">
      <c r="B104" s="76" t="s">
        <v>240</v>
      </c>
      <c r="D104" s="30">
        <f>HLOOKUP(D1,[1]縣庫撥款收入明細表!H:DD,18,FALSE)</f>
        <v>630000</v>
      </c>
    </row>
    <row r="105" spans="2:17" ht="32.4">
      <c r="B105" s="72" t="s">
        <v>380</v>
      </c>
      <c r="D105" s="30">
        <f>HLOOKUP(D1,[1]縣庫撥款收入明細表!H:DD,19,FALSE)</f>
        <v>650000</v>
      </c>
    </row>
    <row r="106" spans="2:17" ht="32.4">
      <c r="B106" s="71" t="s">
        <v>241</v>
      </c>
      <c r="D106" s="30">
        <f>HLOOKUP(D1,[1]縣庫撥款收入明細表!H:DD,20,FALSE)</f>
        <v>14000</v>
      </c>
    </row>
    <row r="107" spans="2:17" ht="32.4">
      <c r="B107" s="77" t="s">
        <v>242</v>
      </c>
      <c r="D107" s="30">
        <f>HLOOKUP(D1,[1]縣庫撥款收入明細表!H:DD,21,FALSE)</f>
        <v>48621000</v>
      </c>
    </row>
    <row r="108" spans="2:17" ht="16.5" customHeight="1"/>
    <row r="109" spans="2:17" ht="16.5" customHeight="1">
      <c r="B109" s="4" t="s">
        <v>682</v>
      </c>
      <c r="D109" s="30">
        <f>D91-D76</f>
        <v>44353000</v>
      </c>
      <c r="F109" s="30">
        <f>F91-F76</f>
        <v>13428000</v>
      </c>
      <c r="G109" s="30">
        <f t="shared" ref="G109:Q109" si="38">G91-G76</f>
        <v>3086000</v>
      </c>
      <c r="H109" s="30">
        <f t="shared" si="38"/>
        <v>3285000</v>
      </c>
      <c r="I109" s="30">
        <f t="shared" si="38"/>
        <v>3597000</v>
      </c>
      <c r="J109" s="30">
        <f t="shared" si="38"/>
        <v>3096000</v>
      </c>
      <c r="K109" s="30">
        <f t="shared" si="38"/>
        <v>3102000</v>
      </c>
      <c r="L109" s="30">
        <f t="shared" si="38"/>
        <v>3132000</v>
      </c>
      <c r="M109" s="30">
        <f t="shared" si="38"/>
        <v>3096000</v>
      </c>
      <c r="N109" s="30">
        <f t="shared" si="38"/>
        <v>5177000</v>
      </c>
      <c r="O109" s="30">
        <f t="shared" si="38"/>
        <v>3097000</v>
      </c>
      <c r="P109" s="30">
        <f t="shared" si="38"/>
        <v>126000</v>
      </c>
      <c r="Q109" s="30">
        <f t="shared" si="38"/>
        <v>131000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20" priority="1" operator="lessThan">
      <formula>0</formula>
    </cfRule>
  </conditionalFormatting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topLeftCell="A88" zoomScale="85" zoomScaleNormal="85"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648</v>
      </c>
      <c r="D1" s="28" t="str">
        <f>VLOOKUP(C1,[1]學校編號!A:B,2,FALSE)</f>
        <v>648瑞美國小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23809000</v>
      </c>
      <c r="E2" s="37"/>
      <c r="F2" s="37">
        <f>F48+F70+F76+F77+F83</f>
        <v>7057000</v>
      </c>
      <c r="G2" s="37">
        <f t="shared" ref="G2:Q2" si="0">G48+G70+G76+G77+G83</f>
        <v>1680000</v>
      </c>
      <c r="H2" s="37">
        <f t="shared" si="0"/>
        <v>1748000</v>
      </c>
      <c r="I2" s="37">
        <f t="shared" si="0"/>
        <v>1943000</v>
      </c>
      <c r="J2" s="37">
        <f t="shared" si="0"/>
        <v>1680000</v>
      </c>
      <c r="K2" s="37">
        <f t="shared" si="0"/>
        <v>1682000</v>
      </c>
      <c r="L2" s="37">
        <f t="shared" si="0"/>
        <v>1726000</v>
      </c>
      <c r="M2" s="37">
        <f t="shared" si="0"/>
        <v>1680000</v>
      </c>
      <c r="N2" s="37">
        <f t="shared" si="0"/>
        <v>2774000</v>
      </c>
      <c r="O2" s="37">
        <f t="shared" si="0"/>
        <v>1682000</v>
      </c>
      <c r="P2" s="37">
        <f t="shared" si="0"/>
        <v>77000</v>
      </c>
      <c r="Q2" s="37">
        <f t="shared" si="0"/>
        <v>80000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71000</v>
      </c>
      <c r="E6" s="37" t="s">
        <v>525</v>
      </c>
      <c r="F6" s="37">
        <f t="shared" si="1"/>
        <v>5917</v>
      </c>
      <c r="G6" s="37">
        <f t="shared" si="1"/>
        <v>5917</v>
      </c>
      <c r="H6" s="37">
        <f t="shared" si="1"/>
        <v>5917</v>
      </c>
      <c r="I6" s="37">
        <f t="shared" si="1"/>
        <v>5917</v>
      </c>
      <c r="J6" s="37">
        <f t="shared" si="1"/>
        <v>5917</v>
      </c>
      <c r="K6" s="37">
        <f t="shared" si="1"/>
        <v>5917</v>
      </c>
      <c r="L6" s="37">
        <f t="shared" si="1"/>
        <v>5917</v>
      </c>
      <c r="M6" s="37">
        <f t="shared" si="1"/>
        <v>5917</v>
      </c>
      <c r="N6" s="37">
        <f t="shared" si="1"/>
        <v>5917</v>
      </c>
      <c r="O6" s="37">
        <f t="shared" si="1"/>
        <v>5917</v>
      </c>
      <c r="P6" s="37">
        <f t="shared" si="1"/>
        <v>5917</v>
      </c>
      <c r="Q6" s="37">
        <f t="shared" si="2"/>
        <v>5913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80000</v>
      </c>
      <c r="E14" s="37" t="s">
        <v>525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32000</v>
      </c>
      <c r="E15" s="37" t="s">
        <v>193</v>
      </c>
      <c r="F15" s="37">
        <f>ROUND($D15/2,-3)</f>
        <v>16000</v>
      </c>
      <c r="G15" s="37"/>
      <c r="H15" s="37"/>
      <c r="I15" s="37"/>
      <c r="J15" s="37"/>
      <c r="K15" s="37"/>
      <c r="L15" s="37">
        <f>D15-F15</f>
        <v>16000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60000</v>
      </c>
      <c r="E24" s="37" t="s">
        <v>193</v>
      </c>
      <c r="F24" s="37">
        <f>ROUND($D24/2,-3)</f>
        <v>30000</v>
      </c>
      <c r="G24" s="37"/>
      <c r="H24" s="37"/>
      <c r="I24" s="37"/>
      <c r="J24" s="37"/>
      <c r="K24" s="37"/>
      <c r="L24" s="37">
        <f>D24-F24</f>
        <v>30000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709000</v>
      </c>
      <c r="E25" s="108"/>
      <c r="F25" s="108">
        <f>ROUND(SUM(F3:F24),-3)</f>
        <v>97000</v>
      </c>
      <c r="G25" s="108">
        <f t="shared" ref="G25:P25" si="5">ROUND(SUM(G3:G24),-3)</f>
        <v>51000</v>
      </c>
      <c r="H25" s="108">
        <f t="shared" si="5"/>
        <v>51000</v>
      </c>
      <c r="I25" s="108">
        <f t="shared" si="5"/>
        <v>51000</v>
      </c>
      <c r="J25" s="108">
        <f t="shared" si="5"/>
        <v>51000</v>
      </c>
      <c r="K25" s="108">
        <f t="shared" si="5"/>
        <v>51000</v>
      </c>
      <c r="L25" s="108">
        <f t="shared" si="5"/>
        <v>97000</v>
      </c>
      <c r="M25" s="108">
        <f t="shared" si="5"/>
        <v>51000</v>
      </c>
      <c r="N25" s="108">
        <f t="shared" si="5"/>
        <v>51000</v>
      </c>
      <c r="O25" s="108">
        <f t="shared" si="5"/>
        <v>51000</v>
      </c>
      <c r="P25" s="108">
        <f t="shared" si="5"/>
        <v>51000</v>
      </c>
      <c r="Q25" s="108">
        <f t="shared" ref="Q25:Q33" si="6">D25-SUM(F25:P25)</f>
        <v>56000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248000</v>
      </c>
      <c r="E27" s="37" t="s">
        <v>525</v>
      </c>
      <c r="F27" s="37">
        <f t="shared" ref="F27:P33" si="8">ROUND($D27/12,0)</f>
        <v>20667</v>
      </c>
      <c r="G27" s="37">
        <f t="shared" si="8"/>
        <v>20667</v>
      </c>
      <c r="H27" s="37">
        <f t="shared" si="8"/>
        <v>20667</v>
      </c>
      <c r="I27" s="37">
        <f t="shared" si="8"/>
        <v>20667</v>
      </c>
      <c r="J27" s="37">
        <f t="shared" si="8"/>
        <v>20667</v>
      </c>
      <c r="K27" s="37">
        <f t="shared" si="8"/>
        <v>20667</v>
      </c>
      <c r="L27" s="37">
        <f t="shared" si="8"/>
        <v>20667</v>
      </c>
      <c r="M27" s="37">
        <f t="shared" si="8"/>
        <v>20667</v>
      </c>
      <c r="N27" s="37">
        <f t="shared" si="8"/>
        <v>20667</v>
      </c>
      <c r="O27" s="37">
        <f t="shared" si="8"/>
        <v>20667</v>
      </c>
      <c r="P27" s="37">
        <f t="shared" si="8"/>
        <v>20667</v>
      </c>
      <c r="Q27" s="37">
        <f t="shared" si="6"/>
        <v>20663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7000</v>
      </c>
      <c r="E30" s="37" t="s">
        <v>525</v>
      </c>
      <c r="F30" s="37">
        <f t="shared" si="8"/>
        <v>583</v>
      </c>
      <c r="G30" s="37">
        <f t="shared" si="8"/>
        <v>583</v>
      </c>
      <c r="H30" s="37">
        <f t="shared" si="8"/>
        <v>583</v>
      </c>
      <c r="I30" s="37">
        <f t="shared" si="8"/>
        <v>583</v>
      </c>
      <c r="J30" s="37">
        <f t="shared" si="8"/>
        <v>583</v>
      </c>
      <c r="K30" s="37">
        <f t="shared" si="8"/>
        <v>583</v>
      </c>
      <c r="L30" s="37">
        <f t="shared" si="8"/>
        <v>583</v>
      </c>
      <c r="M30" s="37">
        <f t="shared" si="8"/>
        <v>583</v>
      </c>
      <c r="N30" s="37">
        <f t="shared" si="8"/>
        <v>583</v>
      </c>
      <c r="O30" s="37">
        <f t="shared" si="8"/>
        <v>583</v>
      </c>
      <c r="P30" s="37">
        <f t="shared" si="8"/>
        <v>583</v>
      </c>
      <c r="Q30" s="37">
        <f t="shared" si="6"/>
        <v>587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4000</v>
      </c>
      <c r="E31" s="37" t="s">
        <v>525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278000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25000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993000</v>
      </c>
      <c r="E48" s="37"/>
      <c r="F48" s="115">
        <f>F25+F37+F45+F47</f>
        <v>122000</v>
      </c>
      <c r="G48" s="115">
        <f t="shared" ref="G48:R48" si="14">G25+G37+G45+G47</f>
        <v>74000</v>
      </c>
      <c r="H48" s="115">
        <f t="shared" si="14"/>
        <v>74000</v>
      </c>
      <c r="I48" s="115">
        <f t="shared" si="14"/>
        <v>74000</v>
      </c>
      <c r="J48" s="115">
        <f t="shared" si="14"/>
        <v>74000</v>
      </c>
      <c r="K48" s="115">
        <f t="shared" si="14"/>
        <v>76000</v>
      </c>
      <c r="L48" s="115">
        <f t="shared" si="14"/>
        <v>120000</v>
      </c>
      <c r="M48" s="115">
        <f t="shared" si="14"/>
        <v>74000</v>
      </c>
      <c r="N48" s="115">
        <f t="shared" si="14"/>
        <v>76000</v>
      </c>
      <c r="O48" s="115">
        <f t="shared" si="14"/>
        <v>74000</v>
      </c>
      <c r="P48" s="115">
        <f t="shared" si="14"/>
        <v>74000</v>
      </c>
      <c r="Q48" s="115">
        <f t="shared" si="14"/>
        <v>81000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12219000</v>
      </c>
      <c r="E49" s="114" t="s">
        <v>202</v>
      </c>
      <c r="F49" s="37">
        <f>ROUND($D49/12*3,-3)</f>
        <v>3055000</v>
      </c>
      <c r="G49" s="37">
        <f>ROUND($D49/12,-3)</f>
        <v>1018000</v>
      </c>
      <c r="H49" s="37">
        <f t="shared" ref="H49:N53" si="15">ROUND($D49/12,-3)</f>
        <v>1018000</v>
      </c>
      <c r="I49" s="37">
        <f t="shared" si="15"/>
        <v>1018000</v>
      </c>
      <c r="J49" s="37">
        <f t="shared" si="15"/>
        <v>1018000</v>
      </c>
      <c r="K49" s="37">
        <f t="shared" si="15"/>
        <v>1018000</v>
      </c>
      <c r="L49" s="37">
        <f t="shared" si="15"/>
        <v>1018000</v>
      </c>
      <c r="M49" s="37">
        <f t="shared" si="15"/>
        <v>1018000</v>
      </c>
      <c r="N49" s="37">
        <f t="shared" si="15"/>
        <v>1018000</v>
      </c>
      <c r="O49" s="37">
        <f>D49-SUM(F49:N49)</f>
        <v>1020000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1349000</v>
      </c>
      <c r="E51" s="114" t="s">
        <v>202</v>
      </c>
      <c r="F51" s="37">
        <f t="shared" si="16"/>
        <v>337000</v>
      </c>
      <c r="G51" s="37">
        <f t="shared" si="17"/>
        <v>112000</v>
      </c>
      <c r="H51" s="37">
        <f t="shared" si="15"/>
        <v>112000</v>
      </c>
      <c r="I51" s="37">
        <f t="shared" si="15"/>
        <v>112000</v>
      </c>
      <c r="J51" s="37">
        <f t="shared" si="15"/>
        <v>112000</v>
      </c>
      <c r="K51" s="37">
        <f t="shared" si="15"/>
        <v>112000</v>
      </c>
      <c r="L51" s="37">
        <f t="shared" si="15"/>
        <v>112000</v>
      </c>
      <c r="M51" s="37">
        <f t="shared" si="15"/>
        <v>112000</v>
      </c>
      <c r="N51" s="37">
        <f t="shared" si="15"/>
        <v>112000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32000</v>
      </c>
      <c r="E54" s="37" t="s">
        <v>525</v>
      </c>
      <c r="F54" s="37">
        <f t="shared" ref="F54:P61" si="19">ROUND($D54/12,0)</f>
        <v>2667</v>
      </c>
      <c r="G54" s="37">
        <f t="shared" si="19"/>
        <v>2667</v>
      </c>
      <c r="H54" s="37">
        <f t="shared" si="19"/>
        <v>2667</v>
      </c>
      <c r="I54" s="37">
        <f t="shared" si="19"/>
        <v>2667</v>
      </c>
      <c r="J54" s="37">
        <f t="shared" si="19"/>
        <v>2667</v>
      </c>
      <c r="K54" s="37">
        <f t="shared" si="19"/>
        <v>2667</v>
      </c>
      <c r="L54" s="37">
        <f t="shared" si="19"/>
        <v>2667</v>
      </c>
      <c r="M54" s="37">
        <f t="shared" si="19"/>
        <v>2667</v>
      </c>
      <c r="N54" s="37">
        <f t="shared" si="19"/>
        <v>2667</v>
      </c>
      <c r="O54" s="37">
        <f t="shared" si="19"/>
        <v>2667</v>
      </c>
      <c r="P54" s="37">
        <f t="shared" si="19"/>
        <v>2667</v>
      </c>
      <c r="Q54" s="37">
        <f t="shared" ref="Q54:Q61" si="20">D54-SUM(F54:P54)</f>
        <v>2663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0</v>
      </c>
      <c r="E59" s="37" t="s">
        <v>525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334000</v>
      </c>
      <c r="E60" s="37" t="s">
        <v>195</v>
      </c>
      <c r="F60" s="37">
        <f>D60</f>
        <v>334000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1315000</v>
      </c>
      <c r="E62" s="37" t="s">
        <v>197</v>
      </c>
      <c r="F62" s="37"/>
      <c r="G62" s="37"/>
      <c r="H62" s="37"/>
      <c r="I62" s="37">
        <f>ROUND($D62/5,-3)</f>
        <v>263000</v>
      </c>
      <c r="J62" s="37"/>
      <c r="K62" s="37"/>
      <c r="L62" s="37"/>
      <c r="M62" s="37"/>
      <c r="N62" s="37">
        <f>D62-I62</f>
        <v>1052000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1517000</v>
      </c>
      <c r="E63" s="37" t="s">
        <v>195</v>
      </c>
      <c r="F63" s="37">
        <f>D63</f>
        <v>1517000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1223000</v>
      </c>
      <c r="E64" s="114" t="s">
        <v>202</v>
      </c>
      <c r="F64" s="37">
        <f>ROUND($D64/12*3,-3)</f>
        <v>306000</v>
      </c>
      <c r="G64" s="37">
        <f>ROUND($D64/12,-3)</f>
        <v>102000</v>
      </c>
      <c r="H64" s="37">
        <f t="shared" ref="H64:N66" si="21">ROUND($D64/12,-3)</f>
        <v>102000</v>
      </c>
      <c r="I64" s="37">
        <f t="shared" si="21"/>
        <v>102000</v>
      </c>
      <c r="J64" s="37">
        <f t="shared" si="21"/>
        <v>102000</v>
      </c>
      <c r="K64" s="37">
        <f t="shared" si="21"/>
        <v>102000</v>
      </c>
      <c r="L64" s="37">
        <f t="shared" si="21"/>
        <v>102000</v>
      </c>
      <c r="M64" s="37">
        <f t="shared" si="21"/>
        <v>102000</v>
      </c>
      <c r="N64" s="37">
        <f t="shared" si="21"/>
        <v>102000</v>
      </c>
      <c r="O64" s="37">
        <f>D64-SUM(F64:N64)</f>
        <v>101000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255000</v>
      </c>
      <c r="E65" s="114" t="s">
        <v>202</v>
      </c>
      <c r="F65" s="37">
        <f t="shared" ref="F65:F66" si="22">ROUND($D65/12*3,-3)</f>
        <v>64000</v>
      </c>
      <c r="G65" s="37">
        <f t="shared" ref="G65:G66" si="23">ROUND($D65/12,-3)</f>
        <v>21000</v>
      </c>
      <c r="H65" s="37">
        <f t="shared" si="21"/>
        <v>21000</v>
      </c>
      <c r="I65" s="37">
        <f t="shared" si="21"/>
        <v>21000</v>
      </c>
      <c r="J65" s="37">
        <f t="shared" si="21"/>
        <v>21000</v>
      </c>
      <c r="K65" s="37">
        <f t="shared" si="21"/>
        <v>21000</v>
      </c>
      <c r="L65" s="37">
        <f t="shared" si="21"/>
        <v>21000</v>
      </c>
      <c r="M65" s="37">
        <f t="shared" si="21"/>
        <v>21000</v>
      </c>
      <c r="N65" s="37">
        <f t="shared" si="21"/>
        <v>21000</v>
      </c>
      <c r="O65" s="37">
        <f t="shared" ref="O65:O66" si="24">D65-SUM(F65:N65)</f>
        <v>23000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1026000</v>
      </c>
      <c r="E66" s="114" t="s">
        <v>202</v>
      </c>
      <c r="F66" s="37">
        <f t="shared" si="22"/>
        <v>257000</v>
      </c>
      <c r="G66" s="37">
        <f t="shared" si="23"/>
        <v>86000</v>
      </c>
      <c r="H66" s="37">
        <f t="shared" si="21"/>
        <v>86000</v>
      </c>
      <c r="I66" s="37">
        <f t="shared" si="21"/>
        <v>86000</v>
      </c>
      <c r="J66" s="37">
        <f t="shared" si="21"/>
        <v>86000</v>
      </c>
      <c r="K66" s="37">
        <f t="shared" si="21"/>
        <v>86000</v>
      </c>
      <c r="L66" s="37">
        <f t="shared" si="21"/>
        <v>86000</v>
      </c>
      <c r="M66" s="37">
        <f t="shared" si="21"/>
        <v>86000</v>
      </c>
      <c r="N66" s="37">
        <f t="shared" si="21"/>
        <v>86000</v>
      </c>
      <c r="O66" s="37">
        <f t="shared" si="24"/>
        <v>81000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27000</v>
      </c>
      <c r="E67" s="37" t="s">
        <v>196</v>
      </c>
      <c r="F67" s="37"/>
      <c r="G67" s="37"/>
      <c r="H67" s="37">
        <f>D67</f>
        <v>27000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110000</v>
      </c>
      <c r="E68" s="37" t="s">
        <v>195</v>
      </c>
      <c r="F68" s="37">
        <f>D68</f>
        <v>110000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19672000</v>
      </c>
      <c r="E70" s="108"/>
      <c r="F70" s="108">
        <f t="shared" ref="F70:P70" si="25">ROUND(SUM(F49:F69),-3)</f>
        <v>6049000</v>
      </c>
      <c r="G70" s="108">
        <f t="shared" si="25"/>
        <v>1364000</v>
      </c>
      <c r="H70" s="108">
        <f t="shared" si="25"/>
        <v>1391000</v>
      </c>
      <c r="I70" s="108">
        <f t="shared" si="25"/>
        <v>1627000</v>
      </c>
      <c r="J70" s="108">
        <f t="shared" si="25"/>
        <v>1364000</v>
      </c>
      <c r="K70" s="108">
        <f t="shared" si="25"/>
        <v>1364000</v>
      </c>
      <c r="L70" s="108">
        <f t="shared" si="25"/>
        <v>1364000</v>
      </c>
      <c r="M70" s="108">
        <f t="shared" si="25"/>
        <v>1364000</v>
      </c>
      <c r="N70" s="108">
        <f t="shared" si="25"/>
        <v>2416000</v>
      </c>
      <c r="O70" s="108">
        <f t="shared" si="25"/>
        <v>1367000</v>
      </c>
      <c r="P70" s="108">
        <f t="shared" si="25"/>
        <v>3000</v>
      </c>
      <c r="Q70" s="108">
        <f>D70-SUM(F70:P70)</f>
        <v>-1000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2903000</v>
      </c>
      <c r="E72" s="114" t="s">
        <v>202</v>
      </c>
      <c r="F72" s="37">
        <f>ROUND($D72/12*3,-3)</f>
        <v>726000</v>
      </c>
      <c r="G72" s="37">
        <f>ROUND($D72/12,-3)</f>
        <v>242000</v>
      </c>
      <c r="H72" s="37">
        <f t="shared" ref="H72:N75" si="26">ROUND($D72/12,-3)</f>
        <v>242000</v>
      </c>
      <c r="I72" s="37">
        <f t="shared" si="26"/>
        <v>242000</v>
      </c>
      <c r="J72" s="37">
        <f t="shared" si="26"/>
        <v>242000</v>
      </c>
      <c r="K72" s="37">
        <f t="shared" si="26"/>
        <v>242000</v>
      </c>
      <c r="L72" s="37">
        <f t="shared" si="26"/>
        <v>242000</v>
      </c>
      <c r="M72" s="37">
        <f t="shared" si="26"/>
        <v>242000</v>
      </c>
      <c r="N72" s="37">
        <f t="shared" si="26"/>
        <v>242000</v>
      </c>
      <c r="O72" s="37">
        <f>D72-SUM(F72:N72)</f>
        <v>241000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2903000</v>
      </c>
      <c r="E76" s="108"/>
      <c r="F76" s="108">
        <f>ROUND(SUM(F71:F75),-3)</f>
        <v>726000</v>
      </c>
      <c r="G76" s="108">
        <f t="shared" ref="G76:N76" si="27">ROUND(SUM(G71:G75),-3)</f>
        <v>242000</v>
      </c>
      <c r="H76" s="108">
        <f t="shared" si="27"/>
        <v>242000</v>
      </c>
      <c r="I76" s="108">
        <f t="shared" si="27"/>
        <v>242000</v>
      </c>
      <c r="J76" s="108">
        <f t="shared" si="27"/>
        <v>242000</v>
      </c>
      <c r="K76" s="108">
        <f t="shared" si="27"/>
        <v>242000</v>
      </c>
      <c r="L76" s="108">
        <f t="shared" si="27"/>
        <v>242000</v>
      </c>
      <c r="M76" s="108">
        <f t="shared" si="27"/>
        <v>242000</v>
      </c>
      <c r="N76" s="108">
        <f t="shared" si="27"/>
        <v>242000</v>
      </c>
      <c r="O76" s="108">
        <f>D76-SUM(F76:N76)</f>
        <v>241000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81000</v>
      </c>
      <c r="E77" s="37" t="s">
        <v>681</v>
      </c>
      <c r="F77" s="224"/>
      <c r="G77" s="224"/>
      <c r="H77" s="224">
        <f>ROUND($D77/2,-3)</f>
        <v>41000</v>
      </c>
      <c r="I77" s="224"/>
      <c r="J77" s="224"/>
      <c r="K77" s="224"/>
      <c r="L77" s="224"/>
      <c r="M77" s="224"/>
      <c r="N77" s="224">
        <f>D77-H77</f>
        <v>40000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22656000</v>
      </c>
      <c r="E78" s="227"/>
      <c r="F78" s="227">
        <f>F76+F70+F77</f>
        <v>6775000</v>
      </c>
      <c r="G78" s="227">
        <f t="shared" ref="G78:Q78" si="29">G76+G70+G77</f>
        <v>1606000</v>
      </c>
      <c r="H78" s="227">
        <f t="shared" si="29"/>
        <v>1674000</v>
      </c>
      <c r="I78" s="227">
        <f t="shared" si="29"/>
        <v>1869000</v>
      </c>
      <c r="J78" s="227">
        <f t="shared" si="29"/>
        <v>1606000</v>
      </c>
      <c r="K78" s="227">
        <f t="shared" si="29"/>
        <v>1606000</v>
      </c>
      <c r="L78" s="227">
        <f t="shared" si="29"/>
        <v>1606000</v>
      </c>
      <c r="M78" s="227">
        <f t="shared" si="29"/>
        <v>1606000</v>
      </c>
      <c r="N78" s="227">
        <f t="shared" si="29"/>
        <v>2698000</v>
      </c>
      <c r="O78" s="227">
        <f t="shared" si="29"/>
        <v>1608000</v>
      </c>
      <c r="P78" s="227">
        <f t="shared" si="29"/>
        <v>3000</v>
      </c>
      <c r="Q78" s="227">
        <f t="shared" si="29"/>
        <v>-1000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160000</v>
      </c>
      <c r="E80" s="108" t="s">
        <v>195</v>
      </c>
      <c r="F80" s="108">
        <f t="shared" ref="F80:F82" si="30">D80</f>
        <v>160000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160000</v>
      </c>
      <c r="E83" s="116"/>
      <c r="F83" s="116">
        <f>SUM(F79:F82)</f>
        <v>160000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-160000</v>
      </c>
      <c r="E86" s="37"/>
      <c r="F86" s="37">
        <f>D86</f>
        <v>-160000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23649000</v>
      </c>
      <c r="E87" s="37"/>
      <c r="F87" s="37">
        <f>F88+F89+F90+F91</f>
        <v>6897000</v>
      </c>
      <c r="G87" s="37">
        <f t="shared" ref="G87:Q87" si="32">G88+G89+G90+G91</f>
        <v>1680000</v>
      </c>
      <c r="H87" s="37">
        <f t="shared" si="32"/>
        <v>1748000</v>
      </c>
      <c r="I87" s="37">
        <f t="shared" si="32"/>
        <v>1943000</v>
      </c>
      <c r="J87" s="37">
        <f t="shared" si="32"/>
        <v>1680000</v>
      </c>
      <c r="K87" s="37">
        <f t="shared" si="32"/>
        <v>1682000</v>
      </c>
      <c r="L87" s="37">
        <f t="shared" si="32"/>
        <v>1726000</v>
      </c>
      <c r="M87" s="37">
        <f t="shared" si="32"/>
        <v>1680000</v>
      </c>
      <c r="N87" s="37">
        <f t="shared" si="32"/>
        <v>2774000</v>
      </c>
      <c r="O87" s="37">
        <f t="shared" si="32"/>
        <v>1682000</v>
      </c>
      <c r="P87" s="37">
        <f t="shared" si="32"/>
        <v>77000</v>
      </c>
      <c r="Q87" s="37">
        <f t="shared" si="32"/>
        <v>80000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83000</v>
      </c>
      <c r="E88" s="108" t="s">
        <v>193</v>
      </c>
      <c r="F88" s="108">
        <f>ROUND($D88/2,-3)</f>
        <v>42000</v>
      </c>
      <c r="G88" s="108"/>
      <c r="H88" s="108"/>
      <c r="I88" s="108"/>
      <c r="J88" s="108"/>
      <c r="K88" s="108"/>
      <c r="L88" s="108">
        <f>D88-F88</f>
        <v>41000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2000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1000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23564000</v>
      </c>
      <c r="E91" s="108"/>
      <c r="F91" s="108">
        <f>F92+F93+F94+F95</f>
        <v>6855000</v>
      </c>
      <c r="G91" s="108">
        <f t="shared" ref="G91:Q91" si="34">G92+G93+G94+G95</f>
        <v>1680000</v>
      </c>
      <c r="H91" s="108">
        <f t="shared" si="34"/>
        <v>1748000</v>
      </c>
      <c r="I91" s="108">
        <f t="shared" si="34"/>
        <v>1943000</v>
      </c>
      <c r="J91" s="108">
        <f t="shared" si="34"/>
        <v>1680000</v>
      </c>
      <c r="K91" s="108">
        <f t="shared" si="34"/>
        <v>1682000</v>
      </c>
      <c r="L91" s="108">
        <f t="shared" si="34"/>
        <v>1684000</v>
      </c>
      <c r="M91" s="108">
        <f t="shared" si="34"/>
        <v>1680000</v>
      </c>
      <c r="N91" s="108">
        <f t="shared" si="34"/>
        <v>2774000</v>
      </c>
      <c r="O91" s="108">
        <f t="shared" si="34"/>
        <v>1682000</v>
      </c>
      <c r="P91" s="108">
        <f t="shared" si="34"/>
        <v>77000</v>
      </c>
      <c r="Q91" s="108">
        <f t="shared" si="34"/>
        <v>79000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3255000</v>
      </c>
      <c r="E92" s="114" t="s">
        <v>537</v>
      </c>
      <c r="F92" s="37">
        <f>ROUND($D92/12*5,-3)</f>
        <v>1356000</v>
      </c>
      <c r="G92" s="37">
        <f>ROUND($D92/12,-3)</f>
        <v>271000</v>
      </c>
      <c r="H92" s="37">
        <f t="shared" ref="H92:L92" si="35">ROUND($D92/12,-3)</f>
        <v>271000</v>
      </c>
      <c r="I92" s="37">
        <f t="shared" si="35"/>
        <v>271000</v>
      </c>
      <c r="J92" s="37">
        <f t="shared" si="35"/>
        <v>271000</v>
      </c>
      <c r="K92" s="37">
        <f t="shared" si="35"/>
        <v>271000</v>
      </c>
      <c r="L92" s="37">
        <f t="shared" si="35"/>
        <v>271000</v>
      </c>
      <c r="M92" s="37">
        <f>D92-SUM(F92:L92)</f>
        <v>273000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20219000</v>
      </c>
      <c r="E95" s="37"/>
      <c r="F95" s="37">
        <f>F2+F86-F88-F89-F90-F92-F93-F94</f>
        <v>5491000</v>
      </c>
      <c r="G95" s="37">
        <f t="shared" ref="G95:Q95" si="37">G2-G88-G89-G90-G92-G93-G94</f>
        <v>1401000</v>
      </c>
      <c r="H95" s="37">
        <f t="shared" si="37"/>
        <v>1469000</v>
      </c>
      <c r="I95" s="37">
        <f t="shared" si="37"/>
        <v>1664000</v>
      </c>
      <c r="J95" s="37">
        <f t="shared" si="37"/>
        <v>1401000</v>
      </c>
      <c r="K95" s="37">
        <f t="shared" si="37"/>
        <v>1403000</v>
      </c>
      <c r="L95" s="37">
        <f t="shared" si="37"/>
        <v>1405000</v>
      </c>
      <c r="M95" s="37">
        <f t="shared" si="37"/>
        <v>1399000</v>
      </c>
      <c r="N95" s="37">
        <f t="shared" si="37"/>
        <v>2766000</v>
      </c>
      <c r="O95" s="37">
        <f t="shared" si="37"/>
        <v>1674000</v>
      </c>
      <c r="P95" s="37">
        <f t="shared" si="37"/>
        <v>69000</v>
      </c>
      <c r="Q95" s="37">
        <f t="shared" si="37"/>
        <v>77000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1590000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650000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20219000</v>
      </c>
    </row>
    <row r="108" spans="2:17" ht="16.5" customHeight="1"/>
    <row r="109" spans="2:17" ht="16.5" customHeight="1">
      <c r="B109" s="4" t="s">
        <v>682</v>
      </c>
      <c r="D109" s="30">
        <f>D91-D76</f>
        <v>20661000</v>
      </c>
      <c r="F109" s="30">
        <f>F91-F76</f>
        <v>6129000</v>
      </c>
      <c r="G109" s="30">
        <f t="shared" ref="G109:Q109" si="38">G91-G76</f>
        <v>1438000</v>
      </c>
      <c r="H109" s="30">
        <f t="shared" si="38"/>
        <v>1506000</v>
      </c>
      <c r="I109" s="30">
        <f t="shared" si="38"/>
        <v>1701000</v>
      </c>
      <c r="J109" s="30">
        <f t="shared" si="38"/>
        <v>1438000</v>
      </c>
      <c r="K109" s="30">
        <f t="shared" si="38"/>
        <v>1440000</v>
      </c>
      <c r="L109" s="30">
        <f t="shared" si="38"/>
        <v>1442000</v>
      </c>
      <c r="M109" s="30">
        <f t="shared" si="38"/>
        <v>1438000</v>
      </c>
      <c r="N109" s="30">
        <f t="shared" si="38"/>
        <v>2532000</v>
      </c>
      <c r="O109" s="30">
        <f t="shared" si="38"/>
        <v>1441000</v>
      </c>
      <c r="P109" s="30">
        <f t="shared" si="38"/>
        <v>77000</v>
      </c>
      <c r="Q109" s="30">
        <f t="shared" si="38"/>
        <v>79000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18" priority="1" operator="lessThan">
      <formula>0</formula>
    </cfRule>
  </conditionalFormatting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649</v>
      </c>
      <c r="D1" s="28" t="str">
        <f>VLOOKUP(C1,[1]學校編號!A:B,2,FALSE)</f>
        <v>649鶴岡國小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15562000</v>
      </c>
      <c r="E2" s="37"/>
      <c r="F2" s="37">
        <f>F48+F70+F76+F77+F83</f>
        <v>4741000</v>
      </c>
      <c r="G2" s="37">
        <f t="shared" ref="G2:Q2" si="0">G48+G70+G76+G77+G83</f>
        <v>1099000</v>
      </c>
      <c r="H2" s="37">
        <f t="shared" si="0"/>
        <v>1112000</v>
      </c>
      <c r="I2" s="37">
        <f t="shared" si="0"/>
        <v>1250000</v>
      </c>
      <c r="J2" s="37">
        <f t="shared" si="0"/>
        <v>1099000</v>
      </c>
      <c r="K2" s="37">
        <f t="shared" si="0"/>
        <v>1107000</v>
      </c>
      <c r="L2" s="37">
        <f t="shared" si="0"/>
        <v>1113000</v>
      </c>
      <c r="M2" s="37">
        <f t="shared" si="0"/>
        <v>1099000</v>
      </c>
      <c r="N2" s="37">
        <f t="shared" si="0"/>
        <v>1709000</v>
      </c>
      <c r="O2" s="37">
        <f t="shared" si="0"/>
        <v>1098000</v>
      </c>
      <c r="P2" s="37">
        <f t="shared" si="0"/>
        <v>68000</v>
      </c>
      <c r="Q2" s="37">
        <f t="shared" si="0"/>
        <v>67000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120000</v>
      </c>
      <c r="E3" s="37" t="s">
        <v>525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51000</v>
      </c>
      <c r="E4" s="37" t="s">
        <v>525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63000</v>
      </c>
      <c r="E7" s="37" t="s">
        <v>525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164000</v>
      </c>
      <c r="E13" s="37" t="s">
        <v>525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28000</v>
      </c>
      <c r="E15" s="37" t="s">
        <v>193</v>
      </c>
      <c r="F15" s="37">
        <f>ROUND($D15/2,-3)</f>
        <v>14000</v>
      </c>
      <c r="G15" s="37"/>
      <c r="H15" s="37"/>
      <c r="I15" s="37"/>
      <c r="J15" s="37"/>
      <c r="K15" s="37"/>
      <c r="L15" s="37">
        <f>D15-F15</f>
        <v>14000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0</v>
      </c>
      <c r="E16" s="37" t="s">
        <v>525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42000</v>
      </c>
      <c r="E17" s="37" t="s">
        <v>525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528000</v>
      </c>
      <c r="E25" s="108"/>
      <c r="F25" s="108">
        <f>ROUND(SUM(F3:F24),-3)</f>
        <v>56000</v>
      </c>
      <c r="G25" s="108">
        <f t="shared" ref="G25:P25" si="5">ROUND(SUM(G3:G24),-3)</f>
        <v>42000</v>
      </c>
      <c r="H25" s="108">
        <f t="shared" si="5"/>
        <v>42000</v>
      </c>
      <c r="I25" s="108">
        <f t="shared" si="5"/>
        <v>42000</v>
      </c>
      <c r="J25" s="108">
        <f t="shared" si="5"/>
        <v>42000</v>
      </c>
      <c r="K25" s="108">
        <f t="shared" si="5"/>
        <v>42000</v>
      </c>
      <c r="L25" s="108">
        <f t="shared" si="5"/>
        <v>56000</v>
      </c>
      <c r="M25" s="108">
        <f t="shared" si="5"/>
        <v>42000</v>
      </c>
      <c r="N25" s="108">
        <f t="shared" si="5"/>
        <v>42000</v>
      </c>
      <c r="O25" s="108">
        <f t="shared" si="5"/>
        <v>42000</v>
      </c>
      <c r="P25" s="108">
        <f t="shared" si="5"/>
        <v>42000</v>
      </c>
      <c r="Q25" s="108">
        <f t="shared" ref="Q25:Q33" si="6">D25-SUM(F25:P25)</f>
        <v>38000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241000</v>
      </c>
      <c r="E27" s="37" t="s">
        <v>525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18000</v>
      </c>
      <c r="E29" s="37" t="s">
        <v>525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4000</v>
      </c>
      <c r="E30" s="37" t="s">
        <v>525</v>
      </c>
      <c r="F30" s="37">
        <f t="shared" si="8"/>
        <v>333</v>
      </c>
      <c r="G30" s="37">
        <f t="shared" si="8"/>
        <v>333</v>
      </c>
      <c r="H30" s="37">
        <f t="shared" si="8"/>
        <v>333</v>
      </c>
      <c r="I30" s="37">
        <f t="shared" si="8"/>
        <v>333</v>
      </c>
      <c r="J30" s="37">
        <f t="shared" si="8"/>
        <v>333</v>
      </c>
      <c r="K30" s="37">
        <f t="shared" si="8"/>
        <v>333</v>
      </c>
      <c r="L30" s="37">
        <f t="shared" si="8"/>
        <v>333</v>
      </c>
      <c r="M30" s="37">
        <f t="shared" si="8"/>
        <v>333</v>
      </c>
      <c r="N30" s="37">
        <f t="shared" si="8"/>
        <v>333</v>
      </c>
      <c r="O30" s="37">
        <f t="shared" si="8"/>
        <v>333</v>
      </c>
      <c r="P30" s="37">
        <f t="shared" si="8"/>
        <v>333</v>
      </c>
      <c r="Q30" s="37">
        <f t="shared" si="6"/>
        <v>337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2000</v>
      </c>
      <c r="E31" s="37" t="s">
        <v>525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265000</v>
      </c>
      <c r="E37" s="108"/>
      <c r="F37" s="108">
        <f t="shared" ref="F37:P37" si="9">ROUND(SUM(F26:F36),-3)</f>
        <v>22000</v>
      </c>
      <c r="G37" s="108">
        <f t="shared" si="9"/>
        <v>22000</v>
      </c>
      <c r="H37" s="108">
        <f t="shared" si="9"/>
        <v>22000</v>
      </c>
      <c r="I37" s="108">
        <f t="shared" si="9"/>
        <v>22000</v>
      </c>
      <c r="J37" s="108">
        <f t="shared" si="9"/>
        <v>22000</v>
      </c>
      <c r="K37" s="108">
        <f t="shared" si="9"/>
        <v>22000</v>
      </c>
      <c r="L37" s="108">
        <f t="shared" si="9"/>
        <v>22000</v>
      </c>
      <c r="M37" s="108">
        <f t="shared" si="9"/>
        <v>22000</v>
      </c>
      <c r="N37" s="108">
        <f t="shared" si="9"/>
        <v>22000</v>
      </c>
      <c r="O37" s="108">
        <f t="shared" si="9"/>
        <v>22000</v>
      </c>
      <c r="P37" s="108">
        <f t="shared" si="9"/>
        <v>22000</v>
      </c>
      <c r="Q37" s="108">
        <f>D37-SUM(F37:P37)</f>
        <v>23000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24000</v>
      </c>
      <c r="E46" s="37" t="s">
        <v>194</v>
      </c>
      <c r="F46" s="37">
        <f>ROUND($D46/3,0)</f>
        <v>8000</v>
      </c>
      <c r="G46" s="37"/>
      <c r="H46" s="37"/>
      <c r="I46" s="37"/>
      <c r="J46" s="37"/>
      <c r="K46" s="37">
        <f>ROUND($D46/3,0)</f>
        <v>8000</v>
      </c>
      <c r="L46" s="37"/>
      <c r="M46" s="37"/>
      <c r="N46" s="37">
        <f>ROUND($D46/3,0)</f>
        <v>8000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24000</v>
      </c>
      <c r="E47" s="108"/>
      <c r="F47" s="108">
        <f t="shared" ref="F47:P47" si="13">ROUND(SUM(F46),-3)</f>
        <v>8000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8000</v>
      </c>
      <c r="L47" s="108">
        <f t="shared" si="13"/>
        <v>0</v>
      </c>
      <c r="M47" s="108">
        <f t="shared" si="13"/>
        <v>0</v>
      </c>
      <c r="N47" s="108">
        <f t="shared" si="13"/>
        <v>8000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817000</v>
      </c>
      <c r="E48" s="37"/>
      <c r="F48" s="115">
        <f>F25+F37+F45+F47</f>
        <v>86000</v>
      </c>
      <c r="G48" s="115">
        <f t="shared" ref="G48:R48" si="14">G25+G37+G45+G47</f>
        <v>64000</v>
      </c>
      <c r="H48" s="115">
        <f t="shared" si="14"/>
        <v>64000</v>
      </c>
      <c r="I48" s="115">
        <f t="shared" si="14"/>
        <v>64000</v>
      </c>
      <c r="J48" s="115">
        <f t="shared" si="14"/>
        <v>64000</v>
      </c>
      <c r="K48" s="115">
        <f t="shared" si="14"/>
        <v>72000</v>
      </c>
      <c r="L48" s="115">
        <f t="shared" si="14"/>
        <v>78000</v>
      </c>
      <c r="M48" s="115">
        <f t="shared" si="14"/>
        <v>64000</v>
      </c>
      <c r="N48" s="115">
        <f t="shared" si="14"/>
        <v>72000</v>
      </c>
      <c r="O48" s="115">
        <f t="shared" si="14"/>
        <v>64000</v>
      </c>
      <c r="P48" s="115">
        <f t="shared" si="14"/>
        <v>64000</v>
      </c>
      <c r="Q48" s="115">
        <f t="shared" si="14"/>
        <v>61000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9731000</v>
      </c>
      <c r="E49" s="114" t="s">
        <v>202</v>
      </c>
      <c r="F49" s="37">
        <f>ROUND($D49/12*3,-3)</f>
        <v>2433000</v>
      </c>
      <c r="G49" s="37">
        <f>ROUND($D49/12,-3)</f>
        <v>811000</v>
      </c>
      <c r="H49" s="37">
        <f t="shared" ref="H49:N53" si="15">ROUND($D49/12,-3)</f>
        <v>811000</v>
      </c>
      <c r="I49" s="37">
        <f t="shared" si="15"/>
        <v>811000</v>
      </c>
      <c r="J49" s="37">
        <f t="shared" si="15"/>
        <v>811000</v>
      </c>
      <c r="K49" s="37">
        <f t="shared" si="15"/>
        <v>811000</v>
      </c>
      <c r="L49" s="37">
        <f t="shared" si="15"/>
        <v>811000</v>
      </c>
      <c r="M49" s="37">
        <f t="shared" si="15"/>
        <v>811000</v>
      </c>
      <c r="N49" s="37">
        <f t="shared" si="15"/>
        <v>811000</v>
      </c>
      <c r="O49" s="37">
        <f>D49-SUM(F49:N49)</f>
        <v>810000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0</v>
      </c>
      <c r="E51" s="114" t="s">
        <v>202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5"/>
        <v>0</v>
      </c>
      <c r="N51" s="37">
        <f t="shared" si="15"/>
        <v>0</v>
      </c>
      <c r="O51" s="37">
        <f t="shared" si="18"/>
        <v>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0</v>
      </c>
      <c r="E52" s="114" t="s">
        <v>202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5"/>
        <v>0</v>
      </c>
      <c r="N52" s="37">
        <f t="shared" si="15"/>
        <v>0</v>
      </c>
      <c r="O52" s="37">
        <f t="shared" si="18"/>
        <v>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26000</v>
      </c>
      <c r="E54" s="37" t="s">
        <v>525</v>
      </c>
      <c r="F54" s="37">
        <f t="shared" ref="F54:P61" si="19">ROUND($D54/12,0)</f>
        <v>2167</v>
      </c>
      <c r="G54" s="37">
        <f t="shared" si="19"/>
        <v>2167</v>
      </c>
      <c r="H54" s="37">
        <f t="shared" si="19"/>
        <v>2167</v>
      </c>
      <c r="I54" s="37">
        <f t="shared" si="19"/>
        <v>2167</v>
      </c>
      <c r="J54" s="37">
        <f t="shared" si="19"/>
        <v>2167</v>
      </c>
      <c r="K54" s="37">
        <f t="shared" si="19"/>
        <v>2167</v>
      </c>
      <c r="L54" s="37">
        <f t="shared" si="19"/>
        <v>2167</v>
      </c>
      <c r="M54" s="37">
        <f t="shared" si="19"/>
        <v>2167</v>
      </c>
      <c r="N54" s="37">
        <f t="shared" si="19"/>
        <v>2167</v>
      </c>
      <c r="O54" s="37">
        <f t="shared" si="19"/>
        <v>2167</v>
      </c>
      <c r="P54" s="37">
        <f t="shared" si="19"/>
        <v>2167</v>
      </c>
      <c r="Q54" s="37">
        <f t="shared" ref="Q54:Q61" si="20">D54-SUM(F54:P54)</f>
        <v>2163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276000</v>
      </c>
      <c r="E60" s="37" t="s">
        <v>195</v>
      </c>
      <c r="F60" s="37">
        <f>D60</f>
        <v>276000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753000</v>
      </c>
      <c r="E62" s="37" t="s">
        <v>197</v>
      </c>
      <c r="F62" s="37"/>
      <c r="G62" s="37"/>
      <c r="H62" s="37"/>
      <c r="I62" s="37">
        <f>ROUND($D62/5,-3)</f>
        <v>151000</v>
      </c>
      <c r="J62" s="37"/>
      <c r="K62" s="37"/>
      <c r="L62" s="37"/>
      <c r="M62" s="37"/>
      <c r="N62" s="37">
        <f>D62-I62</f>
        <v>602000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1169000</v>
      </c>
      <c r="E63" s="37" t="s">
        <v>195</v>
      </c>
      <c r="F63" s="37">
        <f>D63</f>
        <v>1169000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890000</v>
      </c>
      <c r="E64" s="114" t="s">
        <v>202</v>
      </c>
      <c r="F64" s="37">
        <f>ROUND($D64/12*3,-3)</f>
        <v>223000</v>
      </c>
      <c r="G64" s="37">
        <f>ROUND($D64/12,-3)</f>
        <v>74000</v>
      </c>
      <c r="H64" s="37">
        <f t="shared" ref="H64:N66" si="21">ROUND($D64/12,-3)</f>
        <v>74000</v>
      </c>
      <c r="I64" s="37">
        <f t="shared" si="21"/>
        <v>74000</v>
      </c>
      <c r="J64" s="37">
        <f t="shared" si="21"/>
        <v>74000</v>
      </c>
      <c r="K64" s="37">
        <f t="shared" si="21"/>
        <v>74000</v>
      </c>
      <c r="L64" s="37">
        <f t="shared" si="21"/>
        <v>74000</v>
      </c>
      <c r="M64" s="37">
        <f t="shared" si="21"/>
        <v>74000</v>
      </c>
      <c r="N64" s="37">
        <f t="shared" si="21"/>
        <v>74000</v>
      </c>
      <c r="O64" s="37">
        <f>D64-SUM(F64:N64)</f>
        <v>75000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183000</v>
      </c>
      <c r="E65" s="114" t="s">
        <v>202</v>
      </c>
      <c r="F65" s="37">
        <f t="shared" ref="F65:F66" si="22">ROUND($D65/12*3,-3)</f>
        <v>46000</v>
      </c>
      <c r="G65" s="37">
        <f t="shared" ref="G65:G66" si="23">ROUND($D65/12,-3)</f>
        <v>15000</v>
      </c>
      <c r="H65" s="37">
        <f t="shared" si="21"/>
        <v>15000</v>
      </c>
      <c r="I65" s="37">
        <f t="shared" si="21"/>
        <v>15000</v>
      </c>
      <c r="J65" s="37">
        <f t="shared" si="21"/>
        <v>15000</v>
      </c>
      <c r="K65" s="37">
        <f t="shared" si="21"/>
        <v>15000</v>
      </c>
      <c r="L65" s="37">
        <f t="shared" si="21"/>
        <v>15000</v>
      </c>
      <c r="M65" s="37">
        <f t="shared" si="21"/>
        <v>15000</v>
      </c>
      <c r="N65" s="37">
        <f t="shared" si="21"/>
        <v>15000</v>
      </c>
      <c r="O65" s="37">
        <f t="shared" ref="O65:O66" si="24">D65-SUM(F65:N65)</f>
        <v>17000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767000</v>
      </c>
      <c r="E66" s="114" t="s">
        <v>202</v>
      </c>
      <c r="F66" s="37">
        <f t="shared" si="22"/>
        <v>192000</v>
      </c>
      <c r="G66" s="37">
        <f t="shared" si="23"/>
        <v>64000</v>
      </c>
      <c r="H66" s="37">
        <f t="shared" si="21"/>
        <v>64000</v>
      </c>
      <c r="I66" s="37">
        <f t="shared" si="21"/>
        <v>64000</v>
      </c>
      <c r="J66" s="37">
        <f t="shared" si="21"/>
        <v>64000</v>
      </c>
      <c r="K66" s="37">
        <f t="shared" si="21"/>
        <v>64000</v>
      </c>
      <c r="L66" s="37">
        <f t="shared" si="21"/>
        <v>64000</v>
      </c>
      <c r="M66" s="37">
        <f t="shared" si="21"/>
        <v>64000</v>
      </c>
      <c r="N66" s="37">
        <f t="shared" si="21"/>
        <v>64000</v>
      </c>
      <c r="O66" s="37">
        <f t="shared" si="24"/>
        <v>63000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13000</v>
      </c>
      <c r="E67" s="37" t="s">
        <v>196</v>
      </c>
      <c r="F67" s="37"/>
      <c r="G67" s="37"/>
      <c r="H67" s="37">
        <f>D67</f>
        <v>13000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112000</v>
      </c>
      <c r="E68" s="37" t="s">
        <v>195</v>
      </c>
      <c r="F68" s="37">
        <f>D68</f>
        <v>112000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13944000</v>
      </c>
      <c r="E70" s="108"/>
      <c r="F70" s="108">
        <f t="shared" ref="F70:P70" si="25">ROUND(SUM(F49:F69),-3)</f>
        <v>4455000</v>
      </c>
      <c r="G70" s="108">
        <f t="shared" si="25"/>
        <v>968000</v>
      </c>
      <c r="H70" s="108">
        <f t="shared" si="25"/>
        <v>981000</v>
      </c>
      <c r="I70" s="108">
        <f t="shared" si="25"/>
        <v>1119000</v>
      </c>
      <c r="J70" s="108">
        <f t="shared" si="25"/>
        <v>968000</v>
      </c>
      <c r="K70" s="108">
        <f t="shared" si="25"/>
        <v>968000</v>
      </c>
      <c r="L70" s="108">
        <f t="shared" si="25"/>
        <v>968000</v>
      </c>
      <c r="M70" s="108">
        <f t="shared" si="25"/>
        <v>968000</v>
      </c>
      <c r="N70" s="108">
        <f t="shared" si="25"/>
        <v>1570000</v>
      </c>
      <c r="O70" s="108">
        <f t="shared" si="25"/>
        <v>969000</v>
      </c>
      <c r="P70" s="108">
        <f t="shared" si="25"/>
        <v>4000</v>
      </c>
      <c r="Q70" s="108">
        <f>D70-SUM(F70:P70)</f>
        <v>6000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405000</v>
      </c>
      <c r="E72" s="114" t="s">
        <v>202</v>
      </c>
      <c r="F72" s="37">
        <f>ROUND($D72/12*3,-3)</f>
        <v>101000</v>
      </c>
      <c r="G72" s="37">
        <f>ROUND($D72/12,-3)</f>
        <v>34000</v>
      </c>
      <c r="H72" s="37">
        <f t="shared" ref="H72:N75" si="26">ROUND($D72/12,-3)</f>
        <v>34000</v>
      </c>
      <c r="I72" s="37">
        <f t="shared" si="26"/>
        <v>34000</v>
      </c>
      <c r="J72" s="37">
        <f t="shared" si="26"/>
        <v>34000</v>
      </c>
      <c r="K72" s="37">
        <f t="shared" si="26"/>
        <v>34000</v>
      </c>
      <c r="L72" s="37">
        <f t="shared" si="26"/>
        <v>34000</v>
      </c>
      <c r="M72" s="37">
        <f t="shared" si="26"/>
        <v>34000</v>
      </c>
      <c r="N72" s="37">
        <f t="shared" si="26"/>
        <v>34000</v>
      </c>
      <c r="O72" s="37">
        <f>D72-SUM(F72:N72)</f>
        <v>32000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115000</v>
      </c>
      <c r="E74" s="114" t="s">
        <v>202</v>
      </c>
      <c r="F74" s="37">
        <f>ROUND($D74/12*3,-3)</f>
        <v>29000</v>
      </c>
      <c r="G74" s="37">
        <f>ROUND($D74/12,-3)</f>
        <v>10000</v>
      </c>
      <c r="H74" s="37">
        <f t="shared" si="26"/>
        <v>10000</v>
      </c>
      <c r="I74" s="37">
        <f t="shared" si="26"/>
        <v>10000</v>
      </c>
      <c r="J74" s="37">
        <f t="shared" si="26"/>
        <v>10000</v>
      </c>
      <c r="K74" s="37">
        <f t="shared" si="26"/>
        <v>10000</v>
      </c>
      <c r="L74" s="37">
        <f t="shared" si="26"/>
        <v>10000</v>
      </c>
      <c r="M74" s="37">
        <f t="shared" si="26"/>
        <v>10000</v>
      </c>
      <c r="N74" s="37">
        <f t="shared" si="26"/>
        <v>10000</v>
      </c>
      <c r="O74" s="37">
        <f>D74-SUM(F74:N74)</f>
        <v>6000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281000</v>
      </c>
      <c r="E75" s="114" t="s">
        <v>202</v>
      </c>
      <c r="F75" s="37">
        <f>ROUND($D75/12*3,-3)</f>
        <v>70000</v>
      </c>
      <c r="G75" s="37">
        <f>ROUND($D75/12,-3)</f>
        <v>23000</v>
      </c>
      <c r="H75" s="37">
        <f t="shared" si="26"/>
        <v>23000</v>
      </c>
      <c r="I75" s="37">
        <f t="shared" si="26"/>
        <v>23000</v>
      </c>
      <c r="J75" s="37">
        <f t="shared" si="26"/>
        <v>23000</v>
      </c>
      <c r="K75" s="37">
        <f t="shared" si="26"/>
        <v>23000</v>
      </c>
      <c r="L75" s="37">
        <f t="shared" si="26"/>
        <v>23000</v>
      </c>
      <c r="M75" s="37">
        <f t="shared" si="26"/>
        <v>23000</v>
      </c>
      <c r="N75" s="37">
        <f t="shared" si="26"/>
        <v>23000</v>
      </c>
      <c r="O75" s="37">
        <f>D75-SUM(F75:N75)</f>
        <v>27000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801000</v>
      </c>
      <c r="E76" s="108"/>
      <c r="F76" s="108">
        <f>ROUND(SUM(F71:F75),-3)</f>
        <v>200000</v>
      </c>
      <c r="G76" s="108">
        <f t="shared" ref="G76:N76" si="27">ROUND(SUM(G71:G75),-3)</f>
        <v>67000</v>
      </c>
      <c r="H76" s="108">
        <f t="shared" si="27"/>
        <v>67000</v>
      </c>
      <c r="I76" s="108">
        <f t="shared" si="27"/>
        <v>67000</v>
      </c>
      <c r="J76" s="108">
        <f t="shared" si="27"/>
        <v>67000</v>
      </c>
      <c r="K76" s="108">
        <f t="shared" si="27"/>
        <v>67000</v>
      </c>
      <c r="L76" s="108">
        <f t="shared" si="27"/>
        <v>67000</v>
      </c>
      <c r="M76" s="108">
        <f t="shared" si="27"/>
        <v>67000</v>
      </c>
      <c r="N76" s="108">
        <f t="shared" si="27"/>
        <v>67000</v>
      </c>
      <c r="O76" s="108">
        <f>D76-SUM(F76:N76)</f>
        <v>65000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0</v>
      </c>
      <c r="E77" s="37" t="s">
        <v>681</v>
      </c>
      <c r="F77" s="224"/>
      <c r="G77" s="224"/>
      <c r="H77" s="224">
        <f>ROUND($D77/2,-3)</f>
        <v>0</v>
      </c>
      <c r="I77" s="224"/>
      <c r="J77" s="224"/>
      <c r="K77" s="224"/>
      <c r="L77" s="224"/>
      <c r="M77" s="224"/>
      <c r="N77" s="224">
        <f>D77-H77</f>
        <v>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14745000</v>
      </c>
      <c r="E78" s="227"/>
      <c r="F78" s="227">
        <f>F76+F70+F77</f>
        <v>4655000</v>
      </c>
      <c r="G78" s="227">
        <f t="shared" ref="G78:Q78" si="29">G76+G70+G77</f>
        <v>1035000</v>
      </c>
      <c r="H78" s="227">
        <f t="shared" si="29"/>
        <v>1048000</v>
      </c>
      <c r="I78" s="227">
        <f t="shared" si="29"/>
        <v>1186000</v>
      </c>
      <c r="J78" s="227">
        <f t="shared" si="29"/>
        <v>1035000</v>
      </c>
      <c r="K78" s="227">
        <f t="shared" si="29"/>
        <v>1035000</v>
      </c>
      <c r="L78" s="227">
        <f t="shared" si="29"/>
        <v>1035000</v>
      </c>
      <c r="M78" s="227">
        <f t="shared" si="29"/>
        <v>1035000</v>
      </c>
      <c r="N78" s="227">
        <f t="shared" si="29"/>
        <v>1637000</v>
      </c>
      <c r="O78" s="227">
        <f t="shared" si="29"/>
        <v>1034000</v>
      </c>
      <c r="P78" s="227">
        <f t="shared" si="29"/>
        <v>4000</v>
      </c>
      <c r="Q78" s="227">
        <f t="shared" si="29"/>
        <v>6000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15562000</v>
      </c>
      <c r="E87" s="37"/>
      <c r="F87" s="37">
        <f>F88+F89+F90+F91</f>
        <v>4741000</v>
      </c>
      <c r="G87" s="37">
        <f t="shared" ref="G87:Q87" si="32">G88+G89+G90+G91</f>
        <v>1099000</v>
      </c>
      <c r="H87" s="37">
        <f t="shared" si="32"/>
        <v>1112000</v>
      </c>
      <c r="I87" s="37">
        <f t="shared" si="32"/>
        <v>1250000</v>
      </c>
      <c r="J87" s="37">
        <f t="shared" si="32"/>
        <v>1099000</v>
      </c>
      <c r="K87" s="37">
        <f t="shared" si="32"/>
        <v>1107000</v>
      </c>
      <c r="L87" s="37">
        <f t="shared" si="32"/>
        <v>1113000</v>
      </c>
      <c r="M87" s="37">
        <f t="shared" si="32"/>
        <v>1099000</v>
      </c>
      <c r="N87" s="37">
        <f t="shared" si="32"/>
        <v>1709000</v>
      </c>
      <c r="O87" s="37">
        <f t="shared" si="32"/>
        <v>1098000</v>
      </c>
      <c r="P87" s="37">
        <f t="shared" si="32"/>
        <v>68000</v>
      </c>
      <c r="Q87" s="37">
        <f t="shared" si="32"/>
        <v>67000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0</v>
      </c>
      <c r="E88" s="108" t="s">
        <v>193</v>
      </c>
      <c r="F88" s="108">
        <f>ROUND($D88/2,-3)</f>
        <v>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15561000</v>
      </c>
      <c r="E91" s="108"/>
      <c r="F91" s="108">
        <f>F92+F93+F94+F95</f>
        <v>4741000</v>
      </c>
      <c r="G91" s="108">
        <f t="shared" ref="G91:Q91" si="34">G92+G93+G94+G95</f>
        <v>1099000</v>
      </c>
      <c r="H91" s="108">
        <f t="shared" si="34"/>
        <v>1112000</v>
      </c>
      <c r="I91" s="108">
        <f t="shared" si="34"/>
        <v>1250000</v>
      </c>
      <c r="J91" s="108">
        <f t="shared" si="34"/>
        <v>1099000</v>
      </c>
      <c r="K91" s="108">
        <f t="shared" si="34"/>
        <v>1107000</v>
      </c>
      <c r="L91" s="108">
        <f t="shared" si="34"/>
        <v>1113000</v>
      </c>
      <c r="M91" s="108">
        <f t="shared" si="34"/>
        <v>1099000</v>
      </c>
      <c r="N91" s="108">
        <f t="shared" si="34"/>
        <v>1709000</v>
      </c>
      <c r="O91" s="108">
        <f t="shared" si="34"/>
        <v>1098000</v>
      </c>
      <c r="P91" s="108">
        <f t="shared" si="34"/>
        <v>68000</v>
      </c>
      <c r="Q91" s="108">
        <f t="shared" si="34"/>
        <v>66000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650000</v>
      </c>
      <c r="E92" s="114" t="s">
        <v>537</v>
      </c>
      <c r="F92" s="37">
        <f>ROUND($D92/12*5,-3)</f>
        <v>271000</v>
      </c>
      <c r="G92" s="37">
        <f>ROUND($D92/12,-3)</f>
        <v>54000</v>
      </c>
      <c r="H92" s="37">
        <f t="shared" ref="H92:L92" si="35">ROUND($D92/12,-3)</f>
        <v>54000</v>
      </c>
      <c r="I92" s="37">
        <f t="shared" si="35"/>
        <v>54000</v>
      </c>
      <c r="J92" s="37">
        <f t="shared" si="35"/>
        <v>54000</v>
      </c>
      <c r="K92" s="37">
        <f t="shared" si="35"/>
        <v>54000</v>
      </c>
      <c r="L92" s="37">
        <f t="shared" si="35"/>
        <v>54000</v>
      </c>
      <c r="M92" s="37">
        <f>D92-SUM(F92:L92)</f>
        <v>55000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77000</v>
      </c>
      <c r="E93" s="189" t="s">
        <v>227</v>
      </c>
      <c r="F93" s="37">
        <f>ROUND($D93/12,-3)</f>
        <v>6000</v>
      </c>
      <c r="G93" s="37">
        <f t="shared" ref="G93:P93" si="36">ROUND($D93/12,-3)</f>
        <v>6000</v>
      </c>
      <c r="H93" s="37">
        <f t="shared" si="36"/>
        <v>6000</v>
      </c>
      <c r="I93" s="37">
        <f t="shared" si="36"/>
        <v>6000</v>
      </c>
      <c r="J93" s="37">
        <f t="shared" si="36"/>
        <v>6000</v>
      </c>
      <c r="K93" s="37">
        <f t="shared" si="36"/>
        <v>6000</v>
      </c>
      <c r="L93" s="37">
        <f t="shared" si="36"/>
        <v>6000</v>
      </c>
      <c r="M93" s="37">
        <f t="shared" si="36"/>
        <v>6000</v>
      </c>
      <c r="N93" s="37">
        <f t="shared" si="36"/>
        <v>6000</v>
      </c>
      <c r="O93" s="37">
        <f t="shared" si="36"/>
        <v>6000</v>
      </c>
      <c r="P93" s="37">
        <f t="shared" si="36"/>
        <v>6000</v>
      </c>
      <c r="Q93" s="37">
        <f>D93-SUM(F93:P93)</f>
        <v>11000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14834000</v>
      </c>
      <c r="E95" s="37"/>
      <c r="F95" s="37">
        <f>F2+F86-F88-F89-F90-F92-F93-F94</f>
        <v>4464000</v>
      </c>
      <c r="G95" s="37">
        <f t="shared" ref="G95:Q95" si="37">G2-G88-G89-G90-G92-G93-G94</f>
        <v>1039000</v>
      </c>
      <c r="H95" s="37">
        <f t="shared" si="37"/>
        <v>1052000</v>
      </c>
      <c r="I95" s="37">
        <f t="shared" si="37"/>
        <v>1190000</v>
      </c>
      <c r="J95" s="37">
        <f t="shared" si="37"/>
        <v>1039000</v>
      </c>
      <c r="K95" s="37">
        <f t="shared" si="37"/>
        <v>1047000</v>
      </c>
      <c r="L95" s="37">
        <f t="shared" si="37"/>
        <v>1053000</v>
      </c>
      <c r="M95" s="37">
        <f t="shared" si="37"/>
        <v>1038000</v>
      </c>
      <c r="N95" s="37">
        <f t="shared" si="37"/>
        <v>1703000</v>
      </c>
      <c r="O95" s="37">
        <f t="shared" si="37"/>
        <v>1092000</v>
      </c>
      <c r="P95" s="37">
        <f t="shared" si="37"/>
        <v>62000</v>
      </c>
      <c r="Q95" s="37">
        <f t="shared" si="37"/>
        <v>55000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0</v>
      </c>
    </row>
    <row r="102" spans="2:17" ht="32.4">
      <c r="B102" s="71" t="s">
        <v>238</v>
      </c>
      <c r="D102" s="30">
        <f>HLOOKUP(D1,[1]縣庫撥款收入明細表!H:DD,16,FALSE)</f>
        <v>72000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0</v>
      </c>
    </row>
    <row r="106" spans="2:17" ht="32.4">
      <c r="B106" s="71" t="s">
        <v>241</v>
      </c>
      <c r="D106" s="30">
        <f>HLOOKUP(D1,[1]縣庫撥款收入明細表!H:DD,20,FALSE)</f>
        <v>5000</v>
      </c>
    </row>
    <row r="107" spans="2:17" ht="32.4">
      <c r="B107" s="77" t="s">
        <v>242</v>
      </c>
      <c r="D107" s="30">
        <f>HLOOKUP(D1,[1]縣庫撥款收入明細表!H:DD,21,FALSE)</f>
        <v>14834000</v>
      </c>
    </row>
    <row r="108" spans="2:17" ht="16.5" customHeight="1"/>
    <row r="109" spans="2:17" ht="16.5" customHeight="1">
      <c r="B109" s="4" t="s">
        <v>682</v>
      </c>
      <c r="D109" s="30">
        <f>D91-D76</f>
        <v>14760000</v>
      </c>
      <c r="F109" s="30">
        <f>F91-F76</f>
        <v>4541000</v>
      </c>
      <c r="G109" s="30">
        <f t="shared" ref="G109:Q109" si="38">G91-G76</f>
        <v>1032000</v>
      </c>
      <c r="H109" s="30">
        <f t="shared" si="38"/>
        <v>1045000</v>
      </c>
      <c r="I109" s="30">
        <f t="shared" si="38"/>
        <v>1183000</v>
      </c>
      <c r="J109" s="30">
        <f t="shared" si="38"/>
        <v>1032000</v>
      </c>
      <c r="K109" s="30">
        <f t="shared" si="38"/>
        <v>1040000</v>
      </c>
      <c r="L109" s="30">
        <f t="shared" si="38"/>
        <v>1046000</v>
      </c>
      <c r="M109" s="30">
        <f t="shared" si="38"/>
        <v>1032000</v>
      </c>
      <c r="N109" s="30">
        <f t="shared" si="38"/>
        <v>1642000</v>
      </c>
      <c r="O109" s="30">
        <f t="shared" si="38"/>
        <v>1033000</v>
      </c>
      <c r="P109" s="30">
        <f t="shared" si="38"/>
        <v>68000</v>
      </c>
      <c r="Q109" s="30">
        <f t="shared" si="38"/>
        <v>66000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16" priority="1" operator="lessThan">
      <formula>0</formula>
    </cfRule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650</v>
      </c>
      <c r="D1" s="28" t="str">
        <f>VLOOKUP(C1,[1]學校編號!A:B,2,FALSE)</f>
        <v>650舞鶴國小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16365000</v>
      </c>
      <c r="E2" s="37"/>
      <c r="F2" s="37">
        <f>F48+F70+F76+F77+F83</f>
        <v>4918000</v>
      </c>
      <c r="G2" s="37">
        <f t="shared" ref="G2:Q2" si="0">G48+G70+G76+G77+G83</f>
        <v>1117000</v>
      </c>
      <c r="H2" s="37">
        <f t="shared" si="0"/>
        <v>1149000</v>
      </c>
      <c r="I2" s="37">
        <f t="shared" si="0"/>
        <v>1356000</v>
      </c>
      <c r="J2" s="37">
        <f t="shared" si="0"/>
        <v>1117000</v>
      </c>
      <c r="K2" s="37">
        <f t="shared" si="0"/>
        <v>1121000</v>
      </c>
      <c r="L2" s="37">
        <f t="shared" si="0"/>
        <v>1129000</v>
      </c>
      <c r="M2" s="37">
        <f t="shared" si="0"/>
        <v>1117000</v>
      </c>
      <c r="N2" s="37">
        <f t="shared" si="0"/>
        <v>2093000</v>
      </c>
      <c r="O2" s="37">
        <f t="shared" si="0"/>
        <v>1115000</v>
      </c>
      <c r="P2" s="37">
        <f t="shared" si="0"/>
        <v>66000</v>
      </c>
      <c r="Q2" s="37">
        <f t="shared" si="0"/>
        <v>67000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101000</v>
      </c>
      <c r="E3" s="37" t="s">
        <v>525</v>
      </c>
      <c r="F3" s="37">
        <f t="shared" ref="F3:P17" si="1">ROUND($D3/12,0)</f>
        <v>8417</v>
      </c>
      <c r="G3" s="37">
        <f t="shared" si="1"/>
        <v>8417</v>
      </c>
      <c r="H3" s="37">
        <f t="shared" si="1"/>
        <v>8417</v>
      </c>
      <c r="I3" s="37">
        <f t="shared" si="1"/>
        <v>8417</v>
      </c>
      <c r="J3" s="37">
        <f t="shared" si="1"/>
        <v>8417</v>
      </c>
      <c r="K3" s="37">
        <f t="shared" si="1"/>
        <v>8417</v>
      </c>
      <c r="L3" s="37">
        <f t="shared" si="1"/>
        <v>8417</v>
      </c>
      <c r="M3" s="37">
        <f t="shared" si="1"/>
        <v>8417</v>
      </c>
      <c r="N3" s="37">
        <f t="shared" si="1"/>
        <v>8417</v>
      </c>
      <c r="O3" s="37">
        <f t="shared" si="1"/>
        <v>8417</v>
      </c>
      <c r="P3" s="37">
        <f t="shared" si="1"/>
        <v>8417</v>
      </c>
      <c r="Q3" s="37">
        <f t="shared" ref="Q3:Q10" si="2">D3-SUM(F3:P3)</f>
        <v>8413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43000</v>
      </c>
      <c r="E4" s="37" t="s">
        <v>525</v>
      </c>
      <c r="F4" s="37">
        <f t="shared" si="1"/>
        <v>3583</v>
      </c>
      <c r="G4" s="37">
        <f t="shared" si="1"/>
        <v>3583</v>
      </c>
      <c r="H4" s="37">
        <f t="shared" si="1"/>
        <v>3583</v>
      </c>
      <c r="I4" s="37">
        <f t="shared" si="1"/>
        <v>3583</v>
      </c>
      <c r="J4" s="37">
        <f t="shared" si="1"/>
        <v>3583</v>
      </c>
      <c r="K4" s="37">
        <f t="shared" si="1"/>
        <v>3583</v>
      </c>
      <c r="L4" s="37">
        <f t="shared" si="1"/>
        <v>3583</v>
      </c>
      <c r="M4" s="37">
        <f t="shared" si="1"/>
        <v>3583</v>
      </c>
      <c r="N4" s="37">
        <f t="shared" si="1"/>
        <v>3583</v>
      </c>
      <c r="O4" s="37">
        <f t="shared" si="1"/>
        <v>3583</v>
      </c>
      <c r="P4" s="37">
        <f t="shared" si="1"/>
        <v>3583</v>
      </c>
      <c r="Q4" s="37">
        <f t="shared" si="2"/>
        <v>3587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63000</v>
      </c>
      <c r="E7" s="37" t="s">
        <v>525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0</v>
      </c>
      <c r="E13" s="37" t="s">
        <v>525</v>
      </c>
      <c r="F13" s="37">
        <f>ROUND($D13/12,0)</f>
        <v>0</v>
      </c>
      <c r="G13" s="37">
        <f t="shared" si="1"/>
        <v>0</v>
      </c>
      <c r="H13" s="37">
        <f t="shared" si="1"/>
        <v>0</v>
      </c>
      <c r="I13" s="37">
        <f t="shared" si="1"/>
        <v>0</v>
      </c>
      <c r="J13" s="37">
        <f t="shared" si="1"/>
        <v>0</v>
      </c>
      <c r="K13" s="37">
        <f t="shared" si="1"/>
        <v>0</v>
      </c>
      <c r="L13" s="37">
        <f t="shared" si="1"/>
        <v>0</v>
      </c>
      <c r="M13" s="37">
        <f t="shared" si="1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>D13-SUM(F13:P13)</f>
        <v>0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80000</v>
      </c>
      <c r="E14" s="37" t="s">
        <v>525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24000</v>
      </c>
      <c r="E15" s="37" t="s">
        <v>193</v>
      </c>
      <c r="F15" s="37">
        <f>ROUND($D15/2,-3)</f>
        <v>12000</v>
      </c>
      <c r="G15" s="37"/>
      <c r="H15" s="37"/>
      <c r="I15" s="37"/>
      <c r="J15" s="37"/>
      <c r="K15" s="37"/>
      <c r="L15" s="37">
        <f>D15-F15</f>
        <v>12000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41000</v>
      </c>
      <c r="E17" s="37" t="s">
        <v>525</v>
      </c>
      <c r="F17" s="37">
        <f>ROUND($D17/12,0)</f>
        <v>3417</v>
      </c>
      <c r="G17" s="37">
        <f t="shared" si="1"/>
        <v>3417</v>
      </c>
      <c r="H17" s="37">
        <f t="shared" si="1"/>
        <v>3417</v>
      </c>
      <c r="I17" s="37">
        <f t="shared" si="1"/>
        <v>3417</v>
      </c>
      <c r="J17" s="37">
        <f t="shared" si="1"/>
        <v>3417</v>
      </c>
      <c r="K17" s="37">
        <f t="shared" si="1"/>
        <v>3417</v>
      </c>
      <c r="L17" s="37">
        <f t="shared" si="1"/>
        <v>3417</v>
      </c>
      <c r="M17" s="37">
        <f t="shared" si="1"/>
        <v>3417</v>
      </c>
      <c r="N17" s="37">
        <f t="shared" si="1"/>
        <v>3417</v>
      </c>
      <c r="O17" s="37">
        <f t="shared" si="1"/>
        <v>3417</v>
      </c>
      <c r="P17" s="37">
        <f t="shared" si="1"/>
        <v>3417</v>
      </c>
      <c r="Q17" s="37">
        <f>D17-SUM(F17:P17)</f>
        <v>3413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448000</v>
      </c>
      <c r="E25" s="108"/>
      <c r="F25" s="108">
        <f>ROUND(SUM(F3:F24),-3)</f>
        <v>47000</v>
      </c>
      <c r="G25" s="108">
        <f t="shared" ref="G25:P25" si="5">ROUND(SUM(G3:G24),-3)</f>
        <v>35000</v>
      </c>
      <c r="H25" s="108">
        <f t="shared" si="5"/>
        <v>35000</v>
      </c>
      <c r="I25" s="108">
        <f t="shared" si="5"/>
        <v>35000</v>
      </c>
      <c r="J25" s="108">
        <f t="shared" si="5"/>
        <v>35000</v>
      </c>
      <c r="K25" s="108">
        <f t="shared" si="5"/>
        <v>35000</v>
      </c>
      <c r="L25" s="108">
        <f t="shared" si="5"/>
        <v>47000</v>
      </c>
      <c r="M25" s="108">
        <f t="shared" si="5"/>
        <v>35000</v>
      </c>
      <c r="N25" s="108">
        <f t="shared" si="5"/>
        <v>35000</v>
      </c>
      <c r="O25" s="108">
        <f t="shared" si="5"/>
        <v>35000</v>
      </c>
      <c r="P25" s="108">
        <f t="shared" si="5"/>
        <v>35000</v>
      </c>
      <c r="Q25" s="108">
        <f t="shared" ref="Q25:Q33" si="6">D25-SUM(F25:P25)</f>
        <v>39000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235000</v>
      </c>
      <c r="E27" s="37" t="s">
        <v>525</v>
      </c>
      <c r="F27" s="37">
        <f t="shared" ref="F27:P33" si="8">ROUND($D27/12,0)</f>
        <v>19583</v>
      </c>
      <c r="G27" s="37">
        <f t="shared" si="8"/>
        <v>19583</v>
      </c>
      <c r="H27" s="37">
        <f t="shared" si="8"/>
        <v>19583</v>
      </c>
      <c r="I27" s="37">
        <f t="shared" si="8"/>
        <v>19583</v>
      </c>
      <c r="J27" s="37">
        <f t="shared" si="8"/>
        <v>19583</v>
      </c>
      <c r="K27" s="37">
        <f t="shared" si="8"/>
        <v>19583</v>
      </c>
      <c r="L27" s="37">
        <f t="shared" si="8"/>
        <v>19583</v>
      </c>
      <c r="M27" s="37">
        <f t="shared" si="8"/>
        <v>19583</v>
      </c>
      <c r="N27" s="37">
        <f t="shared" si="8"/>
        <v>19583</v>
      </c>
      <c r="O27" s="37">
        <f t="shared" si="8"/>
        <v>19583</v>
      </c>
      <c r="P27" s="37">
        <f t="shared" si="8"/>
        <v>19583</v>
      </c>
      <c r="Q27" s="37">
        <f t="shared" si="6"/>
        <v>19587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17000</v>
      </c>
      <c r="E29" s="37" t="s">
        <v>525</v>
      </c>
      <c r="F29" s="37">
        <f t="shared" si="8"/>
        <v>1417</v>
      </c>
      <c r="G29" s="37">
        <f t="shared" si="8"/>
        <v>1417</v>
      </c>
      <c r="H29" s="37">
        <f t="shared" si="8"/>
        <v>1417</v>
      </c>
      <c r="I29" s="37">
        <f t="shared" si="8"/>
        <v>1417</v>
      </c>
      <c r="J29" s="37">
        <f t="shared" si="8"/>
        <v>1417</v>
      </c>
      <c r="K29" s="37">
        <f t="shared" si="8"/>
        <v>1417</v>
      </c>
      <c r="L29" s="37">
        <f t="shared" si="8"/>
        <v>1417</v>
      </c>
      <c r="M29" s="37">
        <f t="shared" si="8"/>
        <v>1417</v>
      </c>
      <c r="N29" s="37">
        <f t="shared" si="8"/>
        <v>1417</v>
      </c>
      <c r="O29" s="37">
        <f t="shared" si="8"/>
        <v>1417</v>
      </c>
      <c r="P29" s="37">
        <f t="shared" si="8"/>
        <v>1417</v>
      </c>
      <c r="Q29" s="37">
        <f t="shared" si="6"/>
        <v>1413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2000</v>
      </c>
      <c r="E30" s="37" t="s">
        <v>525</v>
      </c>
      <c r="F30" s="37">
        <f t="shared" si="8"/>
        <v>167</v>
      </c>
      <c r="G30" s="37">
        <f t="shared" si="8"/>
        <v>167</v>
      </c>
      <c r="H30" s="37">
        <f t="shared" si="8"/>
        <v>167</v>
      </c>
      <c r="I30" s="37">
        <f t="shared" si="8"/>
        <v>167</v>
      </c>
      <c r="J30" s="37">
        <f t="shared" si="8"/>
        <v>167</v>
      </c>
      <c r="K30" s="37">
        <f t="shared" si="8"/>
        <v>167</v>
      </c>
      <c r="L30" s="37">
        <f t="shared" si="8"/>
        <v>167</v>
      </c>
      <c r="M30" s="37">
        <f t="shared" si="8"/>
        <v>167</v>
      </c>
      <c r="N30" s="37">
        <f t="shared" si="8"/>
        <v>167</v>
      </c>
      <c r="O30" s="37">
        <f t="shared" si="8"/>
        <v>167</v>
      </c>
      <c r="P30" s="37">
        <f t="shared" si="8"/>
        <v>167</v>
      </c>
      <c r="Q30" s="37">
        <f t="shared" si="6"/>
        <v>163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1000</v>
      </c>
      <c r="E31" s="37" t="s">
        <v>525</v>
      </c>
      <c r="F31" s="37">
        <f t="shared" si="8"/>
        <v>83</v>
      </c>
      <c r="G31" s="37">
        <f t="shared" si="8"/>
        <v>83</v>
      </c>
      <c r="H31" s="37">
        <f t="shared" si="8"/>
        <v>83</v>
      </c>
      <c r="I31" s="37">
        <f t="shared" si="8"/>
        <v>83</v>
      </c>
      <c r="J31" s="37">
        <f t="shared" si="8"/>
        <v>83</v>
      </c>
      <c r="K31" s="37">
        <f t="shared" si="8"/>
        <v>83</v>
      </c>
      <c r="L31" s="37">
        <f t="shared" si="8"/>
        <v>83</v>
      </c>
      <c r="M31" s="37">
        <f t="shared" si="8"/>
        <v>83</v>
      </c>
      <c r="N31" s="37">
        <f t="shared" si="8"/>
        <v>83</v>
      </c>
      <c r="O31" s="37">
        <f t="shared" si="8"/>
        <v>83</v>
      </c>
      <c r="P31" s="37">
        <f t="shared" si="8"/>
        <v>83</v>
      </c>
      <c r="Q31" s="37">
        <f t="shared" si="6"/>
        <v>87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255000</v>
      </c>
      <c r="E37" s="108"/>
      <c r="F37" s="108">
        <f t="shared" ref="F37:P37" si="9">ROUND(SUM(F26:F36),-3)</f>
        <v>21000</v>
      </c>
      <c r="G37" s="108">
        <f t="shared" si="9"/>
        <v>21000</v>
      </c>
      <c r="H37" s="108">
        <f t="shared" si="9"/>
        <v>21000</v>
      </c>
      <c r="I37" s="108">
        <f t="shared" si="9"/>
        <v>21000</v>
      </c>
      <c r="J37" s="108">
        <f t="shared" si="9"/>
        <v>21000</v>
      </c>
      <c r="K37" s="108">
        <f t="shared" si="9"/>
        <v>21000</v>
      </c>
      <c r="L37" s="108">
        <f t="shared" si="9"/>
        <v>21000</v>
      </c>
      <c r="M37" s="108">
        <f t="shared" si="9"/>
        <v>21000</v>
      </c>
      <c r="N37" s="108">
        <f t="shared" si="9"/>
        <v>21000</v>
      </c>
      <c r="O37" s="108">
        <f t="shared" si="9"/>
        <v>21000</v>
      </c>
      <c r="P37" s="108">
        <f t="shared" si="9"/>
        <v>21000</v>
      </c>
      <c r="Q37" s="108">
        <f>D37-SUM(F37:P37)</f>
        <v>24000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715000</v>
      </c>
      <c r="E48" s="37"/>
      <c r="F48" s="115">
        <f>F25+F37+F45+F47</f>
        <v>72000</v>
      </c>
      <c r="G48" s="115">
        <f t="shared" ref="G48:R48" si="14">G25+G37+G45+G47</f>
        <v>56000</v>
      </c>
      <c r="H48" s="115">
        <f t="shared" si="14"/>
        <v>56000</v>
      </c>
      <c r="I48" s="115">
        <f t="shared" si="14"/>
        <v>56000</v>
      </c>
      <c r="J48" s="115">
        <f t="shared" si="14"/>
        <v>56000</v>
      </c>
      <c r="K48" s="115">
        <f t="shared" si="14"/>
        <v>60000</v>
      </c>
      <c r="L48" s="115">
        <f t="shared" si="14"/>
        <v>68000</v>
      </c>
      <c r="M48" s="115">
        <f t="shared" si="14"/>
        <v>56000</v>
      </c>
      <c r="N48" s="115">
        <f t="shared" si="14"/>
        <v>60000</v>
      </c>
      <c r="O48" s="115">
        <f t="shared" si="14"/>
        <v>56000</v>
      </c>
      <c r="P48" s="115">
        <f t="shared" si="14"/>
        <v>56000</v>
      </c>
      <c r="Q48" s="115">
        <f t="shared" si="14"/>
        <v>63000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9904000</v>
      </c>
      <c r="E49" s="114" t="s">
        <v>202</v>
      </c>
      <c r="F49" s="37">
        <f>ROUND($D49/12*3,-3)</f>
        <v>2476000</v>
      </c>
      <c r="G49" s="37">
        <f>ROUND($D49/12,-3)</f>
        <v>825000</v>
      </c>
      <c r="H49" s="37">
        <f t="shared" ref="H49:N53" si="15">ROUND($D49/12,-3)</f>
        <v>825000</v>
      </c>
      <c r="I49" s="37">
        <f t="shared" si="15"/>
        <v>825000</v>
      </c>
      <c r="J49" s="37">
        <f t="shared" si="15"/>
        <v>825000</v>
      </c>
      <c r="K49" s="37">
        <f t="shared" si="15"/>
        <v>825000</v>
      </c>
      <c r="L49" s="37">
        <f t="shared" si="15"/>
        <v>825000</v>
      </c>
      <c r="M49" s="37">
        <f t="shared" si="15"/>
        <v>825000</v>
      </c>
      <c r="N49" s="37">
        <f t="shared" si="15"/>
        <v>825000</v>
      </c>
      <c r="O49" s="37">
        <f>D49-SUM(F49:N49)</f>
        <v>828000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0</v>
      </c>
      <c r="E51" s="114" t="s">
        <v>202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5"/>
        <v>0</v>
      </c>
      <c r="N51" s="37">
        <f t="shared" si="15"/>
        <v>0</v>
      </c>
      <c r="O51" s="37">
        <f t="shared" si="18"/>
        <v>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0</v>
      </c>
      <c r="E52" s="114" t="s">
        <v>202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5"/>
        <v>0</v>
      </c>
      <c r="N52" s="37">
        <f t="shared" si="15"/>
        <v>0</v>
      </c>
      <c r="O52" s="37">
        <f t="shared" si="18"/>
        <v>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22000</v>
      </c>
      <c r="E54" s="37" t="s">
        <v>525</v>
      </c>
      <c r="F54" s="37">
        <f t="shared" ref="F54:P61" si="19">ROUND($D54/12,0)</f>
        <v>1833</v>
      </c>
      <c r="G54" s="37">
        <f t="shared" si="19"/>
        <v>1833</v>
      </c>
      <c r="H54" s="37">
        <f t="shared" si="19"/>
        <v>1833</v>
      </c>
      <c r="I54" s="37">
        <f t="shared" si="19"/>
        <v>1833</v>
      </c>
      <c r="J54" s="37">
        <f t="shared" si="19"/>
        <v>1833</v>
      </c>
      <c r="K54" s="37">
        <f t="shared" si="19"/>
        <v>1833</v>
      </c>
      <c r="L54" s="37">
        <f t="shared" si="19"/>
        <v>1833</v>
      </c>
      <c r="M54" s="37">
        <f t="shared" si="19"/>
        <v>1833</v>
      </c>
      <c r="N54" s="37">
        <f t="shared" si="19"/>
        <v>1833</v>
      </c>
      <c r="O54" s="37">
        <f t="shared" si="19"/>
        <v>1833</v>
      </c>
      <c r="P54" s="37">
        <f t="shared" si="19"/>
        <v>1833</v>
      </c>
      <c r="Q54" s="37">
        <f t="shared" ref="Q54:Q61" si="20">D54-SUM(F54:P54)</f>
        <v>1837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351000</v>
      </c>
      <c r="E60" s="37" t="s">
        <v>195</v>
      </c>
      <c r="F60" s="37">
        <f>D60</f>
        <v>351000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68000</v>
      </c>
      <c r="E61" s="37" t="s">
        <v>525</v>
      </c>
      <c r="F61" s="37">
        <f t="shared" si="19"/>
        <v>5667</v>
      </c>
      <c r="G61" s="37">
        <f t="shared" si="19"/>
        <v>5667</v>
      </c>
      <c r="H61" s="37">
        <f t="shared" si="19"/>
        <v>5667</v>
      </c>
      <c r="I61" s="37">
        <f t="shared" si="19"/>
        <v>5667</v>
      </c>
      <c r="J61" s="37">
        <f t="shared" si="19"/>
        <v>5667</v>
      </c>
      <c r="K61" s="37">
        <f t="shared" si="19"/>
        <v>5667</v>
      </c>
      <c r="L61" s="37">
        <f t="shared" si="19"/>
        <v>5667</v>
      </c>
      <c r="M61" s="37">
        <f t="shared" si="19"/>
        <v>5667</v>
      </c>
      <c r="N61" s="37">
        <f t="shared" si="19"/>
        <v>5667</v>
      </c>
      <c r="O61" s="37">
        <f t="shared" si="19"/>
        <v>5667</v>
      </c>
      <c r="P61" s="37">
        <f t="shared" si="19"/>
        <v>5667</v>
      </c>
      <c r="Q61" s="37">
        <f t="shared" si="20"/>
        <v>5663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1197000</v>
      </c>
      <c r="E62" s="37" t="s">
        <v>197</v>
      </c>
      <c r="F62" s="37"/>
      <c r="G62" s="37"/>
      <c r="H62" s="37"/>
      <c r="I62" s="37">
        <f>ROUND($D62/5,-3)</f>
        <v>239000</v>
      </c>
      <c r="J62" s="37"/>
      <c r="K62" s="37"/>
      <c r="L62" s="37"/>
      <c r="M62" s="37"/>
      <c r="N62" s="37">
        <f>D62-I62</f>
        <v>958000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1219000</v>
      </c>
      <c r="E63" s="37" t="s">
        <v>195</v>
      </c>
      <c r="F63" s="37">
        <f>D63</f>
        <v>1219000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1042000</v>
      </c>
      <c r="E64" s="114" t="s">
        <v>202</v>
      </c>
      <c r="F64" s="37">
        <f>ROUND($D64/12*3,-3)</f>
        <v>261000</v>
      </c>
      <c r="G64" s="37">
        <f>ROUND($D64/12,-3)</f>
        <v>87000</v>
      </c>
      <c r="H64" s="37">
        <f t="shared" ref="H64:N66" si="21">ROUND($D64/12,-3)</f>
        <v>87000</v>
      </c>
      <c r="I64" s="37">
        <f t="shared" si="21"/>
        <v>87000</v>
      </c>
      <c r="J64" s="37">
        <f t="shared" si="21"/>
        <v>87000</v>
      </c>
      <c r="K64" s="37">
        <f t="shared" si="21"/>
        <v>87000</v>
      </c>
      <c r="L64" s="37">
        <f t="shared" si="21"/>
        <v>87000</v>
      </c>
      <c r="M64" s="37">
        <f t="shared" si="21"/>
        <v>87000</v>
      </c>
      <c r="N64" s="37">
        <f t="shared" si="21"/>
        <v>87000</v>
      </c>
      <c r="O64" s="37">
        <f>D64-SUM(F64:N64)</f>
        <v>85000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243000</v>
      </c>
      <c r="E65" s="114" t="s">
        <v>202</v>
      </c>
      <c r="F65" s="37">
        <f t="shared" ref="F65:F66" si="22">ROUND($D65/12*3,-3)</f>
        <v>61000</v>
      </c>
      <c r="G65" s="37">
        <f t="shared" ref="G65:G66" si="23">ROUND($D65/12,-3)</f>
        <v>20000</v>
      </c>
      <c r="H65" s="37">
        <f t="shared" si="21"/>
        <v>20000</v>
      </c>
      <c r="I65" s="37">
        <f t="shared" si="21"/>
        <v>20000</v>
      </c>
      <c r="J65" s="37">
        <f t="shared" si="21"/>
        <v>20000</v>
      </c>
      <c r="K65" s="37">
        <f t="shared" si="21"/>
        <v>20000</v>
      </c>
      <c r="L65" s="37">
        <f t="shared" si="21"/>
        <v>20000</v>
      </c>
      <c r="M65" s="37">
        <f t="shared" si="21"/>
        <v>20000</v>
      </c>
      <c r="N65" s="37">
        <f t="shared" si="21"/>
        <v>20000</v>
      </c>
      <c r="O65" s="37">
        <f t="shared" ref="O65:O66" si="24">D65-SUM(F65:N65)</f>
        <v>22000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716000</v>
      </c>
      <c r="E66" s="114" t="s">
        <v>202</v>
      </c>
      <c r="F66" s="37">
        <f t="shared" si="22"/>
        <v>179000</v>
      </c>
      <c r="G66" s="37">
        <f t="shared" si="23"/>
        <v>60000</v>
      </c>
      <c r="H66" s="37">
        <f t="shared" si="21"/>
        <v>60000</v>
      </c>
      <c r="I66" s="37">
        <f t="shared" si="21"/>
        <v>60000</v>
      </c>
      <c r="J66" s="37">
        <f t="shared" si="21"/>
        <v>60000</v>
      </c>
      <c r="K66" s="37">
        <f t="shared" si="21"/>
        <v>60000</v>
      </c>
      <c r="L66" s="37">
        <f t="shared" si="21"/>
        <v>60000</v>
      </c>
      <c r="M66" s="37">
        <f t="shared" si="21"/>
        <v>60000</v>
      </c>
      <c r="N66" s="37">
        <f t="shared" si="21"/>
        <v>60000</v>
      </c>
      <c r="O66" s="37">
        <f t="shared" si="24"/>
        <v>57000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18000</v>
      </c>
      <c r="E67" s="37" t="s">
        <v>196</v>
      </c>
      <c r="F67" s="37"/>
      <c r="G67" s="37"/>
      <c r="H67" s="37">
        <f>D67</f>
        <v>18000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112000</v>
      </c>
      <c r="E68" s="37" t="s">
        <v>195</v>
      </c>
      <c r="F68" s="37">
        <f>D68</f>
        <v>112000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14916000</v>
      </c>
      <c r="E70" s="108"/>
      <c r="F70" s="108">
        <f t="shared" ref="F70:P70" si="25">ROUND(SUM(F49:F69),-3)</f>
        <v>4669000</v>
      </c>
      <c r="G70" s="108">
        <f t="shared" si="25"/>
        <v>1002000</v>
      </c>
      <c r="H70" s="108">
        <f t="shared" si="25"/>
        <v>1020000</v>
      </c>
      <c r="I70" s="108">
        <f t="shared" si="25"/>
        <v>1241000</v>
      </c>
      <c r="J70" s="108">
        <f t="shared" si="25"/>
        <v>1002000</v>
      </c>
      <c r="K70" s="108">
        <f t="shared" si="25"/>
        <v>1002000</v>
      </c>
      <c r="L70" s="108">
        <f t="shared" si="25"/>
        <v>1002000</v>
      </c>
      <c r="M70" s="108">
        <f t="shared" si="25"/>
        <v>1002000</v>
      </c>
      <c r="N70" s="108">
        <f t="shared" si="25"/>
        <v>1960000</v>
      </c>
      <c r="O70" s="108">
        <f t="shared" si="25"/>
        <v>1002000</v>
      </c>
      <c r="P70" s="108">
        <f t="shared" si="25"/>
        <v>10000</v>
      </c>
      <c r="Q70" s="108">
        <f>D70-SUM(F70:P70)</f>
        <v>4000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706000</v>
      </c>
      <c r="E72" s="114" t="s">
        <v>202</v>
      </c>
      <c r="F72" s="37">
        <f>ROUND($D72/12*3,-3)</f>
        <v>177000</v>
      </c>
      <c r="G72" s="37">
        <f>ROUND($D72/12,-3)</f>
        <v>59000</v>
      </c>
      <c r="H72" s="37">
        <f t="shared" ref="H72:N75" si="26">ROUND($D72/12,-3)</f>
        <v>59000</v>
      </c>
      <c r="I72" s="37">
        <f t="shared" si="26"/>
        <v>59000</v>
      </c>
      <c r="J72" s="37">
        <f t="shared" si="26"/>
        <v>59000</v>
      </c>
      <c r="K72" s="37">
        <f t="shared" si="26"/>
        <v>59000</v>
      </c>
      <c r="L72" s="37">
        <f t="shared" si="26"/>
        <v>59000</v>
      </c>
      <c r="M72" s="37">
        <f t="shared" si="26"/>
        <v>59000</v>
      </c>
      <c r="N72" s="37">
        <f t="shared" si="26"/>
        <v>59000</v>
      </c>
      <c r="O72" s="37">
        <f>D72-SUM(F72:N72)</f>
        <v>57000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706000</v>
      </c>
      <c r="E76" s="108"/>
      <c r="F76" s="108">
        <f>ROUND(SUM(F71:F75),-3)</f>
        <v>177000</v>
      </c>
      <c r="G76" s="108">
        <f t="shared" ref="G76:N76" si="27">ROUND(SUM(G71:G75),-3)</f>
        <v>59000</v>
      </c>
      <c r="H76" s="108">
        <f t="shared" si="27"/>
        <v>59000</v>
      </c>
      <c r="I76" s="108">
        <f t="shared" si="27"/>
        <v>59000</v>
      </c>
      <c r="J76" s="108">
        <f t="shared" si="27"/>
        <v>59000</v>
      </c>
      <c r="K76" s="108">
        <f t="shared" si="27"/>
        <v>59000</v>
      </c>
      <c r="L76" s="108">
        <f t="shared" si="27"/>
        <v>59000</v>
      </c>
      <c r="M76" s="108">
        <f t="shared" si="27"/>
        <v>59000</v>
      </c>
      <c r="N76" s="108">
        <f t="shared" si="27"/>
        <v>59000</v>
      </c>
      <c r="O76" s="108">
        <f>D76-SUM(F76:N76)</f>
        <v>57000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28000</v>
      </c>
      <c r="E77" s="37" t="s">
        <v>681</v>
      </c>
      <c r="F77" s="224"/>
      <c r="G77" s="224"/>
      <c r="H77" s="224">
        <f>ROUND($D77/2,-3)</f>
        <v>14000</v>
      </c>
      <c r="I77" s="224"/>
      <c r="J77" s="224"/>
      <c r="K77" s="224"/>
      <c r="L77" s="224"/>
      <c r="M77" s="224"/>
      <c r="N77" s="224">
        <f>D77-H77</f>
        <v>14000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15650000</v>
      </c>
      <c r="E78" s="227"/>
      <c r="F78" s="227">
        <f>F76+F70+F77</f>
        <v>4846000</v>
      </c>
      <c r="G78" s="227">
        <f t="shared" ref="G78:Q78" si="29">G76+G70+G77</f>
        <v>1061000</v>
      </c>
      <c r="H78" s="227">
        <f t="shared" si="29"/>
        <v>1093000</v>
      </c>
      <c r="I78" s="227">
        <f t="shared" si="29"/>
        <v>1300000</v>
      </c>
      <c r="J78" s="227">
        <f t="shared" si="29"/>
        <v>1061000</v>
      </c>
      <c r="K78" s="227">
        <f t="shared" si="29"/>
        <v>1061000</v>
      </c>
      <c r="L78" s="227">
        <f t="shared" si="29"/>
        <v>1061000</v>
      </c>
      <c r="M78" s="227">
        <f t="shared" si="29"/>
        <v>1061000</v>
      </c>
      <c r="N78" s="227">
        <f t="shared" si="29"/>
        <v>2033000</v>
      </c>
      <c r="O78" s="227">
        <f t="shared" si="29"/>
        <v>1059000</v>
      </c>
      <c r="P78" s="227">
        <f t="shared" si="29"/>
        <v>10000</v>
      </c>
      <c r="Q78" s="227">
        <f t="shared" si="29"/>
        <v>4000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16365000</v>
      </c>
      <c r="E87" s="37"/>
      <c r="F87" s="37">
        <f>F88+F89+F90+F91</f>
        <v>4918000</v>
      </c>
      <c r="G87" s="37">
        <f t="shared" ref="G87:Q87" si="32">G88+G89+G90+G91</f>
        <v>1117000</v>
      </c>
      <c r="H87" s="37">
        <f t="shared" si="32"/>
        <v>1149000</v>
      </c>
      <c r="I87" s="37">
        <f t="shared" si="32"/>
        <v>1356000</v>
      </c>
      <c r="J87" s="37">
        <f t="shared" si="32"/>
        <v>1117000</v>
      </c>
      <c r="K87" s="37">
        <f t="shared" si="32"/>
        <v>1121000</v>
      </c>
      <c r="L87" s="37">
        <f t="shared" si="32"/>
        <v>1129000</v>
      </c>
      <c r="M87" s="37">
        <f t="shared" si="32"/>
        <v>1117000</v>
      </c>
      <c r="N87" s="37">
        <f t="shared" si="32"/>
        <v>2093000</v>
      </c>
      <c r="O87" s="37">
        <f t="shared" si="32"/>
        <v>1115000</v>
      </c>
      <c r="P87" s="37">
        <f t="shared" si="32"/>
        <v>66000</v>
      </c>
      <c r="Q87" s="37">
        <f t="shared" si="32"/>
        <v>67000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0</v>
      </c>
      <c r="E88" s="108" t="s">
        <v>193</v>
      </c>
      <c r="F88" s="108">
        <f>ROUND($D88/2,-3)</f>
        <v>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16364000</v>
      </c>
      <c r="E91" s="108"/>
      <c r="F91" s="108">
        <f>F92+F93+F94+F95</f>
        <v>4918000</v>
      </c>
      <c r="G91" s="108">
        <f t="shared" ref="G91:Q91" si="34">G92+G93+G94+G95</f>
        <v>1117000</v>
      </c>
      <c r="H91" s="108">
        <f t="shared" si="34"/>
        <v>1149000</v>
      </c>
      <c r="I91" s="108">
        <f t="shared" si="34"/>
        <v>1356000</v>
      </c>
      <c r="J91" s="108">
        <f t="shared" si="34"/>
        <v>1117000</v>
      </c>
      <c r="K91" s="108">
        <f t="shared" si="34"/>
        <v>1121000</v>
      </c>
      <c r="L91" s="108">
        <f t="shared" si="34"/>
        <v>1129000</v>
      </c>
      <c r="M91" s="108">
        <f t="shared" si="34"/>
        <v>1117000</v>
      </c>
      <c r="N91" s="108">
        <f t="shared" si="34"/>
        <v>2093000</v>
      </c>
      <c r="O91" s="108">
        <f t="shared" si="34"/>
        <v>1115000</v>
      </c>
      <c r="P91" s="108">
        <f t="shared" si="34"/>
        <v>66000</v>
      </c>
      <c r="Q91" s="108">
        <f t="shared" si="34"/>
        <v>66000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650000</v>
      </c>
      <c r="E92" s="114" t="s">
        <v>537</v>
      </c>
      <c r="F92" s="37">
        <f>ROUND($D92/12*5,-3)</f>
        <v>271000</v>
      </c>
      <c r="G92" s="37">
        <f>ROUND($D92/12,-3)</f>
        <v>54000</v>
      </c>
      <c r="H92" s="37">
        <f t="shared" ref="H92:L92" si="35">ROUND($D92/12,-3)</f>
        <v>54000</v>
      </c>
      <c r="I92" s="37">
        <f t="shared" si="35"/>
        <v>54000</v>
      </c>
      <c r="J92" s="37">
        <f t="shared" si="35"/>
        <v>54000</v>
      </c>
      <c r="K92" s="37">
        <f t="shared" si="35"/>
        <v>54000</v>
      </c>
      <c r="L92" s="37">
        <f t="shared" si="35"/>
        <v>54000</v>
      </c>
      <c r="M92" s="37">
        <f>D92-SUM(F92:L92)</f>
        <v>55000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64000</v>
      </c>
      <c r="E93" s="189" t="s">
        <v>227</v>
      </c>
      <c r="F93" s="37">
        <f>ROUND($D93/12,-3)</f>
        <v>5000</v>
      </c>
      <c r="G93" s="37">
        <f t="shared" ref="G93:P93" si="36">ROUND($D93/12,-3)</f>
        <v>5000</v>
      </c>
      <c r="H93" s="37">
        <f t="shared" si="36"/>
        <v>5000</v>
      </c>
      <c r="I93" s="37">
        <f t="shared" si="36"/>
        <v>5000</v>
      </c>
      <c r="J93" s="37">
        <f t="shared" si="36"/>
        <v>5000</v>
      </c>
      <c r="K93" s="37">
        <f t="shared" si="36"/>
        <v>5000</v>
      </c>
      <c r="L93" s="37">
        <f t="shared" si="36"/>
        <v>5000</v>
      </c>
      <c r="M93" s="37">
        <f t="shared" si="36"/>
        <v>5000</v>
      </c>
      <c r="N93" s="37">
        <f t="shared" si="36"/>
        <v>5000</v>
      </c>
      <c r="O93" s="37">
        <f t="shared" si="36"/>
        <v>5000</v>
      </c>
      <c r="P93" s="37">
        <f t="shared" si="36"/>
        <v>5000</v>
      </c>
      <c r="Q93" s="37">
        <f>D93-SUM(F93:P93)</f>
        <v>9000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15650000</v>
      </c>
      <c r="E95" s="37"/>
      <c r="F95" s="37">
        <f>F2+F86-F88-F89-F90-F92-F93-F94</f>
        <v>4642000</v>
      </c>
      <c r="G95" s="37">
        <f t="shared" ref="G95:Q95" si="37">G2-G88-G89-G90-G92-G93-G94</f>
        <v>1058000</v>
      </c>
      <c r="H95" s="37">
        <f t="shared" si="37"/>
        <v>1090000</v>
      </c>
      <c r="I95" s="37">
        <f t="shared" si="37"/>
        <v>1297000</v>
      </c>
      <c r="J95" s="37">
        <f t="shared" si="37"/>
        <v>1058000</v>
      </c>
      <c r="K95" s="37">
        <f t="shared" si="37"/>
        <v>1062000</v>
      </c>
      <c r="L95" s="37">
        <f t="shared" si="37"/>
        <v>1070000</v>
      </c>
      <c r="M95" s="37">
        <f t="shared" si="37"/>
        <v>1057000</v>
      </c>
      <c r="N95" s="37">
        <f t="shared" si="37"/>
        <v>2088000</v>
      </c>
      <c r="O95" s="37">
        <f t="shared" si="37"/>
        <v>1110000</v>
      </c>
      <c r="P95" s="37">
        <f t="shared" si="37"/>
        <v>61000</v>
      </c>
      <c r="Q95" s="37">
        <f t="shared" si="37"/>
        <v>57000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0</v>
      </c>
    </row>
    <row r="102" spans="2:17" ht="32.4">
      <c r="B102" s="71" t="s">
        <v>238</v>
      </c>
      <c r="D102" s="30">
        <f>HLOOKUP(D1,[1]縣庫撥款收入明細表!H:DD,16,FALSE)</f>
        <v>60000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0</v>
      </c>
    </row>
    <row r="106" spans="2:17" ht="32.4">
      <c r="B106" s="71" t="s">
        <v>241</v>
      </c>
      <c r="D106" s="30">
        <f>HLOOKUP(D1,[1]縣庫撥款收入明細表!H:DD,20,FALSE)</f>
        <v>4000</v>
      </c>
    </row>
    <row r="107" spans="2:17" ht="32.4">
      <c r="B107" s="77" t="s">
        <v>242</v>
      </c>
      <c r="D107" s="30">
        <f>HLOOKUP(D1,[1]縣庫撥款收入明細表!H:DD,21,FALSE)</f>
        <v>15650000</v>
      </c>
    </row>
    <row r="108" spans="2:17" ht="16.5" customHeight="1"/>
    <row r="109" spans="2:17" ht="16.5" customHeight="1">
      <c r="B109" s="4" t="s">
        <v>682</v>
      </c>
      <c r="D109" s="30">
        <f>D91-D76</f>
        <v>15658000</v>
      </c>
      <c r="F109" s="30">
        <f>F91-F76</f>
        <v>4741000</v>
      </c>
      <c r="G109" s="30">
        <f t="shared" ref="G109:Q109" si="38">G91-G76</f>
        <v>1058000</v>
      </c>
      <c r="H109" s="30">
        <f t="shared" si="38"/>
        <v>1090000</v>
      </c>
      <c r="I109" s="30">
        <f t="shared" si="38"/>
        <v>1297000</v>
      </c>
      <c r="J109" s="30">
        <f t="shared" si="38"/>
        <v>1058000</v>
      </c>
      <c r="K109" s="30">
        <f t="shared" si="38"/>
        <v>1062000</v>
      </c>
      <c r="L109" s="30">
        <f t="shared" si="38"/>
        <v>1070000</v>
      </c>
      <c r="M109" s="30">
        <f t="shared" si="38"/>
        <v>1058000</v>
      </c>
      <c r="N109" s="30">
        <f t="shared" si="38"/>
        <v>2034000</v>
      </c>
      <c r="O109" s="30">
        <f t="shared" si="38"/>
        <v>1058000</v>
      </c>
      <c r="P109" s="30">
        <f t="shared" si="38"/>
        <v>66000</v>
      </c>
      <c r="Q109" s="30">
        <f t="shared" si="38"/>
        <v>66000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14" priority="1" operator="lessThan">
      <formula>0</formula>
    </cfRule>
  </conditionalFormatting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651</v>
      </c>
      <c r="D1" s="28" t="str">
        <f>VLOOKUP(C1,[1]學校編號!A:B,2,FALSE)</f>
        <v>651奇美國小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22724000</v>
      </c>
      <c r="E2" s="37"/>
      <c r="F2" s="37">
        <f>F48+F70+F76+F77+F83</f>
        <v>6772000</v>
      </c>
      <c r="G2" s="37">
        <f t="shared" ref="G2:Q2" si="0">G48+G70+G76+G77+G83</f>
        <v>1599000</v>
      </c>
      <c r="H2" s="37">
        <f t="shared" si="0"/>
        <v>1694000</v>
      </c>
      <c r="I2" s="37">
        <f t="shared" si="0"/>
        <v>1851000</v>
      </c>
      <c r="J2" s="37">
        <f t="shared" si="0"/>
        <v>1599000</v>
      </c>
      <c r="K2" s="37">
        <f t="shared" si="0"/>
        <v>1599000</v>
      </c>
      <c r="L2" s="37">
        <f t="shared" si="0"/>
        <v>1615000</v>
      </c>
      <c r="M2" s="37">
        <f t="shared" si="0"/>
        <v>1599000</v>
      </c>
      <c r="N2" s="37">
        <f t="shared" si="0"/>
        <v>2676000</v>
      </c>
      <c r="O2" s="37">
        <f t="shared" si="0"/>
        <v>1596000</v>
      </c>
      <c r="P2" s="37">
        <f t="shared" si="0"/>
        <v>63000</v>
      </c>
      <c r="Q2" s="37">
        <f t="shared" si="0"/>
        <v>61000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120000</v>
      </c>
      <c r="E3" s="37" t="s">
        <v>525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51000</v>
      </c>
      <c r="E4" s="37" t="s">
        <v>525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63000</v>
      </c>
      <c r="E7" s="37" t="s">
        <v>525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32000</v>
      </c>
      <c r="E15" s="37" t="s">
        <v>193</v>
      </c>
      <c r="F15" s="37">
        <f>ROUND($D15/2,-3)</f>
        <v>16000</v>
      </c>
      <c r="G15" s="37"/>
      <c r="H15" s="37"/>
      <c r="I15" s="37"/>
      <c r="J15" s="37"/>
      <c r="K15" s="37"/>
      <c r="L15" s="37">
        <f>D15-F15</f>
        <v>16000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42000</v>
      </c>
      <c r="E17" s="37" t="s">
        <v>525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472000</v>
      </c>
      <c r="E25" s="108"/>
      <c r="F25" s="108">
        <f>ROUND(SUM(F3:F24),-3)</f>
        <v>53000</v>
      </c>
      <c r="G25" s="108">
        <f t="shared" ref="G25:P25" si="5">ROUND(SUM(G3:G24),-3)</f>
        <v>37000</v>
      </c>
      <c r="H25" s="108">
        <f t="shared" si="5"/>
        <v>37000</v>
      </c>
      <c r="I25" s="108">
        <f t="shared" si="5"/>
        <v>37000</v>
      </c>
      <c r="J25" s="108">
        <f t="shared" si="5"/>
        <v>37000</v>
      </c>
      <c r="K25" s="108">
        <f t="shared" si="5"/>
        <v>37000</v>
      </c>
      <c r="L25" s="108">
        <f t="shared" si="5"/>
        <v>53000</v>
      </c>
      <c r="M25" s="108">
        <f t="shared" si="5"/>
        <v>37000</v>
      </c>
      <c r="N25" s="108">
        <f t="shared" si="5"/>
        <v>37000</v>
      </c>
      <c r="O25" s="108">
        <f t="shared" si="5"/>
        <v>37000</v>
      </c>
      <c r="P25" s="108">
        <f t="shared" si="5"/>
        <v>37000</v>
      </c>
      <c r="Q25" s="108">
        <f t="shared" ref="Q25:Q33" si="6">D25-SUM(F25:P25)</f>
        <v>33000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241000</v>
      </c>
      <c r="E27" s="37" t="s">
        <v>525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18000</v>
      </c>
      <c r="E29" s="37" t="s">
        <v>525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3000</v>
      </c>
      <c r="E30" s="37" t="s">
        <v>525</v>
      </c>
      <c r="F30" s="37">
        <f t="shared" si="8"/>
        <v>250</v>
      </c>
      <c r="G30" s="37">
        <f t="shared" si="8"/>
        <v>250</v>
      </c>
      <c r="H30" s="37">
        <f t="shared" si="8"/>
        <v>250</v>
      </c>
      <c r="I30" s="37">
        <f t="shared" si="8"/>
        <v>250</v>
      </c>
      <c r="J30" s="37">
        <f t="shared" si="8"/>
        <v>250</v>
      </c>
      <c r="K30" s="37">
        <f t="shared" si="8"/>
        <v>250</v>
      </c>
      <c r="L30" s="37">
        <f t="shared" si="8"/>
        <v>250</v>
      </c>
      <c r="M30" s="37">
        <f t="shared" si="8"/>
        <v>250</v>
      </c>
      <c r="N30" s="37">
        <f t="shared" si="8"/>
        <v>250</v>
      </c>
      <c r="O30" s="37">
        <f t="shared" si="8"/>
        <v>250</v>
      </c>
      <c r="P30" s="37">
        <f t="shared" si="8"/>
        <v>250</v>
      </c>
      <c r="Q30" s="37">
        <f t="shared" si="6"/>
        <v>250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2000</v>
      </c>
      <c r="E31" s="37" t="s">
        <v>525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264000</v>
      </c>
      <c r="E37" s="108"/>
      <c r="F37" s="108">
        <f t="shared" ref="F37:P37" si="9">ROUND(SUM(F26:F36),-3)</f>
        <v>22000</v>
      </c>
      <c r="G37" s="108">
        <f t="shared" si="9"/>
        <v>22000</v>
      </c>
      <c r="H37" s="108">
        <f t="shared" si="9"/>
        <v>22000</v>
      </c>
      <c r="I37" s="108">
        <f t="shared" si="9"/>
        <v>22000</v>
      </c>
      <c r="J37" s="108">
        <f t="shared" si="9"/>
        <v>22000</v>
      </c>
      <c r="K37" s="108">
        <f t="shared" si="9"/>
        <v>22000</v>
      </c>
      <c r="L37" s="108">
        <f t="shared" si="9"/>
        <v>22000</v>
      </c>
      <c r="M37" s="108">
        <f t="shared" si="9"/>
        <v>22000</v>
      </c>
      <c r="N37" s="108">
        <f t="shared" si="9"/>
        <v>22000</v>
      </c>
      <c r="O37" s="108">
        <f t="shared" si="9"/>
        <v>22000</v>
      </c>
      <c r="P37" s="108">
        <f t="shared" si="9"/>
        <v>22000</v>
      </c>
      <c r="Q37" s="108">
        <f>D37-SUM(F37:P37)</f>
        <v>22000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736000</v>
      </c>
      <c r="E48" s="37"/>
      <c r="F48" s="115">
        <f>F25+F37+F45+F47</f>
        <v>75000</v>
      </c>
      <c r="G48" s="115">
        <f t="shared" ref="G48:R48" si="14">G25+G37+G45+G47</f>
        <v>59000</v>
      </c>
      <c r="H48" s="115">
        <f t="shared" si="14"/>
        <v>59000</v>
      </c>
      <c r="I48" s="115">
        <f t="shared" si="14"/>
        <v>59000</v>
      </c>
      <c r="J48" s="115">
        <f t="shared" si="14"/>
        <v>59000</v>
      </c>
      <c r="K48" s="115">
        <f t="shared" si="14"/>
        <v>59000</v>
      </c>
      <c r="L48" s="115">
        <f t="shared" si="14"/>
        <v>75000</v>
      </c>
      <c r="M48" s="115">
        <f t="shared" si="14"/>
        <v>59000</v>
      </c>
      <c r="N48" s="115">
        <f t="shared" si="14"/>
        <v>59000</v>
      </c>
      <c r="O48" s="115">
        <f t="shared" si="14"/>
        <v>59000</v>
      </c>
      <c r="P48" s="115">
        <f t="shared" si="14"/>
        <v>59000</v>
      </c>
      <c r="Q48" s="115">
        <f t="shared" si="14"/>
        <v>55000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11837000</v>
      </c>
      <c r="E49" s="114" t="s">
        <v>202</v>
      </c>
      <c r="F49" s="37">
        <f>ROUND($D49/12*3,-3)</f>
        <v>2959000</v>
      </c>
      <c r="G49" s="37">
        <f>ROUND($D49/12,-3)</f>
        <v>986000</v>
      </c>
      <c r="H49" s="37">
        <f t="shared" ref="H49:N53" si="15">ROUND($D49/12,-3)</f>
        <v>986000</v>
      </c>
      <c r="I49" s="37">
        <f t="shared" si="15"/>
        <v>986000</v>
      </c>
      <c r="J49" s="37">
        <f t="shared" si="15"/>
        <v>986000</v>
      </c>
      <c r="K49" s="37">
        <f t="shared" si="15"/>
        <v>986000</v>
      </c>
      <c r="L49" s="37">
        <f t="shared" si="15"/>
        <v>986000</v>
      </c>
      <c r="M49" s="37">
        <f t="shared" si="15"/>
        <v>986000</v>
      </c>
      <c r="N49" s="37">
        <f t="shared" si="15"/>
        <v>986000</v>
      </c>
      <c r="O49" s="37">
        <f>D49-SUM(F49:N49)</f>
        <v>990000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480000</v>
      </c>
      <c r="E50" s="114" t="s">
        <v>202</v>
      </c>
      <c r="F50" s="37">
        <f t="shared" ref="F50:F53" si="16">ROUND($D50/12*3,-3)</f>
        <v>120000</v>
      </c>
      <c r="G50" s="37">
        <f t="shared" ref="G50:G53" si="17">ROUND($D50/12,-3)</f>
        <v>40000</v>
      </c>
      <c r="H50" s="37">
        <f t="shared" si="15"/>
        <v>40000</v>
      </c>
      <c r="I50" s="37">
        <f t="shared" si="15"/>
        <v>40000</v>
      </c>
      <c r="J50" s="37">
        <f t="shared" si="15"/>
        <v>40000</v>
      </c>
      <c r="K50" s="37">
        <f t="shared" si="15"/>
        <v>40000</v>
      </c>
      <c r="L50" s="37">
        <f t="shared" si="15"/>
        <v>40000</v>
      </c>
      <c r="M50" s="37">
        <f t="shared" si="15"/>
        <v>40000</v>
      </c>
      <c r="N50" s="37">
        <f t="shared" si="15"/>
        <v>40000</v>
      </c>
      <c r="O50" s="37">
        <f t="shared" ref="O50:O53" si="18">D50-SUM(F50:N50)</f>
        <v>40000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738000</v>
      </c>
      <c r="E51" s="114" t="s">
        <v>202</v>
      </c>
      <c r="F51" s="37">
        <f t="shared" si="16"/>
        <v>185000</v>
      </c>
      <c r="G51" s="37">
        <f t="shared" si="17"/>
        <v>62000</v>
      </c>
      <c r="H51" s="37">
        <f t="shared" si="15"/>
        <v>62000</v>
      </c>
      <c r="I51" s="37">
        <f t="shared" si="15"/>
        <v>62000</v>
      </c>
      <c r="J51" s="37">
        <f t="shared" si="15"/>
        <v>62000</v>
      </c>
      <c r="K51" s="37">
        <f t="shared" si="15"/>
        <v>62000</v>
      </c>
      <c r="L51" s="37">
        <f t="shared" si="15"/>
        <v>62000</v>
      </c>
      <c r="M51" s="37">
        <f t="shared" si="15"/>
        <v>62000</v>
      </c>
      <c r="N51" s="37">
        <f t="shared" si="15"/>
        <v>62000</v>
      </c>
      <c r="O51" s="37">
        <f t="shared" si="18"/>
        <v>57000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26000</v>
      </c>
      <c r="E54" s="37" t="s">
        <v>525</v>
      </c>
      <c r="F54" s="37">
        <f t="shared" ref="F54:P61" si="19">ROUND($D54/12,0)</f>
        <v>2167</v>
      </c>
      <c r="G54" s="37">
        <f t="shared" si="19"/>
        <v>2167</v>
      </c>
      <c r="H54" s="37">
        <f t="shared" si="19"/>
        <v>2167</v>
      </c>
      <c r="I54" s="37">
        <f t="shared" si="19"/>
        <v>2167</v>
      </c>
      <c r="J54" s="37">
        <f t="shared" si="19"/>
        <v>2167</v>
      </c>
      <c r="K54" s="37">
        <f t="shared" si="19"/>
        <v>2167</v>
      </c>
      <c r="L54" s="37">
        <f t="shared" si="19"/>
        <v>2167</v>
      </c>
      <c r="M54" s="37">
        <f t="shared" si="19"/>
        <v>2167</v>
      </c>
      <c r="N54" s="37">
        <f t="shared" si="19"/>
        <v>2167</v>
      </c>
      <c r="O54" s="37">
        <f t="shared" si="19"/>
        <v>2167</v>
      </c>
      <c r="P54" s="37">
        <f t="shared" si="19"/>
        <v>2167</v>
      </c>
      <c r="Q54" s="37">
        <f t="shared" ref="Q54:Q61" si="20">D54-SUM(F54:P54)</f>
        <v>2163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496000</v>
      </c>
      <c r="E60" s="37" t="s">
        <v>195</v>
      </c>
      <c r="F60" s="37">
        <f>D60</f>
        <v>496000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1261000</v>
      </c>
      <c r="E62" s="37" t="s">
        <v>197</v>
      </c>
      <c r="F62" s="37"/>
      <c r="G62" s="37"/>
      <c r="H62" s="37"/>
      <c r="I62" s="37">
        <f>ROUND($D62/5,-3)</f>
        <v>252000</v>
      </c>
      <c r="J62" s="37"/>
      <c r="K62" s="37"/>
      <c r="L62" s="37"/>
      <c r="M62" s="37"/>
      <c r="N62" s="37">
        <f>D62-I62</f>
        <v>1009000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1429000</v>
      </c>
      <c r="E63" s="37" t="s">
        <v>195</v>
      </c>
      <c r="F63" s="37">
        <f>D63</f>
        <v>1429000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1150000</v>
      </c>
      <c r="E64" s="114" t="s">
        <v>202</v>
      </c>
      <c r="F64" s="37">
        <f>ROUND($D64/12*3,-3)</f>
        <v>288000</v>
      </c>
      <c r="G64" s="37">
        <f>ROUND($D64/12,-3)</f>
        <v>96000</v>
      </c>
      <c r="H64" s="37">
        <f t="shared" ref="H64:N66" si="21">ROUND($D64/12,-3)</f>
        <v>96000</v>
      </c>
      <c r="I64" s="37">
        <f t="shared" si="21"/>
        <v>96000</v>
      </c>
      <c r="J64" s="37">
        <f t="shared" si="21"/>
        <v>96000</v>
      </c>
      <c r="K64" s="37">
        <f t="shared" si="21"/>
        <v>96000</v>
      </c>
      <c r="L64" s="37">
        <f t="shared" si="21"/>
        <v>96000</v>
      </c>
      <c r="M64" s="37">
        <f t="shared" si="21"/>
        <v>96000</v>
      </c>
      <c r="N64" s="37">
        <f t="shared" si="21"/>
        <v>96000</v>
      </c>
      <c r="O64" s="37">
        <f>D64-SUM(F64:N64)</f>
        <v>94000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250000</v>
      </c>
      <c r="E65" s="114" t="s">
        <v>202</v>
      </c>
      <c r="F65" s="37">
        <f t="shared" ref="F65:F66" si="22">ROUND($D65/12*3,-3)</f>
        <v>63000</v>
      </c>
      <c r="G65" s="37">
        <f t="shared" ref="G65:G66" si="23">ROUND($D65/12,-3)</f>
        <v>21000</v>
      </c>
      <c r="H65" s="37">
        <f t="shared" si="21"/>
        <v>21000</v>
      </c>
      <c r="I65" s="37">
        <f t="shared" si="21"/>
        <v>21000</v>
      </c>
      <c r="J65" s="37">
        <f t="shared" si="21"/>
        <v>21000</v>
      </c>
      <c r="K65" s="37">
        <f t="shared" si="21"/>
        <v>21000</v>
      </c>
      <c r="L65" s="37">
        <f t="shared" si="21"/>
        <v>21000</v>
      </c>
      <c r="M65" s="37">
        <f t="shared" si="21"/>
        <v>21000</v>
      </c>
      <c r="N65" s="37">
        <f t="shared" si="21"/>
        <v>21000</v>
      </c>
      <c r="O65" s="37">
        <f t="shared" ref="O65:O66" si="24">D65-SUM(F65:N65)</f>
        <v>19000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985000</v>
      </c>
      <c r="E66" s="114" t="s">
        <v>202</v>
      </c>
      <c r="F66" s="37">
        <f t="shared" si="22"/>
        <v>246000</v>
      </c>
      <c r="G66" s="37">
        <f t="shared" si="23"/>
        <v>82000</v>
      </c>
      <c r="H66" s="37">
        <f t="shared" si="21"/>
        <v>82000</v>
      </c>
      <c r="I66" s="37">
        <f t="shared" si="21"/>
        <v>82000</v>
      </c>
      <c r="J66" s="37">
        <f t="shared" si="21"/>
        <v>82000</v>
      </c>
      <c r="K66" s="37">
        <f t="shared" si="21"/>
        <v>82000</v>
      </c>
      <c r="L66" s="37">
        <f t="shared" si="21"/>
        <v>82000</v>
      </c>
      <c r="M66" s="37">
        <f t="shared" si="21"/>
        <v>82000</v>
      </c>
      <c r="N66" s="37">
        <f t="shared" si="21"/>
        <v>82000</v>
      </c>
      <c r="O66" s="37">
        <f t="shared" si="24"/>
        <v>83000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27000</v>
      </c>
      <c r="E67" s="37" t="s">
        <v>196</v>
      </c>
      <c r="F67" s="37"/>
      <c r="G67" s="37"/>
      <c r="H67" s="37">
        <f>D67</f>
        <v>27000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160000</v>
      </c>
      <c r="E68" s="37" t="s">
        <v>195</v>
      </c>
      <c r="F68" s="37">
        <f>D68</f>
        <v>160000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19128000</v>
      </c>
      <c r="E70" s="108"/>
      <c r="F70" s="108">
        <f t="shared" ref="F70:P70" si="25">ROUND(SUM(F49:F69),-3)</f>
        <v>6016000</v>
      </c>
      <c r="G70" s="108">
        <f t="shared" si="25"/>
        <v>1313000</v>
      </c>
      <c r="H70" s="108">
        <f t="shared" si="25"/>
        <v>1340000</v>
      </c>
      <c r="I70" s="108">
        <f t="shared" si="25"/>
        <v>1565000</v>
      </c>
      <c r="J70" s="108">
        <f t="shared" si="25"/>
        <v>1313000</v>
      </c>
      <c r="K70" s="108">
        <f t="shared" si="25"/>
        <v>1313000</v>
      </c>
      <c r="L70" s="108">
        <f t="shared" si="25"/>
        <v>1313000</v>
      </c>
      <c r="M70" s="108">
        <f t="shared" si="25"/>
        <v>1313000</v>
      </c>
      <c r="N70" s="108">
        <f t="shared" si="25"/>
        <v>2322000</v>
      </c>
      <c r="O70" s="108">
        <f t="shared" si="25"/>
        <v>1310000</v>
      </c>
      <c r="P70" s="108">
        <f t="shared" si="25"/>
        <v>4000</v>
      </c>
      <c r="Q70" s="108">
        <f>D70-SUM(F70:P70)</f>
        <v>6000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2592000</v>
      </c>
      <c r="E72" s="114" t="s">
        <v>202</v>
      </c>
      <c r="F72" s="37">
        <f>ROUND($D72/12*3,-3)</f>
        <v>648000</v>
      </c>
      <c r="G72" s="37">
        <f>ROUND($D72/12,-3)</f>
        <v>216000</v>
      </c>
      <c r="H72" s="37">
        <f t="shared" ref="H72:N75" si="26">ROUND($D72/12,-3)</f>
        <v>216000</v>
      </c>
      <c r="I72" s="37">
        <f t="shared" si="26"/>
        <v>216000</v>
      </c>
      <c r="J72" s="37">
        <f t="shared" si="26"/>
        <v>216000</v>
      </c>
      <c r="K72" s="37">
        <f t="shared" si="26"/>
        <v>216000</v>
      </c>
      <c r="L72" s="37">
        <f t="shared" si="26"/>
        <v>216000</v>
      </c>
      <c r="M72" s="37">
        <f t="shared" si="26"/>
        <v>216000</v>
      </c>
      <c r="N72" s="37">
        <f t="shared" si="26"/>
        <v>216000</v>
      </c>
      <c r="O72" s="37">
        <f>D72-SUM(F72:N72)</f>
        <v>216000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132000</v>
      </c>
      <c r="E75" s="114" t="s">
        <v>202</v>
      </c>
      <c r="F75" s="37">
        <f>ROUND($D75/12*3,-3)</f>
        <v>33000</v>
      </c>
      <c r="G75" s="37">
        <f>ROUND($D75/12,-3)</f>
        <v>11000</v>
      </c>
      <c r="H75" s="37">
        <f t="shared" si="26"/>
        <v>11000</v>
      </c>
      <c r="I75" s="37">
        <f t="shared" si="26"/>
        <v>11000</v>
      </c>
      <c r="J75" s="37">
        <f t="shared" si="26"/>
        <v>11000</v>
      </c>
      <c r="K75" s="37">
        <f t="shared" si="26"/>
        <v>11000</v>
      </c>
      <c r="L75" s="37">
        <f t="shared" si="26"/>
        <v>11000</v>
      </c>
      <c r="M75" s="37">
        <f t="shared" si="26"/>
        <v>11000</v>
      </c>
      <c r="N75" s="37">
        <f t="shared" si="26"/>
        <v>11000</v>
      </c>
      <c r="O75" s="37">
        <f>D75-SUM(F75:N75)</f>
        <v>11000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2724000</v>
      </c>
      <c r="E76" s="108"/>
      <c r="F76" s="108">
        <f>ROUND(SUM(F71:F75),-3)</f>
        <v>681000</v>
      </c>
      <c r="G76" s="108">
        <f t="shared" ref="G76:N76" si="27">ROUND(SUM(G71:G75),-3)</f>
        <v>227000</v>
      </c>
      <c r="H76" s="108">
        <f t="shared" si="27"/>
        <v>227000</v>
      </c>
      <c r="I76" s="108">
        <f t="shared" si="27"/>
        <v>227000</v>
      </c>
      <c r="J76" s="108">
        <f t="shared" si="27"/>
        <v>227000</v>
      </c>
      <c r="K76" s="108">
        <f t="shared" si="27"/>
        <v>227000</v>
      </c>
      <c r="L76" s="108">
        <f t="shared" si="27"/>
        <v>227000</v>
      </c>
      <c r="M76" s="108">
        <f t="shared" si="27"/>
        <v>227000</v>
      </c>
      <c r="N76" s="108">
        <f t="shared" si="27"/>
        <v>227000</v>
      </c>
      <c r="O76" s="108">
        <f>D76-SUM(F76:N76)</f>
        <v>227000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136000</v>
      </c>
      <c r="E77" s="37" t="s">
        <v>681</v>
      </c>
      <c r="F77" s="224"/>
      <c r="G77" s="224"/>
      <c r="H77" s="224">
        <f>ROUND($D77/2,-3)</f>
        <v>68000</v>
      </c>
      <c r="I77" s="224"/>
      <c r="J77" s="224"/>
      <c r="K77" s="224"/>
      <c r="L77" s="224"/>
      <c r="M77" s="224"/>
      <c r="N77" s="224">
        <f>D77-H77</f>
        <v>68000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21988000</v>
      </c>
      <c r="E78" s="227"/>
      <c r="F78" s="227">
        <f>F76+F70+F77</f>
        <v>6697000</v>
      </c>
      <c r="G78" s="227">
        <f t="shared" ref="G78:Q78" si="29">G76+G70+G77</f>
        <v>1540000</v>
      </c>
      <c r="H78" s="227">
        <f t="shared" si="29"/>
        <v>1635000</v>
      </c>
      <c r="I78" s="227">
        <f t="shared" si="29"/>
        <v>1792000</v>
      </c>
      <c r="J78" s="227">
        <f t="shared" si="29"/>
        <v>1540000</v>
      </c>
      <c r="K78" s="227">
        <f t="shared" si="29"/>
        <v>1540000</v>
      </c>
      <c r="L78" s="227">
        <f t="shared" si="29"/>
        <v>1540000</v>
      </c>
      <c r="M78" s="227">
        <f t="shared" si="29"/>
        <v>1540000</v>
      </c>
      <c r="N78" s="227">
        <f t="shared" si="29"/>
        <v>2617000</v>
      </c>
      <c r="O78" s="227">
        <f t="shared" si="29"/>
        <v>1537000</v>
      </c>
      <c r="P78" s="227">
        <f t="shared" si="29"/>
        <v>4000</v>
      </c>
      <c r="Q78" s="227">
        <f t="shared" si="29"/>
        <v>6000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22724000</v>
      </c>
      <c r="E87" s="37"/>
      <c r="F87" s="37">
        <f>F88+F89+F90+F91</f>
        <v>6772000</v>
      </c>
      <c r="G87" s="37">
        <f t="shared" ref="G87:Q87" si="32">G88+G89+G90+G91</f>
        <v>1599000</v>
      </c>
      <c r="H87" s="37">
        <f t="shared" si="32"/>
        <v>1694000</v>
      </c>
      <c r="I87" s="37">
        <f t="shared" si="32"/>
        <v>1851000</v>
      </c>
      <c r="J87" s="37">
        <f t="shared" si="32"/>
        <v>1599000</v>
      </c>
      <c r="K87" s="37">
        <f t="shared" si="32"/>
        <v>1599000</v>
      </c>
      <c r="L87" s="37">
        <f t="shared" si="32"/>
        <v>1615000</v>
      </c>
      <c r="M87" s="37">
        <f t="shared" si="32"/>
        <v>1599000</v>
      </c>
      <c r="N87" s="37">
        <f t="shared" si="32"/>
        <v>2676000</v>
      </c>
      <c r="O87" s="37">
        <f t="shared" si="32"/>
        <v>1596000</v>
      </c>
      <c r="P87" s="37">
        <f t="shared" si="32"/>
        <v>63000</v>
      </c>
      <c r="Q87" s="37">
        <f t="shared" si="32"/>
        <v>61000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0</v>
      </c>
      <c r="E88" s="108" t="s">
        <v>193</v>
      </c>
      <c r="F88" s="108">
        <f>ROUND($D88/2,-3)</f>
        <v>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22724000</v>
      </c>
      <c r="E91" s="108"/>
      <c r="F91" s="108">
        <f>F92+F93+F94+F95</f>
        <v>6772000</v>
      </c>
      <c r="G91" s="108">
        <f t="shared" ref="G91:Q91" si="34">G92+G93+G94+G95</f>
        <v>1599000</v>
      </c>
      <c r="H91" s="108">
        <f t="shared" si="34"/>
        <v>1694000</v>
      </c>
      <c r="I91" s="108">
        <f t="shared" si="34"/>
        <v>1851000</v>
      </c>
      <c r="J91" s="108">
        <f t="shared" si="34"/>
        <v>1599000</v>
      </c>
      <c r="K91" s="108">
        <f t="shared" si="34"/>
        <v>1599000</v>
      </c>
      <c r="L91" s="108">
        <f t="shared" si="34"/>
        <v>1615000</v>
      </c>
      <c r="M91" s="108">
        <f t="shared" si="34"/>
        <v>1599000</v>
      </c>
      <c r="N91" s="108">
        <f t="shared" si="34"/>
        <v>2676000</v>
      </c>
      <c r="O91" s="108">
        <f t="shared" si="34"/>
        <v>1596000</v>
      </c>
      <c r="P91" s="108">
        <f t="shared" si="34"/>
        <v>63000</v>
      </c>
      <c r="Q91" s="108">
        <f t="shared" si="34"/>
        <v>61000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1654000</v>
      </c>
      <c r="E92" s="114" t="s">
        <v>537</v>
      </c>
      <c r="F92" s="37">
        <f>ROUND($D92/12*5,-3)</f>
        <v>689000</v>
      </c>
      <c r="G92" s="37">
        <f>ROUND($D92/12,-3)</f>
        <v>138000</v>
      </c>
      <c r="H92" s="37">
        <f t="shared" ref="H92:L92" si="35">ROUND($D92/12,-3)</f>
        <v>138000</v>
      </c>
      <c r="I92" s="37">
        <f t="shared" si="35"/>
        <v>138000</v>
      </c>
      <c r="J92" s="37">
        <f t="shared" si="35"/>
        <v>138000</v>
      </c>
      <c r="K92" s="37">
        <f t="shared" si="35"/>
        <v>138000</v>
      </c>
      <c r="L92" s="37">
        <f t="shared" si="35"/>
        <v>138000</v>
      </c>
      <c r="M92" s="37">
        <f>D92-SUM(F92:L92)</f>
        <v>137000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78000</v>
      </c>
      <c r="E93" s="189" t="s">
        <v>227</v>
      </c>
      <c r="F93" s="37">
        <f>ROUND($D93/12,-3)</f>
        <v>7000</v>
      </c>
      <c r="G93" s="37">
        <f t="shared" ref="G93:P93" si="36">ROUND($D93/12,-3)</f>
        <v>7000</v>
      </c>
      <c r="H93" s="37">
        <f t="shared" si="36"/>
        <v>7000</v>
      </c>
      <c r="I93" s="37">
        <f t="shared" si="36"/>
        <v>7000</v>
      </c>
      <c r="J93" s="37">
        <f t="shared" si="36"/>
        <v>7000</v>
      </c>
      <c r="K93" s="37">
        <f t="shared" si="36"/>
        <v>7000</v>
      </c>
      <c r="L93" s="37">
        <f t="shared" si="36"/>
        <v>7000</v>
      </c>
      <c r="M93" s="37">
        <f t="shared" si="36"/>
        <v>7000</v>
      </c>
      <c r="N93" s="37">
        <f t="shared" si="36"/>
        <v>7000</v>
      </c>
      <c r="O93" s="37">
        <f t="shared" si="36"/>
        <v>7000</v>
      </c>
      <c r="P93" s="37">
        <f t="shared" si="36"/>
        <v>7000</v>
      </c>
      <c r="Q93" s="37">
        <f>D93-SUM(F93:P93)</f>
        <v>1000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112000</v>
      </c>
      <c r="E94" s="190" t="s">
        <v>229</v>
      </c>
      <c r="F94" s="37"/>
      <c r="G94" s="37"/>
      <c r="H94" s="37">
        <f>ROUND($D94/2,-3)</f>
        <v>56000</v>
      </c>
      <c r="I94" s="37"/>
      <c r="J94" s="37"/>
      <c r="K94" s="37"/>
      <c r="L94" s="37"/>
      <c r="M94" s="37"/>
      <c r="N94" s="37"/>
      <c r="O94" s="37">
        <f>D94-H94</f>
        <v>56000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20880000</v>
      </c>
      <c r="E95" s="37"/>
      <c r="F95" s="37">
        <f>F2+F86-F88-F89-F90-F92-F93-F94</f>
        <v>6076000</v>
      </c>
      <c r="G95" s="37">
        <f t="shared" ref="G95:Q95" si="37">G2-G88-G89-G90-G92-G93-G94</f>
        <v>1454000</v>
      </c>
      <c r="H95" s="37">
        <f t="shared" si="37"/>
        <v>1493000</v>
      </c>
      <c r="I95" s="37">
        <f t="shared" si="37"/>
        <v>1706000</v>
      </c>
      <c r="J95" s="37">
        <f t="shared" si="37"/>
        <v>1454000</v>
      </c>
      <c r="K95" s="37">
        <f t="shared" si="37"/>
        <v>1454000</v>
      </c>
      <c r="L95" s="37">
        <f t="shared" si="37"/>
        <v>1470000</v>
      </c>
      <c r="M95" s="37">
        <f t="shared" si="37"/>
        <v>1455000</v>
      </c>
      <c r="N95" s="37">
        <f t="shared" si="37"/>
        <v>2669000</v>
      </c>
      <c r="O95" s="37">
        <f t="shared" si="37"/>
        <v>1533000</v>
      </c>
      <c r="P95" s="37">
        <f t="shared" si="37"/>
        <v>56000</v>
      </c>
      <c r="Q95" s="37">
        <f t="shared" si="37"/>
        <v>60000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1004000</v>
      </c>
    </row>
    <row r="102" spans="2:17" ht="32.4">
      <c r="B102" s="71" t="s">
        <v>238</v>
      </c>
      <c r="D102" s="30">
        <f>HLOOKUP(D1,[1]縣庫撥款收入明細表!H:DD,16,FALSE)</f>
        <v>72000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112000</v>
      </c>
    </row>
    <row r="105" spans="2:17" ht="32.4">
      <c r="B105" s="72" t="s">
        <v>380</v>
      </c>
      <c r="D105" s="30">
        <f>HLOOKUP(D1,[1]縣庫撥款收入明細表!H:DD,19,FALSE)</f>
        <v>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20880000</v>
      </c>
    </row>
    <row r="108" spans="2:17" ht="16.5" customHeight="1"/>
    <row r="109" spans="2:17" ht="16.5" customHeight="1">
      <c r="B109" s="4" t="s">
        <v>682</v>
      </c>
      <c r="D109" s="30">
        <f>D91-D76</f>
        <v>20000000</v>
      </c>
      <c r="F109" s="30">
        <f>F91-F76</f>
        <v>6091000</v>
      </c>
      <c r="G109" s="30">
        <f t="shared" ref="G109:Q109" si="38">G91-G76</f>
        <v>1372000</v>
      </c>
      <c r="H109" s="30">
        <f t="shared" si="38"/>
        <v>1467000</v>
      </c>
      <c r="I109" s="30">
        <f t="shared" si="38"/>
        <v>1624000</v>
      </c>
      <c r="J109" s="30">
        <f t="shared" si="38"/>
        <v>1372000</v>
      </c>
      <c r="K109" s="30">
        <f t="shared" si="38"/>
        <v>1372000</v>
      </c>
      <c r="L109" s="30">
        <f t="shared" si="38"/>
        <v>1388000</v>
      </c>
      <c r="M109" s="30">
        <f t="shared" si="38"/>
        <v>1372000</v>
      </c>
      <c r="N109" s="30">
        <f t="shared" si="38"/>
        <v>2449000</v>
      </c>
      <c r="O109" s="30">
        <f t="shared" si="38"/>
        <v>1369000</v>
      </c>
      <c r="P109" s="30">
        <f t="shared" si="38"/>
        <v>63000</v>
      </c>
      <c r="Q109" s="30">
        <f t="shared" si="38"/>
        <v>61000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12" priority="1" operator="lessThan">
      <formula>0</formula>
    </cfRule>
  </conditionalFormatting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652</v>
      </c>
      <c r="D1" s="28" t="str">
        <f>VLOOKUP(C1,[1]學校編號!A:B,2,FALSE)</f>
        <v>652富源國小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22986000</v>
      </c>
      <c r="E2" s="37"/>
      <c r="F2" s="37">
        <f>F48+F70+F76+F77+F83</f>
        <v>6747000</v>
      </c>
      <c r="G2" s="37">
        <f t="shared" ref="G2:Q2" si="0">G48+G70+G76+G77+G83</f>
        <v>1654000</v>
      </c>
      <c r="H2" s="37">
        <f t="shared" si="0"/>
        <v>1686000</v>
      </c>
      <c r="I2" s="37">
        <f t="shared" si="0"/>
        <v>1883000</v>
      </c>
      <c r="J2" s="37">
        <f t="shared" si="0"/>
        <v>1654000</v>
      </c>
      <c r="K2" s="37">
        <f t="shared" si="0"/>
        <v>1656000</v>
      </c>
      <c r="L2" s="37">
        <f t="shared" si="0"/>
        <v>1672000</v>
      </c>
      <c r="M2" s="37">
        <f t="shared" si="0"/>
        <v>1654000</v>
      </c>
      <c r="N2" s="37">
        <f t="shared" si="0"/>
        <v>2590000</v>
      </c>
      <c r="O2" s="37">
        <f t="shared" si="0"/>
        <v>1651000</v>
      </c>
      <c r="P2" s="37">
        <f t="shared" si="0"/>
        <v>75000</v>
      </c>
      <c r="Q2" s="37">
        <f t="shared" si="0"/>
        <v>64000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164000</v>
      </c>
      <c r="E13" s="37" t="s">
        <v>525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80000</v>
      </c>
      <c r="E14" s="37" t="s">
        <v>525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32000</v>
      </c>
      <c r="E15" s="37" t="s">
        <v>193</v>
      </c>
      <c r="F15" s="37">
        <f>ROUND($D15/2,-3)</f>
        <v>16000</v>
      </c>
      <c r="G15" s="37"/>
      <c r="H15" s="37"/>
      <c r="I15" s="37"/>
      <c r="J15" s="37"/>
      <c r="K15" s="37"/>
      <c r="L15" s="37">
        <f>D15-F15</f>
        <v>16000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0</v>
      </c>
      <c r="E16" s="37" t="s">
        <v>525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5000</v>
      </c>
      <c r="E24" s="37" t="s">
        <v>193</v>
      </c>
      <c r="F24" s="37">
        <f>ROUND($D24/2,-3)</f>
        <v>3000</v>
      </c>
      <c r="G24" s="37"/>
      <c r="H24" s="37"/>
      <c r="I24" s="37"/>
      <c r="J24" s="37"/>
      <c r="K24" s="37"/>
      <c r="L24" s="37">
        <f>D24-F24</f>
        <v>2000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583000</v>
      </c>
      <c r="E25" s="108"/>
      <c r="F25" s="108">
        <f>ROUND(SUM(F3:F24),-3)</f>
        <v>65000</v>
      </c>
      <c r="G25" s="108">
        <f t="shared" ref="G25:P25" si="5">ROUND(SUM(G3:G24),-3)</f>
        <v>46000</v>
      </c>
      <c r="H25" s="108">
        <f t="shared" si="5"/>
        <v>46000</v>
      </c>
      <c r="I25" s="108">
        <f t="shared" si="5"/>
        <v>46000</v>
      </c>
      <c r="J25" s="108">
        <f t="shared" si="5"/>
        <v>46000</v>
      </c>
      <c r="K25" s="108">
        <f t="shared" si="5"/>
        <v>46000</v>
      </c>
      <c r="L25" s="108">
        <f t="shared" si="5"/>
        <v>64000</v>
      </c>
      <c r="M25" s="108">
        <f t="shared" si="5"/>
        <v>46000</v>
      </c>
      <c r="N25" s="108">
        <f t="shared" si="5"/>
        <v>46000</v>
      </c>
      <c r="O25" s="108">
        <f t="shared" si="5"/>
        <v>46000</v>
      </c>
      <c r="P25" s="108">
        <f t="shared" si="5"/>
        <v>46000</v>
      </c>
      <c r="Q25" s="108">
        <f t="shared" ref="Q25:Q33" si="6">D25-SUM(F25:P25)</f>
        <v>40000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15000</v>
      </c>
      <c r="E30" s="37" t="s">
        <v>525</v>
      </c>
      <c r="F30" s="37">
        <f t="shared" si="8"/>
        <v>1250</v>
      </c>
      <c r="G30" s="37">
        <f t="shared" si="8"/>
        <v>1250</v>
      </c>
      <c r="H30" s="37">
        <f t="shared" si="8"/>
        <v>1250</v>
      </c>
      <c r="I30" s="37">
        <f t="shared" si="8"/>
        <v>1250</v>
      </c>
      <c r="J30" s="37">
        <f t="shared" si="8"/>
        <v>1250</v>
      </c>
      <c r="K30" s="37">
        <f t="shared" si="8"/>
        <v>1250</v>
      </c>
      <c r="L30" s="37">
        <f t="shared" si="8"/>
        <v>1250</v>
      </c>
      <c r="M30" s="37">
        <f t="shared" si="8"/>
        <v>1250</v>
      </c>
      <c r="N30" s="37">
        <f t="shared" si="8"/>
        <v>1250</v>
      </c>
      <c r="O30" s="37">
        <f t="shared" si="8"/>
        <v>1250</v>
      </c>
      <c r="P30" s="37">
        <f t="shared" si="8"/>
        <v>1250</v>
      </c>
      <c r="Q30" s="37">
        <f t="shared" si="6"/>
        <v>1250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7000</v>
      </c>
      <c r="E31" s="37" t="s">
        <v>525</v>
      </c>
      <c r="F31" s="37">
        <f t="shared" si="8"/>
        <v>583</v>
      </c>
      <c r="G31" s="37">
        <f t="shared" si="8"/>
        <v>583</v>
      </c>
      <c r="H31" s="37">
        <f t="shared" si="8"/>
        <v>583</v>
      </c>
      <c r="I31" s="37">
        <f t="shared" si="8"/>
        <v>583</v>
      </c>
      <c r="J31" s="37">
        <f t="shared" si="8"/>
        <v>583</v>
      </c>
      <c r="K31" s="37">
        <f t="shared" si="8"/>
        <v>583</v>
      </c>
      <c r="L31" s="37">
        <f t="shared" si="8"/>
        <v>583</v>
      </c>
      <c r="M31" s="37">
        <f t="shared" si="8"/>
        <v>583</v>
      </c>
      <c r="N31" s="37">
        <f t="shared" si="8"/>
        <v>583</v>
      </c>
      <c r="O31" s="37">
        <f t="shared" si="8"/>
        <v>583</v>
      </c>
      <c r="P31" s="37">
        <f t="shared" si="8"/>
        <v>583</v>
      </c>
      <c r="Q31" s="37">
        <f t="shared" si="6"/>
        <v>587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288000</v>
      </c>
      <c r="E37" s="108"/>
      <c r="F37" s="108">
        <f t="shared" ref="F37:P37" si="9">ROUND(SUM(F26:F36),-3)</f>
        <v>24000</v>
      </c>
      <c r="G37" s="108">
        <f t="shared" si="9"/>
        <v>24000</v>
      </c>
      <c r="H37" s="108">
        <f t="shared" si="9"/>
        <v>24000</v>
      </c>
      <c r="I37" s="108">
        <f t="shared" si="9"/>
        <v>24000</v>
      </c>
      <c r="J37" s="108">
        <f t="shared" si="9"/>
        <v>24000</v>
      </c>
      <c r="K37" s="108">
        <f t="shared" si="9"/>
        <v>24000</v>
      </c>
      <c r="L37" s="108">
        <f t="shared" si="9"/>
        <v>24000</v>
      </c>
      <c r="M37" s="108">
        <f t="shared" si="9"/>
        <v>24000</v>
      </c>
      <c r="N37" s="108">
        <f t="shared" si="9"/>
        <v>24000</v>
      </c>
      <c r="O37" s="108">
        <f t="shared" si="9"/>
        <v>24000</v>
      </c>
      <c r="P37" s="108">
        <f t="shared" si="9"/>
        <v>24000</v>
      </c>
      <c r="Q37" s="108">
        <f>D37-SUM(F37:P37)</f>
        <v>24000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877000</v>
      </c>
      <c r="E48" s="37"/>
      <c r="F48" s="115">
        <f>F25+F37+F45+F47</f>
        <v>91000</v>
      </c>
      <c r="G48" s="115">
        <f t="shared" ref="G48:R48" si="14">G25+G37+G45+G47</f>
        <v>70000</v>
      </c>
      <c r="H48" s="115">
        <f t="shared" si="14"/>
        <v>70000</v>
      </c>
      <c r="I48" s="115">
        <f t="shared" si="14"/>
        <v>70000</v>
      </c>
      <c r="J48" s="115">
        <f t="shared" si="14"/>
        <v>70000</v>
      </c>
      <c r="K48" s="115">
        <f t="shared" si="14"/>
        <v>72000</v>
      </c>
      <c r="L48" s="115">
        <f t="shared" si="14"/>
        <v>88000</v>
      </c>
      <c r="M48" s="115">
        <f t="shared" si="14"/>
        <v>70000</v>
      </c>
      <c r="N48" s="115">
        <f t="shared" si="14"/>
        <v>72000</v>
      </c>
      <c r="O48" s="115">
        <f t="shared" si="14"/>
        <v>70000</v>
      </c>
      <c r="P48" s="115">
        <f t="shared" si="14"/>
        <v>70000</v>
      </c>
      <c r="Q48" s="115">
        <f t="shared" si="14"/>
        <v>64000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12152000</v>
      </c>
      <c r="E49" s="114" t="s">
        <v>202</v>
      </c>
      <c r="F49" s="37">
        <f>ROUND($D49/12*3,-3)</f>
        <v>3038000</v>
      </c>
      <c r="G49" s="37">
        <f>ROUND($D49/12,-3)</f>
        <v>1013000</v>
      </c>
      <c r="H49" s="37">
        <f t="shared" ref="H49:N53" si="15">ROUND($D49/12,-3)</f>
        <v>1013000</v>
      </c>
      <c r="I49" s="37">
        <f t="shared" si="15"/>
        <v>1013000</v>
      </c>
      <c r="J49" s="37">
        <f t="shared" si="15"/>
        <v>1013000</v>
      </c>
      <c r="K49" s="37">
        <f t="shared" si="15"/>
        <v>1013000</v>
      </c>
      <c r="L49" s="37">
        <f t="shared" si="15"/>
        <v>1013000</v>
      </c>
      <c r="M49" s="37">
        <f t="shared" si="15"/>
        <v>1013000</v>
      </c>
      <c r="N49" s="37">
        <f t="shared" si="15"/>
        <v>1013000</v>
      </c>
      <c r="O49" s="37">
        <f>D49-SUM(F49:N49)</f>
        <v>1010000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1412000</v>
      </c>
      <c r="E51" s="114" t="s">
        <v>202</v>
      </c>
      <c r="F51" s="37">
        <f t="shared" si="16"/>
        <v>353000</v>
      </c>
      <c r="G51" s="37">
        <f t="shared" si="17"/>
        <v>118000</v>
      </c>
      <c r="H51" s="37">
        <f t="shared" si="15"/>
        <v>118000</v>
      </c>
      <c r="I51" s="37">
        <f t="shared" si="15"/>
        <v>118000</v>
      </c>
      <c r="J51" s="37">
        <f t="shared" si="15"/>
        <v>118000</v>
      </c>
      <c r="K51" s="37">
        <f t="shared" si="15"/>
        <v>118000</v>
      </c>
      <c r="L51" s="37">
        <f t="shared" si="15"/>
        <v>118000</v>
      </c>
      <c r="M51" s="37">
        <f t="shared" si="15"/>
        <v>118000</v>
      </c>
      <c r="N51" s="37">
        <f t="shared" si="15"/>
        <v>118000</v>
      </c>
      <c r="O51" s="37">
        <f t="shared" si="18"/>
        <v>115000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307000</v>
      </c>
      <c r="E60" s="37" t="s">
        <v>195</v>
      </c>
      <c r="F60" s="37">
        <f>D60</f>
        <v>307000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1145000</v>
      </c>
      <c r="E62" s="37" t="s">
        <v>197</v>
      </c>
      <c r="F62" s="37"/>
      <c r="G62" s="37"/>
      <c r="H62" s="37"/>
      <c r="I62" s="37">
        <f>ROUND($D62/5,-3)</f>
        <v>229000</v>
      </c>
      <c r="J62" s="37"/>
      <c r="K62" s="37"/>
      <c r="L62" s="37"/>
      <c r="M62" s="37"/>
      <c r="N62" s="37">
        <f>D62-I62</f>
        <v>916000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1508000</v>
      </c>
      <c r="E63" s="37" t="s">
        <v>195</v>
      </c>
      <c r="F63" s="37">
        <f>D63</f>
        <v>1508000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1194000</v>
      </c>
      <c r="E64" s="114" t="s">
        <v>202</v>
      </c>
      <c r="F64" s="37">
        <f>ROUND($D64/12*3,-3)</f>
        <v>299000</v>
      </c>
      <c r="G64" s="37">
        <f>ROUND($D64/12,-3)</f>
        <v>100000</v>
      </c>
      <c r="H64" s="37">
        <f t="shared" ref="H64:N66" si="21">ROUND($D64/12,-3)</f>
        <v>100000</v>
      </c>
      <c r="I64" s="37">
        <f t="shared" si="21"/>
        <v>100000</v>
      </c>
      <c r="J64" s="37">
        <f t="shared" si="21"/>
        <v>100000</v>
      </c>
      <c r="K64" s="37">
        <f t="shared" si="21"/>
        <v>100000</v>
      </c>
      <c r="L64" s="37">
        <f t="shared" si="21"/>
        <v>100000</v>
      </c>
      <c r="M64" s="37">
        <f t="shared" si="21"/>
        <v>100000</v>
      </c>
      <c r="N64" s="37">
        <f t="shared" si="21"/>
        <v>100000</v>
      </c>
      <c r="O64" s="37">
        <f>D64-SUM(F64:N64)</f>
        <v>95000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242000</v>
      </c>
      <c r="E65" s="114" t="s">
        <v>202</v>
      </c>
      <c r="F65" s="37">
        <f t="shared" ref="F65:F66" si="22">ROUND($D65/12*3,-3)</f>
        <v>61000</v>
      </c>
      <c r="G65" s="37">
        <f t="shared" ref="G65:G66" si="23">ROUND($D65/12,-3)</f>
        <v>20000</v>
      </c>
      <c r="H65" s="37">
        <f t="shared" si="21"/>
        <v>20000</v>
      </c>
      <c r="I65" s="37">
        <f t="shared" si="21"/>
        <v>20000</v>
      </c>
      <c r="J65" s="37">
        <f t="shared" si="21"/>
        <v>20000</v>
      </c>
      <c r="K65" s="37">
        <f t="shared" si="21"/>
        <v>20000</v>
      </c>
      <c r="L65" s="37">
        <f t="shared" si="21"/>
        <v>20000</v>
      </c>
      <c r="M65" s="37">
        <f t="shared" si="21"/>
        <v>20000</v>
      </c>
      <c r="N65" s="37">
        <f t="shared" si="21"/>
        <v>20000</v>
      </c>
      <c r="O65" s="37">
        <f t="shared" ref="O65:O66" si="24">D65-SUM(F65:N65)</f>
        <v>21000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1021000</v>
      </c>
      <c r="E66" s="114" t="s">
        <v>202</v>
      </c>
      <c r="F66" s="37">
        <f t="shared" si="22"/>
        <v>255000</v>
      </c>
      <c r="G66" s="37">
        <f t="shared" si="23"/>
        <v>85000</v>
      </c>
      <c r="H66" s="37">
        <f t="shared" si="21"/>
        <v>85000</v>
      </c>
      <c r="I66" s="37">
        <f t="shared" si="21"/>
        <v>85000</v>
      </c>
      <c r="J66" s="37">
        <f t="shared" si="21"/>
        <v>85000</v>
      </c>
      <c r="K66" s="37">
        <f t="shared" si="21"/>
        <v>85000</v>
      </c>
      <c r="L66" s="37">
        <f t="shared" si="21"/>
        <v>85000</v>
      </c>
      <c r="M66" s="37">
        <f t="shared" si="21"/>
        <v>85000</v>
      </c>
      <c r="N66" s="37">
        <f t="shared" si="21"/>
        <v>85000</v>
      </c>
      <c r="O66" s="37">
        <f t="shared" si="24"/>
        <v>86000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13000</v>
      </c>
      <c r="E67" s="37" t="s">
        <v>196</v>
      </c>
      <c r="F67" s="37"/>
      <c r="G67" s="37"/>
      <c r="H67" s="37">
        <f>D67</f>
        <v>13000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99000</v>
      </c>
      <c r="E68" s="37" t="s">
        <v>195</v>
      </c>
      <c r="F68" s="37">
        <f>D68</f>
        <v>99000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19413000</v>
      </c>
      <c r="E70" s="108"/>
      <c r="F70" s="108">
        <f t="shared" ref="F70:P70" si="25">ROUND(SUM(F49:F69),-3)</f>
        <v>5991000</v>
      </c>
      <c r="G70" s="108">
        <f t="shared" si="25"/>
        <v>1363000</v>
      </c>
      <c r="H70" s="108">
        <f t="shared" si="25"/>
        <v>1376000</v>
      </c>
      <c r="I70" s="108">
        <f t="shared" si="25"/>
        <v>1592000</v>
      </c>
      <c r="J70" s="108">
        <f t="shared" si="25"/>
        <v>1363000</v>
      </c>
      <c r="K70" s="108">
        <f t="shared" si="25"/>
        <v>1363000</v>
      </c>
      <c r="L70" s="108">
        <f t="shared" si="25"/>
        <v>1363000</v>
      </c>
      <c r="M70" s="108">
        <f t="shared" si="25"/>
        <v>1363000</v>
      </c>
      <c r="N70" s="108">
        <f t="shared" si="25"/>
        <v>2279000</v>
      </c>
      <c r="O70" s="108">
        <f t="shared" si="25"/>
        <v>1355000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1923000</v>
      </c>
      <c r="E72" s="114" t="s">
        <v>202</v>
      </c>
      <c r="F72" s="37">
        <f>ROUND($D72/12*3,-3)</f>
        <v>481000</v>
      </c>
      <c r="G72" s="37">
        <f>ROUND($D72/12,-3)</f>
        <v>160000</v>
      </c>
      <c r="H72" s="37">
        <f t="shared" ref="H72:N75" si="26">ROUND($D72/12,-3)</f>
        <v>160000</v>
      </c>
      <c r="I72" s="37">
        <f t="shared" si="26"/>
        <v>160000</v>
      </c>
      <c r="J72" s="37">
        <f t="shared" si="26"/>
        <v>160000</v>
      </c>
      <c r="K72" s="37">
        <f t="shared" si="26"/>
        <v>160000</v>
      </c>
      <c r="L72" s="37">
        <f t="shared" si="26"/>
        <v>160000</v>
      </c>
      <c r="M72" s="37">
        <f t="shared" si="26"/>
        <v>160000</v>
      </c>
      <c r="N72" s="37">
        <f t="shared" si="26"/>
        <v>160000</v>
      </c>
      <c r="O72" s="37">
        <f>D72-SUM(F72:N72)</f>
        <v>162000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736000</v>
      </c>
      <c r="E74" s="114" t="s">
        <v>202</v>
      </c>
      <c r="F74" s="37">
        <f>ROUND($D74/12*3,-3)</f>
        <v>184000</v>
      </c>
      <c r="G74" s="37">
        <f>ROUND($D74/12,-3)</f>
        <v>61000</v>
      </c>
      <c r="H74" s="37">
        <f t="shared" si="26"/>
        <v>61000</v>
      </c>
      <c r="I74" s="37">
        <f t="shared" si="26"/>
        <v>61000</v>
      </c>
      <c r="J74" s="37">
        <f t="shared" si="26"/>
        <v>61000</v>
      </c>
      <c r="K74" s="37">
        <f t="shared" si="26"/>
        <v>61000</v>
      </c>
      <c r="L74" s="37">
        <f t="shared" si="26"/>
        <v>61000</v>
      </c>
      <c r="M74" s="37">
        <f t="shared" si="26"/>
        <v>61000</v>
      </c>
      <c r="N74" s="37">
        <f t="shared" si="26"/>
        <v>61000</v>
      </c>
      <c r="O74" s="37">
        <f>D74-SUM(F74:N74)</f>
        <v>64000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2659000</v>
      </c>
      <c r="E76" s="108"/>
      <c r="F76" s="108">
        <f>ROUND(SUM(F71:F75),-3)</f>
        <v>665000</v>
      </c>
      <c r="G76" s="108">
        <f t="shared" ref="G76:N76" si="27">ROUND(SUM(G71:G75),-3)</f>
        <v>221000</v>
      </c>
      <c r="H76" s="108">
        <f t="shared" si="27"/>
        <v>221000</v>
      </c>
      <c r="I76" s="108">
        <f t="shared" si="27"/>
        <v>221000</v>
      </c>
      <c r="J76" s="108">
        <f t="shared" si="27"/>
        <v>221000</v>
      </c>
      <c r="K76" s="108">
        <f t="shared" si="27"/>
        <v>221000</v>
      </c>
      <c r="L76" s="108">
        <f t="shared" si="27"/>
        <v>221000</v>
      </c>
      <c r="M76" s="108">
        <f t="shared" si="27"/>
        <v>221000</v>
      </c>
      <c r="N76" s="108">
        <f t="shared" si="27"/>
        <v>221000</v>
      </c>
      <c r="O76" s="108">
        <f>D76-SUM(F76:N76)</f>
        <v>226000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37000</v>
      </c>
      <c r="E77" s="37" t="s">
        <v>681</v>
      </c>
      <c r="F77" s="224"/>
      <c r="G77" s="224"/>
      <c r="H77" s="224">
        <f>ROUND($D77/2,-3)</f>
        <v>19000</v>
      </c>
      <c r="I77" s="224"/>
      <c r="J77" s="224"/>
      <c r="K77" s="224"/>
      <c r="L77" s="224"/>
      <c r="M77" s="224"/>
      <c r="N77" s="224">
        <f>D77-H77</f>
        <v>18000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22109000</v>
      </c>
      <c r="E78" s="227"/>
      <c r="F78" s="227">
        <f>F76+F70+F77</f>
        <v>6656000</v>
      </c>
      <c r="G78" s="227">
        <f t="shared" ref="G78:Q78" si="29">G76+G70+G77</f>
        <v>1584000</v>
      </c>
      <c r="H78" s="227">
        <f t="shared" si="29"/>
        <v>1616000</v>
      </c>
      <c r="I78" s="227">
        <f t="shared" si="29"/>
        <v>1813000</v>
      </c>
      <c r="J78" s="227">
        <f t="shared" si="29"/>
        <v>1584000</v>
      </c>
      <c r="K78" s="227">
        <f t="shared" si="29"/>
        <v>1584000</v>
      </c>
      <c r="L78" s="227">
        <f t="shared" si="29"/>
        <v>1584000</v>
      </c>
      <c r="M78" s="227">
        <f t="shared" si="29"/>
        <v>1584000</v>
      </c>
      <c r="N78" s="227">
        <f t="shared" si="29"/>
        <v>2518000</v>
      </c>
      <c r="O78" s="227">
        <f t="shared" si="29"/>
        <v>1581000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22986000</v>
      </c>
      <c r="E87" s="37"/>
      <c r="F87" s="37">
        <f>F88+F89+F90+F91</f>
        <v>6747000</v>
      </c>
      <c r="G87" s="37">
        <f t="shared" ref="G87:Q87" si="32">G88+G89+G90+G91</f>
        <v>1654000</v>
      </c>
      <c r="H87" s="37">
        <f t="shared" si="32"/>
        <v>1686000</v>
      </c>
      <c r="I87" s="37">
        <f t="shared" si="32"/>
        <v>1883000</v>
      </c>
      <c r="J87" s="37">
        <f t="shared" si="32"/>
        <v>1654000</v>
      </c>
      <c r="K87" s="37">
        <f t="shared" si="32"/>
        <v>1656000</v>
      </c>
      <c r="L87" s="37">
        <f t="shared" si="32"/>
        <v>1672000</v>
      </c>
      <c r="M87" s="37">
        <f t="shared" si="32"/>
        <v>1654000</v>
      </c>
      <c r="N87" s="37">
        <f t="shared" si="32"/>
        <v>2590000</v>
      </c>
      <c r="O87" s="37">
        <f t="shared" si="32"/>
        <v>1651000</v>
      </c>
      <c r="P87" s="37">
        <f t="shared" si="32"/>
        <v>75000</v>
      </c>
      <c r="Q87" s="37">
        <f t="shared" si="32"/>
        <v>64000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5000</v>
      </c>
      <c r="E88" s="108" t="s">
        <v>193</v>
      </c>
      <c r="F88" s="108">
        <f>ROUND($D88/2,-3)</f>
        <v>3000</v>
      </c>
      <c r="G88" s="108"/>
      <c r="H88" s="108"/>
      <c r="I88" s="108"/>
      <c r="J88" s="108"/>
      <c r="K88" s="108"/>
      <c r="L88" s="108">
        <f>D88-F88</f>
        <v>2000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22980000</v>
      </c>
      <c r="E91" s="108"/>
      <c r="F91" s="108">
        <f>F92+F93+F94+F95</f>
        <v>6744000</v>
      </c>
      <c r="G91" s="108">
        <f t="shared" ref="G91:Q91" si="34">G92+G93+G94+G95</f>
        <v>1654000</v>
      </c>
      <c r="H91" s="108">
        <f t="shared" si="34"/>
        <v>1686000</v>
      </c>
      <c r="I91" s="108">
        <f t="shared" si="34"/>
        <v>1883000</v>
      </c>
      <c r="J91" s="108">
        <f t="shared" si="34"/>
        <v>1654000</v>
      </c>
      <c r="K91" s="108">
        <f t="shared" si="34"/>
        <v>1656000</v>
      </c>
      <c r="L91" s="108">
        <f t="shared" si="34"/>
        <v>1670000</v>
      </c>
      <c r="M91" s="108">
        <f t="shared" si="34"/>
        <v>1654000</v>
      </c>
      <c r="N91" s="108">
        <f t="shared" si="34"/>
        <v>2590000</v>
      </c>
      <c r="O91" s="108">
        <f t="shared" si="34"/>
        <v>1651000</v>
      </c>
      <c r="P91" s="108">
        <f t="shared" si="34"/>
        <v>75000</v>
      </c>
      <c r="Q91" s="108">
        <f t="shared" si="34"/>
        <v>63000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1665000</v>
      </c>
      <c r="E92" s="114" t="s">
        <v>537</v>
      </c>
      <c r="F92" s="37">
        <f>ROUND($D92/12*5,-3)</f>
        <v>694000</v>
      </c>
      <c r="G92" s="37">
        <f>ROUND($D92/12,-3)</f>
        <v>139000</v>
      </c>
      <c r="H92" s="37">
        <f t="shared" ref="H92:L92" si="35">ROUND($D92/12,-3)</f>
        <v>139000</v>
      </c>
      <c r="I92" s="37">
        <f t="shared" si="35"/>
        <v>139000</v>
      </c>
      <c r="J92" s="37">
        <f t="shared" si="35"/>
        <v>139000</v>
      </c>
      <c r="K92" s="37">
        <f t="shared" si="35"/>
        <v>139000</v>
      </c>
      <c r="L92" s="37">
        <f t="shared" si="35"/>
        <v>139000</v>
      </c>
      <c r="M92" s="37">
        <f>D92-SUM(F92:L92)</f>
        <v>137000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420000</v>
      </c>
      <c r="E94" s="190" t="s">
        <v>229</v>
      </c>
      <c r="F94" s="37"/>
      <c r="G94" s="37"/>
      <c r="H94" s="37">
        <f>ROUND($D94/2,-3)</f>
        <v>210000</v>
      </c>
      <c r="I94" s="37"/>
      <c r="J94" s="37"/>
      <c r="K94" s="37"/>
      <c r="L94" s="37"/>
      <c r="M94" s="37"/>
      <c r="N94" s="37"/>
      <c r="O94" s="37">
        <f>D94-H94</f>
        <v>210000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20805000</v>
      </c>
      <c r="E95" s="37"/>
      <c r="F95" s="37">
        <f>F2+F86-F88-F89-F90-F92-F93-F94</f>
        <v>6042000</v>
      </c>
      <c r="G95" s="37">
        <f t="shared" ref="G95:Q95" si="37">G2-G88-G89-G90-G92-G93-G94</f>
        <v>1507000</v>
      </c>
      <c r="H95" s="37">
        <f t="shared" si="37"/>
        <v>1329000</v>
      </c>
      <c r="I95" s="37">
        <f t="shared" si="37"/>
        <v>1736000</v>
      </c>
      <c r="J95" s="37">
        <f t="shared" si="37"/>
        <v>1507000</v>
      </c>
      <c r="K95" s="37">
        <f t="shared" si="37"/>
        <v>1509000</v>
      </c>
      <c r="L95" s="37">
        <f t="shared" si="37"/>
        <v>1523000</v>
      </c>
      <c r="M95" s="37">
        <f t="shared" si="37"/>
        <v>1509000</v>
      </c>
      <c r="N95" s="37">
        <f t="shared" si="37"/>
        <v>2582000</v>
      </c>
      <c r="O95" s="37">
        <f t="shared" si="37"/>
        <v>1433000</v>
      </c>
      <c r="P95" s="37">
        <f t="shared" si="37"/>
        <v>67000</v>
      </c>
      <c r="Q95" s="37">
        <f t="shared" si="37"/>
        <v>61000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0</v>
      </c>
    </row>
    <row r="104" spans="2:17" ht="32.4">
      <c r="B104" s="76" t="s">
        <v>240</v>
      </c>
      <c r="D104" s="30">
        <f>HLOOKUP(D1,[1]縣庫撥款收入明細表!H:DD,18,FALSE)</f>
        <v>420000</v>
      </c>
    </row>
    <row r="105" spans="2:17" ht="32.4">
      <c r="B105" s="72" t="s">
        <v>380</v>
      </c>
      <c r="D105" s="30">
        <f>HLOOKUP(D1,[1]縣庫撥款收入明細表!H:DD,19,FALSE)</f>
        <v>650000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20805000</v>
      </c>
    </row>
    <row r="108" spans="2:17" ht="16.5" customHeight="1"/>
    <row r="109" spans="2:17" ht="16.5" customHeight="1">
      <c r="B109" s="4" t="s">
        <v>682</v>
      </c>
      <c r="D109" s="30">
        <f>D91-D76</f>
        <v>20321000</v>
      </c>
      <c r="F109" s="30">
        <f>F91-F76</f>
        <v>6079000</v>
      </c>
      <c r="G109" s="30">
        <f t="shared" ref="G109:Q109" si="38">G91-G76</f>
        <v>1433000</v>
      </c>
      <c r="H109" s="30">
        <f t="shared" si="38"/>
        <v>1465000</v>
      </c>
      <c r="I109" s="30">
        <f t="shared" si="38"/>
        <v>1662000</v>
      </c>
      <c r="J109" s="30">
        <f t="shared" si="38"/>
        <v>1433000</v>
      </c>
      <c r="K109" s="30">
        <f t="shared" si="38"/>
        <v>1435000</v>
      </c>
      <c r="L109" s="30">
        <f t="shared" si="38"/>
        <v>1449000</v>
      </c>
      <c r="M109" s="30">
        <f t="shared" si="38"/>
        <v>1433000</v>
      </c>
      <c r="N109" s="30">
        <f t="shared" si="38"/>
        <v>2369000</v>
      </c>
      <c r="O109" s="30">
        <f t="shared" si="38"/>
        <v>1425000</v>
      </c>
      <c r="P109" s="30">
        <f t="shared" si="38"/>
        <v>75000</v>
      </c>
      <c r="Q109" s="30">
        <f t="shared" si="38"/>
        <v>63000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10" priority="1" operator="lessThan">
      <formula>0</formula>
    </cfRule>
  </conditionalFormatting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653</v>
      </c>
      <c r="D1" s="28" t="str">
        <f>VLOOKUP(C1,[1]學校編號!A:B,2,FALSE)</f>
        <v>653瑞北國小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20831000</v>
      </c>
      <c r="E2" s="37"/>
      <c r="F2" s="37">
        <f>F48+F70+F76+F77+F83</f>
        <v>6283000</v>
      </c>
      <c r="G2" s="37">
        <f t="shared" ref="G2:Q2" si="0">G48+G70+G76+G77+G83</f>
        <v>1455000</v>
      </c>
      <c r="H2" s="37">
        <f t="shared" si="0"/>
        <v>1495000</v>
      </c>
      <c r="I2" s="37">
        <f t="shared" si="0"/>
        <v>1704000</v>
      </c>
      <c r="J2" s="37">
        <f t="shared" si="0"/>
        <v>1455000</v>
      </c>
      <c r="K2" s="37">
        <f t="shared" si="0"/>
        <v>1459000</v>
      </c>
      <c r="L2" s="37">
        <f t="shared" si="0"/>
        <v>1472000</v>
      </c>
      <c r="M2" s="37">
        <f t="shared" si="0"/>
        <v>1455000</v>
      </c>
      <c r="N2" s="37">
        <f t="shared" si="0"/>
        <v>2482000</v>
      </c>
      <c r="O2" s="37">
        <f t="shared" si="0"/>
        <v>1447000</v>
      </c>
      <c r="P2" s="37">
        <f t="shared" si="0"/>
        <v>68000</v>
      </c>
      <c r="Q2" s="37">
        <f t="shared" si="0"/>
        <v>56000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164000</v>
      </c>
      <c r="E13" s="37" t="s">
        <v>525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34000</v>
      </c>
      <c r="E15" s="37" t="s">
        <v>193</v>
      </c>
      <c r="F15" s="37">
        <f>ROUND($D15/2,-3)</f>
        <v>17000</v>
      </c>
      <c r="G15" s="37"/>
      <c r="H15" s="37"/>
      <c r="I15" s="37"/>
      <c r="J15" s="37"/>
      <c r="K15" s="37"/>
      <c r="L15" s="37">
        <f>D15-F15</f>
        <v>17000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0</v>
      </c>
      <c r="E16" s="37" t="s">
        <v>525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500000</v>
      </c>
      <c r="E25" s="108"/>
      <c r="F25" s="108">
        <f>ROUND(SUM(F3:F24),-3)</f>
        <v>56000</v>
      </c>
      <c r="G25" s="108">
        <f t="shared" ref="G25:P25" si="5">ROUND(SUM(G3:G24),-3)</f>
        <v>39000</v>
      </c>
      <c r="H25" s="108">
        <f t="shared" si="5"/>
        <v>39000</v>
      </c>
      <c r="I25" s="108">
        <f t="shared" si="5"/>
        <v>39000</v>
      </c>
      <c r="J25" s="108">
        <f t="shared" si="5"/>
        <v>39000</v>
      </c>
      <c r="K25" s="108">
        <f t="shared" si="5"/>
        <v>39000</v>
      </c>
      <c r="L25" s="108">
        <f t="shared" si="5"/>
        <v>56000</v>
      </c>
      <c r="M25" s="108">
        <f t="shared" si="5"/>
        <v>39000</v>
      </c>
      <c r="N25" s="108">
        <f t="shared" si="5"/>
        <v>39000</v>
      </c>
      <c r="O25" s="108">
        <f t="shared" si="5"/>
        <v>39000</v>
      </c>
      <c r="P25" s="108">
        <f t="shared" si="5"/>
        <v>39000</v>
      </c>
      <c r="Q25" s="108">
        <f t="shared" ref="Q25:Q33" si="6">D25-SUM(F25:P25)</f>
        <v>37000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11000</v>
      </c>
      <c r="E30" s="37" t="s">
        <v>525</v>
      </c>
      <c r="F30" s="37">
        <f t="shared" si="8"/>
        <v>917</v>
      </c>
      <c r="G30" s="37">
        <f t="shared" si="8"/>
        <v>917</v>
      </c>
      <c r="H30" s="37">
        <f t="shared" si="8"/>
        <v>917</v>
      </c>
      <c r="I30" s="37">
        <f t="shared" si="8"/>
        <v>917</v>
      </c>
      <c r="J30" s="37">
        <f t="shared" si="8"/>
        <v>917</v>
      </c>
      <c r="K30" s="37">
        <f t="shared" si="8"/>
        <v>917</v>
      </c>
      <c r="L30" s="37">
        <f t="shared" si="8"/>
        <v>917</v>
      </c>
      <c r="M30" s="37">
        <f t="shared" si="8"/>
        <v>917</v>
      </c>
      <c r="N30" s="37">
        <f t="shared" si="8"/>
        <v>917</v>
      </c>
      <c r="O30" s="37">
        <f t="shared" si="8"/>
        <v>917</v>
      </c>
      <c r="P30" s="37">
        <f t="shared" si="8"/>
        <v>917</v>
      </c>
      <c r="Q30" s="37">
        <f t="shared" si="6"/>
        <v>913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6000</v>
      </c>
      <c r="E31" s="37" t="s">
        <v>525</v>
      </c>
      <c r="F31" s="37">
        <f t="shared" si="8"/>
        <v>500</v>
      </c>
      <c r="G31" s="37">
        <f t="shared" si="8"/>
        <v>500</v>
      </c>
      <c r="H31" s="37">
        <f t="shared" si="8"/>
        <v>500</v>
      </c>
      <c r="I31" s="37">
        <f t="shared" si="8"/>
        <v>500</v>
      </c>
      <c r="J31" s="37">
        <f t="shared" si="8"/>
        <v>500</v>
      </c>
      <c r="K31" s="37">
        <f t="shared" si="8"/>
        <v>500</v>
      </c>
      <c r="L31" s="37">
        <f t="shared" si="8"/>
        <v>500</v>
      </c>
      <c r="M31" s="37">
        <f t="shared" si="8"/>
        <v>500</v>
      </c>
      <c r="N31" s="37">
        <f t="shared" si="8"/>
        <v>500</v>
      </c>
      <c r="O31" s="37">
        <f t="shared" si="8"/>
        <v>500</v>
      </c>
      <c r="P31" s="37">
        <f t="shared" si="8"/>
        <v>500</v>
      </c>
      <c r="Q31" s="37">
        <f t="shared" si="6"/>
        <v>500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283000</v>
      </c>
      <c r="E37" s="108"/>
      <c r="F37" s="108">
        <f t="shared" ref="F37:P37" si="9">ROUND(SUM(F26:F36),-3)</f>
        <v>24000</v>
      </c>
      <c r="G37" s="108">
        <f t="shared" si="9"/>
        <v>24000</v>
      </c>
      <c r="H37" s="108">
        <f t="shared" si="9"/>
        <v>24000</v>
      </c>
      <c r="I37" s="108">
        <f t="shared" si="9"/>
        <v>24000</v>
      </c>
      <c r="J37" s="108">
        <f t="shared" si="9"/>
        <v>24000</v>
      </c>
      <c r="K37" s="108">
        <f t="shared" si="9"/>
        <v>24000</v>
      </c>
      <c r="L37" s="108">
        <f t="shared" si="9"/>
        <v>24000</v>
      </c>
      <c r="M37" s="108">
        <f t="shared" si="9"/>
        <v>24000</v>
      </c>
      <c r="N37" s="108">
        <f t="shared" si="9"/>
        <v>24000</v>
      </c>
      <c r="O37" s="108">
        <f t="shared" si="9"/>
        <v>24000</v>
      </c>
      <c r="P37" s="108">
        <f t="shared" si="9"/>
        <v>24000</v>
      </c>
      <c r="Q37" s="108">
        <f>D37-SUM(F37:P37)</f>
        <v>19000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795000</v>
      </c>
      <c r="E48" s="37"/>
      <c r="F48" s="115">
        <f>F25+F37+F45+F47</f>
        <v>84000</v>
      </c>
      <c r="G48" s="115">
        <f t="shared" ref="G48:R48" si="14">G25+G37+G45+G47</f>
        <v>63000</v>
      </c>
      <c r="H48" s="115">
        <f t="shared" si="14"/>
        <v>63000</v>
      </c>
      <c r="I48" s="115">
        <f t="shared" si="14"/>
        <v>63000</v>
      </c>
      <c r="J48" s="115">
        <f t="shared" si="14"/>
        <v>63000</v>
      </c>
      <c r="K48" s="115">
        <f t="shared" si="14"/>
        <v>67000</v>
      </c>
      <c r="L48" s="115">
        <f t="shared" si="14"/>
        <v>80000</v>
      </c>
      <c r="M48" s="115">
        <f t="shared" si="14"/>
        <v>63000</v>
      </c>
      <c r="N48" s="115">
        <f t="shared" si="14"/>
        <v>67000</v>
      </c>
      <c r="O48" s="115">
        <f t="shared" si="14"/>
        <v>63000</v>
      </c>
      <c r="P48" s="115">
        <f t="shared" si="14"/>
        <v>63000</v>
      </c>
      <c r="Q48" s="115">
        <f t="shared" si="14"/>
        <v>56000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11479000</v>
      </c>
      <c r="E49" s="114" t="s">
        <v>202</v>
      </c>
      <c r="F49" s="37">
        <f>ROUND($D49/12*3,-3)</f>
        <v>2870000</v>
      </c>
      <c r="G49" s="37">
        <f>ROUND($D49/12,-3)</f>
        <v>957000</v>
      </c>
      <c r="H49" s="37">
        <f t="shared" ref="H49:N53" si="15">ROUND($D49/12,-3)</f>
        <v>957000</v>
      </c>
      <c r="I49" s="37">
        <f t="shared" si="15"/>
        <v>957000</v>
      </c>
      <c r="J49" s="37">
        <f t="shared" si="15"/>
        <v>957000</v>
      </c>
      <c r="K49" s="37">
        <f t="shared" si="15"/>
        <v>957000</v>
      </c>
      <c r="L49" s="37">
        <f t="shared" si="15"/>
        <v>957000</v>
      </c>
      <c r="M49" s="37">
        <f t="shared" si="15"/>
        <v>957000</v>
      </c>
      <c r="N49" s="37">
        <f t="shared" si="15"/>
        <v>957000</v>
      </c>
      <c r="O49" s="37">
        <f>D49-SUM(F49:N49)</f>
        <v>953000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406000</v>
      </c>
      <c r="E50" s="114" t="s">
        <v>202</v>
      </c>
      <c r="F50" s="37">
        <f t="shared" ref="F50:F53" si="16">ROUND($D50/12*3,-3)</f>
        <v>102000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si="15"/>
        <v>34000</v>
      </c>
      <c r="N50" s="37">
        <f t="shared" si="15"/>
        <v>34000</v>
      </c>
      <c r="O50" s="37">
        <f t="shared" ref="O50:O53" si="18">D50-SUM(F50:N50)</f>
        <v>32000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1349000</v>
      </c>
      <c r="E51" s="114" t="s">
        <v>202</v>
      </c>
      <c r="F51" s="37">
        <f t="shared" si="16"/>
        <v>337000</v>
      </c>
      <c r="G51" s="37">
        <f t="shared" si="17"/>
        <v>112000</v>
      </c>
      <c r="H51" s="37">
        <f t="shared" si="15"/>
        <v>112000</v>
      </c>
      <c r="I51" s="37">
        <f t="shared" si="15"/>
        <v>112000</v>
      </c>
      <c r="J51" s="37">
        <f t="shared" si="15"/>
        <v>112000</v>
      </c>
      <c r="K51" s="37">
        <f t="shared" si="15"/>
        <v>112000</v>
      </c>
      <c r="L51" s="37">
        <f t="shared" si="15"/>
        <v>112000</v>
      </c>
      <c r="M51" s="37">
        <f t="shared" si="15"/>
        <v>112000</v>
      </c>
      <c r="N51" s="37">
        <f t="shared" si="15"/>
        <v>112000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347000</v>
      </c>
      <c r="E60" s="37" t="s">
        <v>195</v>
      </c>
      <c r="F60" s="37">
        <f>D60</f>
        <v>347000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1245000</v>
      </c>
      <c r="E62" s="37" t="s">
        <v>197</v>
      </c>
      <c r="F62" s="37"/>
      <c r="G62" s="37"/>
      <c r="H62" s="37"/>
      <c r="I62" s="37">
        <f>ROUND($D62/5,-3)</f>
        <v>249000</v>
      </c>
      <c r="J62" s="37"/>
      <c r="K62" s="37"/>
      <c r="L62" s="37"/>
      <c r="M62" s="37"/>
      <c r="N62" s="37">
        <f>D62-I62</f>
        <v>996000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1469000</v>
      </c>
      <c r="E63" s="37" t="s">
        <v>195</v>
      </c>
      <c r="F63" s="37">
        <f>D63</f>
        <v>1469000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1173000</v>
      </c>
      <c r="E64" s="114" t="s">
        <v>202</v>
      </c>
      <c r="F64" s="37">
        <f>ROUND($D64/12*3,-3)</f>
        <v>293000</v>
      </c>
      <c r="G64" s="37">
        <f>ROUND($D64/12,-3)</f>
        <v>98000</v>
      </c>
      <c r="H64" s="37">
        <f t="shared" ref="H64:N66" si="21">ROUND($D64/12,-3)</f>
        <v>98000</v>
      </c>
      <c r="I64" s="37">
        <f t="shared" si="21"/>
        <v>98000</v>
      </c>
      <c r="J64" s="37">
        <f t="shared" si="21"/>
        <v>98000</v>
      </c>
      <c r="K64" s="37">
        <f t="shared" si="21"/>
        <v>98000</v>
      </c>
      <c r="L64" s="37">
        <f t="shared" si="21"/>
        <v>98000</v>
      </c>
      <c r="M64" s="37">
        <f t="shared" si="21"/>
        <v>98000</v>
      </c>
      <c r="N64" s="37">
        <f t="shared" si="21"/>
        <v>98000</v>
      </c>
      <c r="O64" s="37">
        <f>D64-SUM(F64:N64)</f>
        <v>96000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247000</v>
      </c>
      <c r="E65" s="114" t="s">
        <v>202</v>
      </c>
      <c r="F65" s="37">
        <f t="shared" ref="F65:F66" si="22">ROUND($D65/12*3,-3)</f>
        <v>62000</v>
      </c>
      <c r="G65" s="37">
        <f t="shared" ref="G65:G66" si="23">ROUND($D65/12,-3)</f>
        <v>21000</v>
      </c>
      <c r="H65" s="37">
        <f t="shared" si="21"/>
        <v>21000</v>
      </c>
      <c r="I65" s="37">
        <f t="shared" si="21"/>
        <v>21000</v>
      </c>
      <c r="J65" s="37">
        <f t="shared" si="21"/>
        <v>21000</v>
      </c>
      <c r="K65" s="37">
        <f t="shared" si="21"/>
        <v>21000</v>
      </c>
      <c r="L65" s="37">
        <f t="shared" si="21"/>
        <v>21000</v>
      </c>
      <c r="M65" s="37">
        <f t="shared" si="21"/>
        <v>21000</v>
      </c>
      <c r="N65" s="37">
        <f t="shared" si="21"/>
        <v>21000</v>
      </c>
      <c r="O65" s="37">
        <f t="shared" ref="O65:O66" si="24">D65-SUM(F65:N65)</f>
        <v>17000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995000</v>
      </c>
      <c r="E66" s="114" t="s">
        <v>202</v>
      </c>
      <c r="F66" s="37">
        <f t="shared" si="22"/>
        <v>249000</v>
      </c>
      <c r="G66" s="37">
        <f t="shared" si="23"/>
        <v>83000</v>
      </c>
      <c r="H66" s="37">
        <f t="shared" si="21"/>
        <v>83000</v>
      </c>
      <c r="I66" s="37">
        <f t="shared" si="21"/>
        <v>83000</v>
      </c>
      <c r="J66" s="37">
        <f t="shared" si="21"/>
        <v>83000</v>
      </c>
      <c r="K66" s="37">
        <f t="shared" si="21"/>
        <v>83000</v>
      </c>
      <c r="L66" s="37">
        <f t="shared" si="21"/>
        <v>83000</v>
      </c>
      <c r="M66" s="37">
        <f t="shared" si="21"/>
        <v>83000</v>
      </c>
      <c r="N66" s="37">
        <f t="shared" si="21"/>
        <v>83000</v>
      </c>
      <c r="O66" s="37">
        <f t="shared" si="24"/>
        <v>82000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13000</v>
      </c>
      <c r="E67" s="37" t="s">
        <v>196</v>
      </c>
      <c r="F67" s="37"/>
      <c r="G67" s="37"/>
      <c r="H67" s="37">
        <f>D67</f>
        <v>13000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199000</v>
      </c>
      <c r="E68" s="37" t="s">
        <v>195</v>
      </c>
      <c r="F68" s="37">
        <f>D68</f>
        <v>199000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19242000</v>
      </c>
      <c r="E70" s="108"/>
      <c r="F70" s="108">
        <f t="shared" ref="F70:P70" si="25">ROUND(SUM(F49:F69),-3)</f>
        <v>5999000</v>
      </c>
      <c r="G70" s="108">
        <f t="shared" si="25"/>
        <v>1332000</v>
      </c>
      <c r="H70" s="108">
        <f t="shared" si="25"/>
        <v>1345000</v>
      </c>
      <c r="I70" s="108">
        <f t="shared" si="25"/>
        <v>1581000</v>
      </c>
      <c r="J70" s="108">
        <f t="shared" si="25"/>
        <v>1332000</v>
      </c>
      <c r="K70" s="108">
        <f t="shared" si="25"/>
        <v>1332000</v>
      </c>
      <c r="L70" s="108">
        <f t="shared" si="25"/>
        <v>1332000</v>
      </c>
      <c r="M70" s="108">
        <f t="shared" si="25"/>
        <v>1332000</v>
      </c>
      <c r="N70" s="108">
        <f t="shared" si="25"/>
        <v>2328000</v>
      </c>
      <c r="O70" s="108">
        <f t="shared" si="25"/>
        <v>1324000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20000</v>
      </c>
      <c r="E71" s="37" t="s">
        <v>195</v>
      </c>
      <c r="F71" s="37">
        <f>D71</f>
        <v>20000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465000</v>
      </c>
      <c r="E72" s="114" t="s">
        <v>202</v>
      </c>
      <c r="F72" s="37">
        <f>ROUND($D72/12*3,-3)</f>
        <v>116000</v>
      </c>
      <c r="G72" s="37">
        <f>ROUND($D72/12,-3)</f>
        <v>39000</v>
      </c>
      <c r="H72" s="37">
        <f t="shared" ref="H72:N75" si="26">ROUND($D72/12,-3)</f>
        <v>39000</v>
      </c>
      <c r="I72" s="37">
        <f t="shared" si="26"/>
        <v>39000</v>
      </c>
      <c r="J72" s="37">
        <f t="shared" si="26"/>
        <v>39000</v>
      </c>
      <c r="K72" s="37">
        <f t="shared" si="26"/>
        <v>39000</v>
      </c>
      <c r="L72" s="37">
        <f t="shared" si="26"/>
        <v>39000</v>
      </c>
      <c r="M72" s="37">
        <f t="shared" si="26"/>
        <v>39000</v>
      </c>
      <c r="N72" s="37">
        <f t="shared" si="26"/>
        <v>39000</v>
      </c>
      <c r="O72" s="37">
        <f>D72-SUM(F72:N72)</f>
        <v>37000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255000</v>
      </c>
      <c r="E74" s="114" t="s">
        <v>202</v>
      </c>
      <c r="F74" s="37">
        <f>ROUND($D74/12*3,-3)</f>
        <v>64000</v>
      </c>
      <c r="G74" s="37">
        <f>ROUND($D74/12,-3)</f>
        <v>21000</v>
      </c>
      <c r="H74" s="37">
        <f t="shared" si="26"/>
        <v>21000</v>
      </c>
      <c r="I74" s="37">
        <f t="shared" si="26"/>
        <v>21000</v>
      </c>
      <c r="J74" s="37">
        <f t="shared" si="26"/>
        <v>21000</v>
      </c>
      <c r="K74" s="37">
        <f t="shared" si="26"/>
        <v>21000</v>
      </c>
      <c r="L74" s="37">
        <f t="shared" si="26"/>
        <v>21000</v>
      </c>
      <c r="M74" s="37">
        <f t="shared" si="26"/>
        <v>21000</v>
      </c>
      <c r="N74" s="37">
        <f t="shared" si="26"/>
        <v>21000</v>
      </c>
      <c r="O74" s="37">
        <f>D74-SUM(F74:N74)</f>
        <v>23000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740000</v>
      </c>
      <c r="E76" s="108"/>
      <c r="F76" s="108">
        <f>ROUND(SUM(F71:F75),-3)</f>
        <v>200000</v>
      </c>
      <c r="G76" s="108">
        <f t="shared" ref="G76:N76" si="27">ROUND(SUM(G71:G75),-3)</f>
        <v>60000</v>
      </c>
      <c r="H76" s="108">
        <f t="shared" si="27"/>
        <v>60000</v>
      </c>
      <c r="I76" s="108">
        <f t="shared" si="27"/>
        <v>60000</v>
      </c>
      <c r="J76" s="108">
        <f t="shared" si="27"/>
        <v>60000</v>
      </c>
      <c r="K76" s="108">
        <f t="shared" si="27"/>
        <v>60000</v>
      </c>
      <c r="L76" s="108">
        <f t="shared" si="27"/>
        <v>60000</v>
      </c>
      <c r="M76" s="108">
        <f t="shared" si="27"/>
        <v>60000</v>
      </c>
      <c r="N76" s="108">
        <f t="shared" si="27"/>
        <v>60000</v>
      </c>
      <c r="O76" s="108">
        <f>D76-SUM(F76:N76)</f>
        <v>60000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54000</v>
      </c>
      <c r="E77" s="37" t="s">
        <v>681</v>
      </c>
      <c r="F77" s="224"/>
      <c r="G77" s="224"/>
      <c r="H77" s="224">
        <f>ROUND($D77/2,-3)</f>
        <v>27000</v>
      </c>
      <c r="I77" s="224"/>
      <c r="J77" s="224"/>
      <c r="K77" s="224"/>
      <c r="L77" s="224"/>
      <c r="M77" s="224"/>
      <c r="N77" s="224">
        <f>D77-H77</f>
        <v>27000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20036000</v>
      </c>
      <c r="E78" s="227"/>
      <c r="F78" s="227">
        <f>F76+F70+F77</f>
        <v>6199000</v>
      </c>
      <c r="G78" s="227">
        <f t="shared" ref="G78:Q78" si="29">G76+G70+G77</f>
        <v>1392000</v>
      </c>
      <c r="H78" s="227">
        <f t="shared" si="29"/>
        <v>1432000</v>
      </c>
      <c r="I78" s="227">
        <f t="shared" si="29"/>
        <v>1641000</v>
      </c>
      <c r="J78" s="227">
        <f t="shared" si="29"/>
        <v>1392000</v>
      </c>
      <c r="K78" s="227">
        <f t="shared" si="29"/>
        <v>1392000</v>
      </c>
      <c r="L78" s="227">
        <f t="shared" si="29"/>
        <v>1392000</v>
      </c>
      <c r="M78" s="227">
        <f t="shared" si="29"/>
        <v>1392000</v>
      </c>
      <c r="N78" s="227">
        <f t="shared" si="29"/>
        <v>2415000</v>
      </c>
      <c r="O78" s="227">
        <f t="shared" si="29"/>
        <v>1384000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20831000</v>
      </c>
      <c r="E87" s="37"/>
      <c r="F87" s="37">
        <f>F88+F89+F90+F91</f>
        <v>6283000</v>
      </c>
      <c r="G87" s="37">
        <f t="shared" ref="G87:Q87" si="32">G88+G89+G90+G91</f>
        <v>1455000</v>
      </c>
      <c r="H87" s="37">
        <f t="shared" si="32"/>
        <v>1495000</v>
      </c>
      <c r="I87" s="37">
        <f t="shared" si="32"/>
        <v>1704000</v>
      </c>
      <c r="J87" s="37">
        <f t="shared" si="32"/>
        <v>1455000</v>
      </c>
      <c r="K87" s="37">
        <f t="shared" si="32"/>
        <v>1459000</v>
      </c>
      <c r="L87" s="37">
        <f t="shared" si="32"/>
        <v>1472000</v>
      </c>
      <c r="M87" s="37">
        <f t="shared" si="32"/>
        <v>1455000</v>
      </c>
      <c r="N87" s="37">
        <f t="shared" si="32"/>
        <v>2482000</v>
      </c>
      <c r="O87" s="37">
        <f t="shared" si="32"/>
        <v>1447000</v>
      </c>
      <c r="P87" s="37">
        <f t="shared" si="32"/>
        <v>68000</v>
      </c>
      <c r="Q87" s="37">
        <f t="shared" si="32"/>
        <v>56000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0</v>
      </c>
      <c r="E88" s="108" t="s">
        <v>193</v>
      </c>
      <c r="F88" s="108">
        <f>ROUND($D88/2,-3)</f>
        <v>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20831000</v>
      </c>
      <c r="E91" s="108"/>
      <c r="F91" s="108">
        <f>F92+F93+F94+F95</f>
        <v>6283000</v>
      </c>
      <c r="G91" s="108">
        <f t="shared" ref="G91:Q91" si="34">G92+G93+G94+G95</f>
        <v>1455000</v>
      </c>
      <c r="H91" s="108">
        <f t="shared" si="34"/>
        <v>1495000</v>
      </c>
      <c r="I91" s="108">
        <f t="shared" si="34"/>
        <v>1704000</v>
      </c>
      <c r="J91" s="108">
        <f t="shared" si="34"/>
        <v>1455000</v>
      </c>
      <c r="K91" s="108">
        <f t="shared" si="34"/>
        <v>1459000</v>
      </c>
      <c r="L91" s="108">
        <f t="shared" si="34"/>
        <v>1472000</v>
      </c>
      <c r="M91" s="108">
        <f t="shared" si="34"/>
        <v>1455000</v>
      </c>
      <c r="N91" s="108">
        <f t="shared" si="34"/>
        <v>2482000</v>
      </c>
      <c r="O91" s="108">
        <f t="shared" si="34"/>
        <v>1447000</v>
      </c>
      <c r="P91" s="108">
        <f t="shared" si="34"/>
        <v>68000</v>
      </c>
      <c r="Q91" s="108">
        <f t="shared" si="34"/>
        <v>56000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2965000</v>
      </c>
      <c r="E92" s="114" t="s">
        <v>537</v>
      </c>
      <c r="F92" s="37">
        <f>ROUND($D92/12*5,-3)</f>
        <v>1235000</v>
      </c>
      <c r="G92" s="37">
        <f>ROUND($D92/12,-3)</f>
        <v>247000</v>
      </c>
      <c r="H92" s="37">
        <f t="shared" ref="H92:L92" si="35">ROUND($D92/12,-3)</f>
        <v>247000</v>
      </c>
      <c r="I92" s="37">
        <f t="shared" si="35"/>
        <v>247000</v>
      </c>
      <c r="J92" s="37">
        <f t="shared" si="35"/>
        <v>247000</v>
      </c>
      <c r="K92" s="37">
        <f t="shared" si="35"/>
        <v>247000</v>
      </c>
      <c r="L92" s="37">
        <f t="shared" si="35"/>
        <v>247000</v>
      </c>
      <c r="M92" s="37">
        <f>D92-SUM(F92:L92)</f>
        <v>248000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17776000</v>
      </c>
      <c r="E95" s="37"/>
      <c r="F95" s="37">
        <f>F2+F86-F88-F89-F90-F92-F93-F94</f>
        <v>5040000</v>
      </c>
      <c r="G95" s="37">
        <f t="shared" ref="G95:Q95" si="37">G2-G88-G89-G90-G92-G93-G94</f>
        <v>1200000</v>
      </c>
      <c r="H95" s="37">
        <f t="shared" si="37"/>
        <v>1240000</v>
      </c>
      <c r="I95" s="37">
        <f t="shared" si="37"/>
        <v>1449000</v>
      </c>
      <c r="J95" s="37">
        <f t="shared" si="37"/>
        <v>1200000</v>
      </c>
      <c r="K95" s="37">
        <f t="shared" si="37"/>
        <v>1204000</v>
      </c>
      <c r="L95" s="37">
        <f t="shared" si="37"/>
        <v>1217000</v>
      </c>
      <c r="M95" s="37">
        <f t="shared" si="37"/>
        <v>1199000</v>
      </c>
      <c r="N95" s="37">
        <f t="shared" si="37"/>
        <v>2474000</v>
      </c>
      <c r="O95" s="37">
        <f t="shared" si="37"/>
        <v>1439000</v>
      </c>
      <c r="P95" s="37">
        <f t="shared" si="37"/>
        <v>60000</v>
      </c>
      <c r="Q95" s="37">
        <f t="shared" si="37"/>
        <v>54000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1300000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650000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17776000</v>
      </c>
    </row>
    <row r="108" spans="2:17" ht="16.5" customHeight="1"/>
    <row r="109" spans="2:17" ht="16.5" customHeight="1">
      <c r="B109" s="4" t="s">
        <v>682</v>
      </c>
      <c r="D109" s="30">
        <f>D91-D76</f>
        <v>20091000</v>
      </c>
      <c r="F109" s="30">
        <f>F91-F76</f>
        <v>6083000</v>
      </c>
      <c r="G109" s="30">
        <f t="shared" ref="G109:Q109" si="38">G91-G76</f>
        <v>1395000</v>
      </c>
      <c r="H109" s="30">
        <f t="shared" si="38"/>
        <v>1435000</v>
      </c>
      <c r="I109" s="30">
        <f t="shared" si="38"/>
        <v>1644000</v>
      </c>
      <c r="J109" s="30">
        <f t="shared" si="38"/>
        <v>1395000</v>
      </c>
      <c r="K109" s="30">
        <f t="shared" si="38"/>
        <v>1399000</v>
      </c>
      <c r="L109" s="30">
        <f t="shared" si="38"/>
        <v>1412000</v>
      </c>
      <c r="M109" s="30">
        <f t="shared" si="38"/>
        <v>1395000</v>
      </c>
      <c r="N109" s="30">
        <f t="shared" si="38"/>
        <v>2422000</v>
      </c>
      <c r="O109" s="30">
        <f t="shared" si="38"/>
        <v>1387000</v>
      </c>
      <c r="P109" s="30">
        <f t="shared" si="38"/>
        <v>68000</v>
      </c>
      <c r="Q109" s="30">
        <f t="shared" si="38"/>
        <v>56000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08" priority="1" operator="lessThan">
      <formula>0</formula>
    </cfRule>
  </conditionalFormatting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654</v>
      </c>
      <c r="D1" s="28" t="str">
        <f>VLOOKUP(C1,[1]學校編號!A:B,2,FALSE)</f>
        <v>654豐濱國小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25946000</v>
      </c>
      <c r="E2" s="37"/>
      <c r="F2" s="37">
        <f>F48+F70+F76+F77+F83</f>
        <v>7712000</v>
      </c>
      <c r="G2" s="37">
        <f t="shared" ref="G2:Q2" si="0">G48+G70+G76+G77+G83</f>
        <v>1861000</v>
      </c>
      <c r="H2" s="37">
        <f t="shared" si="0"/>
        <v>1885000</v>
      </c>
      <c r="I2" s="37">
        <f t="shared" si="0"/>
        <v>2115000</v>
      </c>
      <c r="J2" s="37">
        <f t="shared" si="0"/>
        <v>1867000</v>
      </c>
      <c r="K2" s="37">
        <f t="shared" si="0"/>
        <v>1869000</v>
      </c>
      <c r="L2" s="37">
        <f t="shared" si="0"/>
        <v>1889000</v>
      </c>
      <c r="M2" s="37">
        <f t="shared" si="0"/>
        <v>1867000</v>
      </c>
      <c r="N2" s="37">
        <f t="shared" si="0"/>
        <v>2840000</v>
      </c>
      <c r="O2" s="37">
        <f t="shared" si="0"/>
        <v>1874000</v>
      </c>
      <c r="P2" s="37">
        <f t="shared" si="0"/>
        <v>85000</v>
      </c>
      <c r="Q2" s="37">
        <f t="shared" si="0"/>
        <v>82000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153000</v>
      </c>
      <c r="E3" s="37" t="s">
        <v>525</v>
      </c>
      <c r="F3" s="37">
        <f t="shared" ref="F3:P17" si="1">ROUND($D3/12,0)</f>
        <v>12750</v>
      </c>
      <c r="G3" s="37">
        <f t="shared" si="1"/>
        <v>12750</v>
      </c>
      <c r="H3" s="37">
        <f t="shared" si="1"/>
        <v>12750</v>
      </c>
      <c r="I3" s="37">
        <f t="shared" si="1"/>
        <v>12750</v>
      </c>
      <c r="J3" s="37">
        <f t="shared" si="1"/>
        <v>12750</v>
      </c>
      <c r="K3" s="37">
        <f t="shared" si="1"/>
        <v>12750</v>
      </c>
      <c r="L3" s="37">
        <f t="shared" si="1"/>
        <v>12750</v>
      </c>
      <c r="M3" s="37">
        <f t="shared" si="1"/>
        <v>12750</v>
      </c>
      <c r="N3" s="37">
        <f t="shared" si="1"/>
        <v>12750</v>
      </c>
      <c r="O3" s="37">
        <f t="shared" si="1"/>
        <v>12750</v>
      </c>
      <c r="P3" s="37">
        <f t="shared" si="1"/>
        <v>12750</v>
      </c>
      <c r="Q3" s="37">
        <f t="shared" ref="Q3:Q10" si="2">D3-SUM(F3:P3)</f>
        <v>12750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66000</v>
      </c>
      <c r="E4" s="37" t="s">
        <v>525</v>
      </c>
      <c r="F4" s="37">
        <f t="shared" si="1"/>
        <v>5500</v>
      </c>
      <c r="G4" s="37">
        <f t="shared" si="1"/>
        <v>5500</v>
      </c>
      <c r="H4" s="37">
        <f t="shared" si="1"/>
        <v>5500</v>
      </c>
      <c r="I4" s="37">
        <f t="shared" si="1"/>
        <v>5500</v>
      </c>
      <c r="J4" s="37">
        <f t="shared" si="1"/>
        <v>5500</v>
      </c>
      <c r="K4" s="37">
        <f t="shared" si="1"/>
        <v>5500</v>
      </c>
      <c r="L4" s="37">
        <f t="shared" si="1"/>
        <v>5500</v>
      </c>
      <c r="M4" s="37">
        <f t="shared" si="1"/>
        <v>5500</v>
      </c>
      <c r="N4" s="37">
        <f t="shared" si="1"/>
        <v>5500</v>
      </c>
      <c r="O4" s="37">
        <f t="shared" si="1"/>
        <v>5500</v>
      </c>
      <c r="P4" s="37">
        <f t="shared" si="1"/>
        <v>5500</v>
      </c>
      <c r="Q4" s="37">
        <f t="shared" si="2"/>
        <v>5500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25000</v>
      </c>
      <c r="E10" s="37" t="s">
        <v>525</v>
      </c>
      <c r="F10" s="37">
        <f t="shared" si="1"/>
        <v>2083</v>
      </c>
      <c r="G10" s="37">
        <f t="shared" si="1"/>
        <v>2083</v>
      </c>
      <c r="H10" s="37">
        <f t="shared" si="1"/>
        <v>2083</v>
      </c>
      <c r="I10" s="37">
        <f t="shared" si="1"/>
        <v>2083</v>
      </c>
      <c r="J10" s="37">
        <f t="shared" si="1"/>
        <v>2083</v>
      </c>
      <c r="K10" s="37">
        <f t="shared" si="1"/>
        <v>2083</v>
      </c>
      <c r="L10" s="37">
        <f t="shared" si="1"/>
        <v>2083</v>
      </c>
      <c r="M10" s="37">
        <f t="shared" si="1"/>
        <v>2083</v>
      </c>
      <c r="N10" s="37">
        <f t="shared" si="1"/>
        <v>2083</v>
      </c>
      <c r="O10" s="37">
        <f t="shared" si="1"/>
        <v>2083</v>
      </c>
      <c r="P10" s="37">
        <f t="shared" si="1"/>
        <v>2083</v>
      </c>
      <c r="Q10" s="37">
        <f t="shared" si="2"/>
        <v>2087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23000</v>
      </c>
      <c r="E11" s="37" t="s">
        <v>195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515000</v>
      </c>
      <c r="E12" s="113" t="s">
        <v>202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42000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164000</v>
      </c>
      <c r="E13" s="37" t="s">
        <v>525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36000</v>
      </c>
      <c r="E15" s="37" t="s">
        <v>193</v>
      </c>
      <c r="F15" s="37">
        <f>ROUND($D15/2,-3)</f>
        <v>18000</v>
      </c>
      <c r="G15" s="37"/>
      <c r="H15" s="37"/>
      <c r="I15" s="37"/>
      <c r="J15" s="37"/>
      <c r="K15" s="37"/>
      <c r="L15" s="37">
        <f>D15-F15</f>
        <v>18000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0</v>
      </c>
      <c r="E16" s="37" t="s">
        <v>525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44000</v>
      </c>
      <c r="E17" s="37" t="s">
        <v>525</v>
      </c>
      <c r="F17" s="37">
        <f>ROUND($D17/12,0)</f>
        <v>3667</v>
      </c>
      <c r="G17" s="37">
        <f t="shared" si="1"/>
        <v>3667</v>
      </c>
      <c r="H17" s="37">
        <f t="shared" si="1"/>
        <v>3667</v>
      </c>
      <c r="I17" s="37">
        <f t="shared" si="1"/>
        <v>3667</v>
      </c>
      <c r="J17" s="37">
        <f t="shared" si="1"/>
        <v>3667</v>
      </c>
      <c r="K17" s="37">
        <f t="shared" si="1"/>
        <v>3667</v>
      </c>
      <c r="L17" s="37">
        <f t="shared" si="1"/>
        <v>3667</v>
      </c>
      <c r="M17" s="37">
        <f t="shared" si="1"/>
        <v>3667</v>
      </c>
      <c r="N17" s="37">
        <f t="shared" si="1"/>
        <v>3667</v>
      </c>
      <c r="O17" s="37">
        <f t="shared" si="1"/>
        <v>3667</v>
      </c>
      <c r="P17" s="37">
        <f t="shared" si="1"/>
        <v>3667</v>
      </c>
      <c r="Q17" s="37">
        <f>D17-SUM(F17:P17)</f>
        <v>3663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10000</v>
      </c>
      <c r="E24" s="37" t="s">
        <v>193</v>
      </c>
      <c r="F24" s="37">
        <f>ROUND($D24/2,-3)</f>
        <v>5000</v>
      </c>
      <c r="G24" s="37"/>
      <c r="H24" s="37"/>
      <c r="I24" s="37"/>
      <c r="J24" s="37"/>
      <c r="K24" s="37"/>
      <c r="L24" s="37">
        <f>D24-F24</f>
        <v>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1160000</v>
      </c>
      <c r="E25" s="108"/>
      <c r="F25" s="108">
        <f>ROUND(SUM(F3:F24),-3)</f>
        <v>223000</v>
      </c>
      <c r="G25" s="108">
        <f t="shared" ref="G25:P25" si="5">ROUND(SUM(G3:G24),-3)</f>
        <v>91000</v>
      </c>
      <c r="H25" s="108">
        <f t="shared" si="5"/>
        <v>91000</v>
      </c>
      <c r="I25" s="108">
        <f t="shared" si="5"/>
        <v>91000</v>
      </c>
      <c r="J25" s="108">
        <f t="shared" si="5"/>
        <v>91000</v>
      </c>
      <c r="K25" s="108">
        <f t="shared" si="5"/>
        <v>91000</v>
      </c>
      <c r="L25" s="108">
        <f t="shared" si="5"/>
        <v>114000</v>
      </c>
      <c r="M25" s="108">
        <f t="shared" si="5"/>
        <v>91000</v>
      </c>
      <c r="N25" s="108">
        <f t="shared" si="5"/>
        <v>91000</v>
      </c>
      <c r="O25" s="108">
        <f t="shared" si="5"/>
        <v>90000</v>
      </c>
      <c r="P25" s="108">
        <f t="shared" si="5"/>
        <v>48000</v>
      </c>
      <c r="Q25" s="108">
        <f t="shared" ref="Q25:Q33" si="6">D25-SUM(F25:P25)</f>
        <v>48000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60000</v>
      </c>
      <c r="E26" s="114" t="s">
        <v>204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6000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253000</v>
      </c>
      <c r="E27" s="37" t="s">
        <v>525</v>
      </c>
      <c r="F27" s="37">
        <f t="shared" ref="F27:P33" si="8">ROUND($D27/12,0)</f>
        <v>21083</v>
      </c>
      <c r="G27" s="37">
        <f t="shared" si="8"/>
        <v>21083</v>
      </c>
      <c r="H27" s="37">
        <f t="shared" si="8"/>
        <v>21083</v>
      </c>
      <c r="I27" s="37">
        <f t="shared" si="8"/>
        <v>21083</v>
      </c>
      <c r="J27" s="37">
        <f t="shared" si="8"/>
        <v>21083</v>
      </c>
      <c r="K27" s="37">
        <f t="shared" si="8"/>
        <v>21083</v>
      </c>
      <c r="L27" s="37">
        <f t="shared" si="8"/>
        <v>21083</v>
      </c>
      <c r="M27" s="37">
        <f t="shared" si="8"/>
        <v>21083</v>
      </c>
      <c r="N27" s="37">
        <f t="shared" si="8"/>
        <v>21083</v>
      </c>
      <c r="O27" s="37">
        <f t="shared" si="8"/>
        <v>21083</v>
      </c>
      <c r="P27" s="37">
        <f t="shared" si="8"/>
        <v>21083</v>
      </c>
      <c r="Q27" s="37">
        <f t="shared" si="6"/>
        <v>21087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20000</v>
      </c>
      <c r="E29" s="37" t="s">
        <v>525</v>
      </c>
      <c r="F29" s="37">
        <f t="shared" si="8"/>
        <v>1667</v>
      </c>
      <c r="G29" s="37">
        <f t="shared" si="8"/>
        <v>1667</v>
      </c>
      <c r="H29" s="37">
        <f t="shared" si="8"/>
        <v>1667</v>
      </c>
      <c r="I29" s="37">
        <f t="shared" si="8"/>
        <v>1667</v>
      </c>
      <c r="J29" s="37">
        <f t="shared" si="8"/>
        <v>1667</v>
      </c>
      <c r="K29" s="37">
        <f t="shared" si="8"/>
        <v>1667</v>
      </c>
      <c r="L29" s="37">
        <f t="shared" si="8"/>
        <v>1667</v>
      </c>
      <c r="M29" s="37">
        <f t="shared" si="8"/>
        <v>1667</v>
      </c>
      <c r="N29" s="37">
        <f t="shared" si="8"/>
        <v>1667</v>
      </c>
      <c r="O29" s="37">
        <f t="shared" si="8"/>
        <v>1667</v>
      </c>
      <c r="P29" s="37">
        <f t="shared" si="8"/>
        <v>1667</v>
      </c>
      <c r="Q29" s="37">
        <f t="shared" si="6"/>
        <v>1663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12000</v>
      </c>
      <c r="E30" s="37" t="s">
        <v>525</v>
      </c>
      <c r="F30" s="37">
        <f t="shared" si="8"/>
        <v>1000</v>
      </c>
      <c r="G30" s="37">
        <f t="shared" si="8"/>
        <v>1000</v>
      </c>
      <c r="H30" s="37">
        <f t="shared" si="8"/>
        <v>1000</v>
      </c>
      <c r="I30" s="37">
        <f t="shared" si="8"/>
        <v>1000</v>
      </c>
      <c r="J30" s="37">
        <f t="shared" si="8"/>
        <v>1000</v>
      </c>
      <c r="K30" s="37">
        <f t="shared" si="8"/>
        <v>1000</v>
      </c>
      <c r="L30" s="37">
        <f t="shared" si="8"/>
        <v>1000</v>
      </c>
      <c r="M30" s="37">
        <f t="shared" si="8"/>
        <v>1000</v>
      </c>
      <c r="N30" s="37">
        <f t="shared" si="8"/>
        <v>1000</v>
      </c>
      <c r="O30" s="37">
        <f t="shared" si="8"/>
        <v>1000</v>
      </c>
      <c r="P30" s="37">
        <f t="shared" si="8"/>
        <v>1000</v>
      </c>
      <c r="Q30" s="37">
        <f t="shared" si="6"/>
        <v>1000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5000</v>
      </c>
      <c r="E31" s="37" t="s">
        <v>525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12000</v>
      </c>
      <c r="E32" s="37" t="s">
        <v>525</v>
      </c>
      <c r="F32" s="37">
        <f t="shared" si="8"/>
        <v>1000</v>
      </c>
      <c r="G32" s="37">
        <f t="shared" si="8"/>
        <v>1000</v>
      </c>
      <c r="H32" s="37">
        <f t="shared" si="8"/>
        <v>1000</v>
      </c>
      <c r="I32" s="37">
        <f t="shared" si="8"/>
        <v>1000</v>
      </c>
      <c r="J32" s="37">
        <f t="shared" si="8"/>
        <v>1000</v>
      </c>
      <c r="K32" s="37">
        <f t="shared" si="8"/>
        <v>1000</v>
      </c>
      <c r="L32" s="37">
        <f t="shared" si="8"/>
        <v>1000</v>
      </c>
      <c r="M32" s="37">
        <f t="shared" si="8"/>
        <v>1000</v>
      </c>
      <c r="N32" s="37">
        <f t="shared" si="8"/>
        <v>1000</v>
      </c>
      <c r="O32" s="37">
        <f t="shared" si="8"/>
        <v>1000</v>
      </c>
      <c r="P32" s="37">
        <f t="shared" si="8"/>
        <v>1000</v>
      </c>
      <c r="Q32" s="37">
        <f t="shared" si="6"/>
        <v>1000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8000</v>
      </c>
      <c r="E33" s="37" t="s">
        <v>525</v>
      </c>
      <c r="F33" s="37">
        <f t="shared" si="8"/>
        <v>667</v>
      </c>
      <c r="G33" s="37">
        <f t="shared" si="8"/>
        <v>667</v>
      </c>
      <c r="H33" s="37">
        <f t="shared" si="8"/>
        <v>667</v>
      </c>
      <c r="I33" s="37">
        <f t="shared" si="8"/>
        <v>667</v>
      </c>
      <c r="J33" s="37">
        <f t="shared" si="8"/>
        <v>667</v>
      </c>
      <c r="K33" s="37">
        <f t="shared" si="8"/>
        <v>667</v>
      </c>
      <c r="L33" s="37">
        <f t="shared" si="8"/>
        <v>667</v>
      </c>
      <c r="M33" s="37">
        <f t="shared" si="8"/>
        <v>667</v>
      </c>
      <c r="N33" s="37">
        <f t="shared" si="8"/>
        <v>667</v>
      </c>
      <c r="O33" s="37">
        <f t="shared" si="8"/>
        <v>667</v>
      </c>
      <c r="P33" s="37">
        <f t="shared" si="8"/>
        <v>667</v>
      </c>
      <c r="Q33" s="37">
        <f t="shared" si="6"/>
        <v>663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370000</v>
      </c>
      <c r="E37" s="108"/>
      <c r="F37" s="108">
        <f t="shared" ref="F37:P37" si="9">ROUND(SUM(F26:F36),-3)</f>
        <v>32000</v>
      </c>
      <c r="G37" s="108">
        <f t="shared" si="9"/>
        <v>26000</v>
      </c>
      <c r="H37" s="108">
        <f t="shared" si="9"/>
        <v>32000</v>
      </c>
      <c r="I37" s="108">
        <f t="shared" si="9"/>
        <v>32000</v>
      </c>
      <c r="J37" s="108">
        <f t="shared" si="9"/>
        <v>32000</v>
      </c>
      <c r="K37" s="108">
        <f t="shared" si="9"/>
        <v>32000</v>
      </c>
      <c r="L37" s="108">
        <f t="shared" si="9"/>
        <v>26000</v>
      </c>
      <c r="M37" s="108">
        <f t="shared" si="9"/>
        <v>32000</v>
      </c>
      <c r="N37" s="108">
        <f t="shared" si="9"/>
        <v>32000</v>
      </c>
      <c r="O37" s="108">
        <f t="shared" si="9"/>
        <v>32000</v>
      </c>
      <c r="P37" s="108">
        <f t="shared" si="9"/>
        <v>32000</v>
      </c>
      <c r="Q37" s="108">
        <f>D37-SUM(F37:P37)</f>
        <v>30000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5000</v>
      </c>
      <c r="E42" s="37" t="s">
        <v>199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5000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11000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5000</v>
      </c>
      <c r="J45" s="108">
        <f t="shared" si="12"/>
        <v>0</v>
      </c>
      <c r="K45" s="108">
        <f t="shared" si="12"/>
        <v>0</v>
      </c>
      <c r="L45" s="108">
        <f t="shared" si="12"/>
        <v>5000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1547000</v>
      </c>
      <c r="E48" s="37"/>
      <c r="F48" s="115">
        <f>F25+F37+F45+F47</f>
        <v>258000</v>
      </c>
      <c r="G48" s="115">
        <f t="shared" ref="G48:R48" si="14">G25+G37+G45+G47</f>
        <v>117000</v>
      </c>
      <c r="H48" s="115">
        <f t="shared" si="14"/>
        <v>123000</v>
      </c>
      <c r="I48" s="115">
        <f t="shared" si="14"/>
        <v>128000</v>
      </c>
      <c r="J48" s="115">
        <f t="shared" si="14"/>
        <v>123000</v>
      </c>
      <c r="K48" s="115">
        <f t="shared" si="14"/>
        <v>125000</v>
      </c>
      <c r="L48" s="115">
        <f t="shared" si="14"/>
        <v>145000</v>
      </c>
      <c r="M48" s="115">
        <f t="shared" si="14"/>
        <v>123000</v>
      </c>
      <c r="N48" s="115">
        <f t="shared" si="14"/>
        <v>125000</v>
      </c>
      <c r="O48" s="115">
        <f t="shared" si="14"/>
        <v>122000</v>
      </c>
      <c r="P48" s="115">
        <f t="shared" si="14"/>
        <v>80000</v>
      </c>
      <c r="Q48" s="115">
        <f t="shared" si="14"/>
        <v>78000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14942000</v>
      </c>
      <c r="E49" s="114" t="s">
        <v>202</v>
      </c>
      <c r="F49" s="37">
        <f>ROUND($D49/12*3,-3)</f>
        <v>3736000</v>
      </c>
      <c r="G49" s="37">
        <f>ROUND($D49/12,-3)</f>
        <v>1245000</v>
      </c>
      <c r="H49" s="37">
        <f t="shared" ref="H49:N53" si="15">ROUND($D49/12,-3)</f>
        <v>1245000</v>
      </c>
      <c r="I49" s="37">
        <f t="shared" si="15"/>
        <v>1245000</v>
      </c>
      <c r="J49" s="37">
        <f t="shared" si="15"/>
        <v>1245000</v>
      </c>
      <c r="K49" s="37">
        <f t="shared" si="15"/>
        <v>1245000</v>
      </c>
      <c r="L49" s="37">
        <f t="shared" si="15"/>
        <v>1245000</v>
      </c>
      <c r="M49" s="37">
        <f t="shared" si="15"/>
        <v>1245000</v>
      </c>
      <c r="N49" s="37">
        <f t="shared" si="15"/>
        <v>1245000</v>
      </c>
      <c r="O49" s="37">
        <f>D49-SUM(F49:N49)</f>
        <v>1246000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1412000</v>
      </c>
      <c r="E51" s="114" t="s">
        <v>202</v>
      </c>
      <c r="F51" s="37">
        <f t="shared" si="16"/>
        <v>353000</v>
      </c>
      <c r="G51" s="37">
        <f t="shared" si="17"/>
        <v>118000</v>
      </c>
      <c r="H51" s="37">
        <f t="shared" si="15"/>
        <v>118000</v>
      </c>
      <c r="I51" s="37">
        <f t="shared" si="15"/>
        <v>118000</v>
      </c>
      <c r="J51" s="37">
        <f t="shared" si="15"/>
        <v>118000</v>
      </c>
      <c r="K51" s="37">
        <f t="shared" si="15"/>
        <v>118000</v>
      </c>
      <c r="L51" s="37">
        <f t="shared" si="15"/>
        <v>118000</v>
      </c>
      <c r="M51" s="37">
        <f t="shared" si="15"/>
        <v>118000</v>
      </c>
      <c r="N51" s="37">
        <f t="shared" si="15"/>
        <v>118000</v>
      </c>
      <c r="O51" s="37">
        <f t="shared" si="18"/>
        <v>115000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35000</v>
      </c>
      <c r="E54" s="37" t="s">
        <v>525</v>
      </c>
      <c r="F54" s="37">
        <f t="shared" ref="F54:P61" si="19">ROUND($D54/12,0)</f>
        <v>2917</v>
      </c>
      <c r="G54" s="37">
        <f t="shared" si="19"/>
        <v>2917</v>
      </c>
      <c r="H54" s="37">
        <f t="shared" si="19"/>
        <v>2917</v>
      </c>
      <c r="I54" s="37">
        <f t="shared" si="19"/>
        <v>2917</v>
      </c>
      <c r="J54" s="37">
        <f t="shared" si="19"/>
        <v>2917</v>
      </c>
      <c r="K54" s="37">
        <f t="shared" si="19"/>
        <v>2917</v>
      </c>
      <c r="L54" s="37">
        <f t="shared" si="19"/>
        <v>2917</v>
      </c>
      <c r="M54" s="37">
        <f t="shared" si="19"/>
        <v>2917</v>
      </c>
      <c r="N54" s="37">
        <f t="shared" si="19"/>
        <v>2917</v>
      </c>
      <c r="O54" s="37">
        <f t="shared" si="19"/>
        <v>2917</v>
      </c>
      <c r="P54" s="37">
        <f t="shared" si="19"/>
        <v>2917</v>
      </c>
      <c r="Q54" s="37">
        <f t="shared" ref="Q54:Q61" si="20">D54-SUM(F54:P54)</f>
        <v>2913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388000</v>
      </c>
      <c r="E60" s="37" t="s">
        <v>195</v>
      </c>
      <c r="F60" s="37">
        <f>D60</f>
        <v>388000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1214000</v>
      </c>
      <c r="E62" s="37" t="s">
        <v>197</v>
      </c>
      <c r="F62" s="37"/>
      <c r="G62" s="37"/>
      <c r="H62" s="37"/>
      <c r="I62" s="37">
        <f>ROUND($D62/5,-3)</f>
        <v>243000</v>
      </c>
      <c r="J62" s="37"/>
      <c r="K62" s="37"/>
      <c r="L62" s="37"/>
      <c r="M62" s="37"/>
      <c r="N62" s="37">
        <f>D62-I62</f>
        <v>971000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1712000</v>
      </c>
      <c r="E63" s="37" t="s">
        <v>195</v>
      </c>
      <c r="F63" s="37">
        <f>D63</f>
        <v>1712000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1360000</v>
      </c>
      <c r="E64" s="114" t="s">
        <v>202</v>
      </c>
      <c r="F64" s="37">
        <f>ROUND($D64/12*3,-3)</f>
        <v>340000</v>
      </c>
      <c r="G64" s="37">
        <f>ROUND($D64/12,-3)</f>
        <v>113000</v>
      </c>
      <c r="H64" s="37">
        <f t="shared" ref="H64:N66" si="21">ROUND($D64/12,-3)</f>
        <v>113000</v>
      </c>
      <c r="I64" s="37">
        <f t="shared" si="21"/>
        <v>113000</v>
      </c>
      <c r="J64" s="37">
        <f t="shared" si="21"/>
        <v>113000</v>
      </c>
      <c r="K64" s="37">
        <f t="shared" si="21"/>
        <v>113000</v>
      </c>
      <c r="L64" s="37">
        <f t="shared" si="21"/>
        <v>113000</v>
      </c>
      <c r="M64" s="37">
        <f t="shared" si="21"/>
        <v>113000</v>
      </c>
      <c r="N64" s="37">
        <f t="shared" si="21"/>
        <v>113000</v>
      </c>
      <c r="O64" s="37">
        <f>D64-SUM(F64:N64)</f>
        <v>116000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278000</v>
      </c>
      <c r="E65" s="114" t="s">
        <v>202</v>
      </c>
      <c r="F65" s="37">
        <f t="shared" ref="F65:F66" si="22">ROUND($D65/12*3,-3)</f>
        <v>70000</v>
      </c>
      <c r="G65" s="37">
        <f t="shared" ref="G65:G66" si="23">ROUND($D65/12,-3)</f>
        <v>23000</v>
      </c>
      <c r="H65" s="37">
        <f t="shared" si="21"/>
        <v>23000</v>
      </c>
      <c r="I65" s="37">
        <f t="shared" si="21"/>
        <v>23000</v>
      </c>
      <c r="J65" s="37">
        <f t="shared" si="21"/>
        <v>23000</v>
      </c>
      <c r="K65" s="37">
        <f t="shared" si="21"/>
        <v>23000</v>
      </c>
      <c r="L65" s="37">
        <f t="shared" si="21"/>
        <v>23000</v>
      </c>
      <c r="M65" s="37">
        <f t="shared" si="21"/>
        <v>23000</v>
      </c>
      <c r="N65" s="37">
        <f t="shared" si="21"/>
        <v>23000</v>
      </c>
      <c r="O65" s="37">
        <f t="shared" ref="O65:O66" si="24">D65-SUM(F65:N65)</f>
        <v>24000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1157000</v>
      </c>
      <c r="E66" s="114" t="s">
        <v>202</v>
      </c>
      <c r="F66" s="37">
        <f t="shared" si="22"/>
        <v>289000</v>
      </c>
      <c r="G66" s="37">
        <f t="shared" si="23"/>
        <v>96000</v>
      </c>
      <c r="H66" s="37">
        <f t="shared" si="21"/>
        <v>96000</v>
      </c>
      <c r="I66" s="37">
        <f t="shared" si="21"/>
        <v>96000</v>
      </c>
      <c r="J66" s="37">
        <f t="shared" si="21"/>
        <v>96000</v>
      </c>
      <c r="K66" s="37">
        <f t="shared" si="21"/>
        <v>96000</v>
      </c>
      <c r="L66" s="37">
        <f t="shared" si="21"/>
        <v>96000</v>
      </c>
      <c r="M66" s="37">
        <f t="shared" si="21"/>
        <v>96000</v>
      </c>
      <c r="N66" s="37">
        <f t="shared" si="21"/>
        <v>96000</v>
      </c>
      <c r="O66" s="37">
        <f t="shared" si="24"/>
        <v>100000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18000</v>
      </c>
      <c r="E67" s="37" t="s">
        <v>196</v>
      </c>
      <c r="F67" s="37"/>
      <c r="G67" s="37"/>
      <c r="H67" s="37">
        <f>D67</f>
        <v>18000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128000</v>
      </c>
      <c r="E68" s="37" t="s">
        <v>195</v>
      </c>
      <c r="F68" s="37">
        <f>D68</f>
        <v>128000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22933000</v>
      </c>
      <c r="E70" s="108"/>
      <c r="F70" s="108">
        <f t="shared" ref="F70:P70" si="25">ROUND(SUM(F49:F69),-3)</f>
        <v>7087000</v>
      </c>
      <c r="G70" s="108">
        <f t="shared" si="25"/>
        <v>1622000</v>
      </c>
      <c r="H70" s="108">
        <f t="shared" si="25"/>
        <v>1640000</v>
      </c>
      <c r="I70" s="108">
        <f t="shared" si="25"/>
        <v>1865000</v>
      </c>
      <c r="J70" s="108">
        <f t="shared" si="25"/>
        <v>1622000</v>
      </c>
      <c r="K70" s="108">
        <f t="shared" si="25"/>
        <v>1622000</v>
      </c>
      <c r="L70" s="108">
        <f t="shared" si="25"/>
        <v>1622000</v>
      </c>
      <c r="M70" s="108">
        <f t="shared" si="25"/>
        <v>1622000</v>
      </c>
      <c r="N70" s="108">
        <f t="shared" si="25"/>
        <v>2593000</v>
      </c>
      <c r="O70" s="108">
        <f t="shared" si="25"/>
        <v>1629000</v>
      </c>
      <c r="P70" s="108">
        <f t="shared" si="25"/>
        <v>5000</v>
      </c>
      <c r="Q70" s="108">
        <f>D70-SUM(F70:P70)</f>
        <v>4000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1276000</v>
      </c>
      <c r="E72" s="114" t="s">
        <v>202</v>
      </c>
      <c r="F72" s="37">
        <f>ROUND($D72/12*3,-3)</f>
        <v>319000</v>
      </c>
      <c r="G72" s="37">
        <f>ROUND($D72/12,-3)</f>
        <v>106000</v>
      </c>
      <c r="H72" s="37">
        <f t="shared" ref="H72:N75" si="26">ROUND($D72/12,-3)</f>
        <v>106000</v>
      </c>
      <c r="I72" s="37">
        <f t="shared" si="26"/>
        <v>106000</v>
      </c>
      <c r="J72" s="37">
        <f t="shared" si="26"/>
        <v>106000</v>
      </c>
      <c r="K72" s="37">
        <f t="shared" si="26"/>
        <v>106000</v>
      </c>
      <c r="L72" s="37">
        <f t="shared" si="26"/>
        <v>106000</v>
      </c>
      <c r="M72" s="37">
        <f t="shared" si="26"/>
        <v>106000</v>
      </c>
      <c r="N72" s="37">
        <f t="shared" si="26"/>
        <v>106000</v>
      </c>
      <c r="O72" s="37">
        <f>D72-SUM(F72:N72)</f>
        <v>109000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190000</v>
      </c>
      <c r="E75" s="114" t="s">
        <v>202</v>
      </c>
      <c r="F75" s="37">
        <f>ROUND($D75/12*3,-3)</f>
        <v>48000</v>
      </c>
      <c r="G75" s="37">
        <f>ROUND($D75/12,-3)</f>
        <v>16000</v>
      </c>
      <c r="H75" s="37">
        <f t="shared" si="26"/>
        <v>16000</v>
      </c>
      <c r="I75" s="37">
        <f t="shared" si="26"/>
        <v>16000</v>
      </c>
      <c r="J75" s="37">
        <f t="shared" si="26"/>
        <v>16000</v>
      </c>
      <c r="K75" s="37">
        <f t="shared" si="26"/>
        <v>16000</v>
      </c>
      <c r="L75" s="37">
        <f t="shared" si="26"/>
        <v>16000</v>
      </c>
      <c r="M75" s="37">
        <f t="shared" si="26"/>
        <v>16000</v>
      </c>
      <c r="N75" s="37">
        <f t="shared" si="26"/>
        <v>16000</v>
      </c>
      <c r="O75" s="37">
        <f>D75-SUM(F75:N75)</f>
        <v>14000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1466000</v>
      </c>
      <c r="E76" s="108"/>
      <c r="F76" s="108">
        <f>ROUND(SUM(F71:F75),-3)</f>
        <v>367000</v>
      </c>
      <c r="G76" s="108">
        <f t="shared" ref="G76:N76" si="27">ROUND(SUM(G71:G75),-3)</f>
        <v>122000</v>
      </c>
      <c r="H76" s="108">
        <f t="shared" si="27"/>
        <v>122000</v>
      </c>
      <c r="I76" s="108">
        <f t="shared" si="27"/>
        <v>122000</v>
      </c>
      <c r="J76" s="108">
        <f t="shared" si="27"/>
        <v>122000</v>
      </c>
      <c r="K76" s="108">
        <f t="shared" si="27"/>
        <v>122000</v>
      </c>
      <c r="L76" s="108">
        <f t="shared" si="27"/>
        <v>122000</v>
      </c>
      <c r="M76" s="108">
        <f t="shared" si="27"/>
        <v>122000</v>
      </c>
      <c r="N76" s="108">
        <f t="shared" si="27"/>
        <v>122000</v>
      </c>
      <c r="O76" s="108">
        <f>D76-SUM(F76:N76)</f>
        <v>123000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0</v>
      </c>
      <c r="E77" s="37" t="s">
        <v>681</v>
      </c>
      <c r="F77" s="224"/>
      <c r="G77" s="224"/>
      <c r="H77" s="224">
        <f>ROUND($D77/2,-3)</f>
        <v>0</v>
      </c>
      <c r="I77" s="224"/>
      <c r="J77" s="224"/>
      <c r="K77" s="224"/>
      <c r="L77" s="224"/>
      <c r="M77" s="224"/>
      <c r="N77" s="224">
        <f>D77-H77</f>
        <v>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24399000</v>
      </c>
      <c r="E78" s="227"/>
      <c r="F78" s="227">
        <f>F76+F70+F77</f>
        <v>7454000</v>
      </c>
      <c r="G78" s="227">
        <f t="shared" ref="G78:Q78" si="29">G76+G70+G77</f>
        <v>1744000</v>
      </c>
      <c r="H78" s="227">
        <f t="shared" si="29"/>
        <v>1762000</v>
      </c>
      <c r="I78" s="227">
        <f t="shared" si="29"/>
        <v>1987000</v>
      </c>
      <c r="J78" s="227">
        <f t="shared" si="29"/>
        <v>1744000</v>
      </c>
      <c r="K78" s="227">
        <f t="shared" si="29"/>
        <v>1744000</v>
      </c>
      <c r="L78" s="227">
        <f t="shared" si="29"/>
        <v>1744000</v>
      </c>
      <c r="M78" s="227">
        <f t="shared" si="29"/>
        <v>1744000</v>
      </c>
      <c r="N78" s="227">
        <f t="shared" si="29"/>
        <v>2715000</v>
      </c>
      <c r="O78" s="227">
        <f t="shared" si="29"/>
        <v>1752000</v>
      </c>
      <c r="P78" s="227">
        <f t="shared" si="29"/>
        <v>5000</v>
      </c>
      <c r="Q78" s="227">
        <f t="shared" si="29"/>
        <v>4000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25946000</v>
      </c>
      <c r="E87" s="37"/>
      <c r="F87" s="37">
        <f>F88+F89+F90+F91</f>
        <v>7712000</v>
      </c>
      <c r="G87" s="37">
        <f t="shared" ref="G87:Q87" si="32">G88+G89+G90+G91</f>
        <v>1861000</v>
      </c>
      <c r="H87" s="37">
        <f t="shared" si="32"/>
        <v>1885000</v>
      </c>
      <c r="I87" s="37">
        <f t="shared" si="32"/>
        <v>2115000</v>
      </c>
      <c r="J87" s="37">
        <f t="shared" si="32"/>
        <v>1867000</v>
      </c>
      <c r="K87" s="37">
        <f t="shared" si="32"/>
        <v>1869000</v>
      </c>
      <c r="L87" s="37">
        <f t="shared" si="32"/>
        <v>1889000</v>
      </c>
      <c r="M87" s="37">
        <f t="shared" si="32"/>
        <v>1867000</v>
      </c>
      <c r="N87" s="37">
        <f t="shared" si="32"/>
        <v>2840000</v>
      </c>
      <c r="O87" s="37">
        <f t="shared" si="32"/>
        <v>1874000</v>
      </c>
      <c r="P87" s="37">
        <f t="shared" si="32"/>
        <v>85000</v>
      </c>
      <c r="Q87" s="37">
        <f t="shared" si="32"/>
        <v>82000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10000</v>
      </c>
      <c r="E88" s="108" t="s">
        <v>193</v>
      </c>
      <c r="F88" s="108">
        <f>ROUND($D88/2,-3)</f>
        <v>5000</v>
      </c>
      <c r="G88" s="108"/>
      <c r="H88" s="108"/>
      <c r="I88" s="108"/>
      <c r="J88" s="108"/>
      <c r="K88" s="108"/>
      <c r="L88" s="108">
        <f>D88-F88</f>
        <v>5000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25935000</v>
      </c>
      <c r="E91" s="108"/>
      <c r="F91" s="108">
        <f>F92+F93+F94+F95</f>
        <v>7707000</v>
      </c>
      <c r="G91" s="108">
        <f t="shared" ref="G91:Q91" si="34">G92+G93+G94+G95</f>
        <v>1861000</v>
      </c>
      <c r="H91" s="108">
        <f t="shared" si="34"/>
        <v>1885000</v>
      </c>
      <c r="I91" s="108">
        <f t="shared" si="34"/>
        <v>2115000</v>
      </c>
      <c r="J91" s="108">
        <f t="shared" si="34"/>
        <v>1867000</v>
      </c>
      <c r="K91" s="108">
        <f t="shared" si="34"/>
        <v>1869000</v>
      </c>
      <c r="L91" s="108">
        <f t="shared" si="34"/>
        <v>1884000</v>
      </c>
      <c r="M91" s="108">
        <f t="shared" si="34"/>
        <v>1867000</v>
      </c>
      <c r="N91" s="108">
        <f t="shared" si="34"/>
        <v>2840000</v>
      </c>
      <c r="O91" s="108">
        <f t="shared" si="34"/>
        <v>1874000</v>
      </c>
      <c r="P91" s="108">
        <f t="shared" si="34"/>
        <v>85000</v>
      </c>
      <c r="Q91" s="108">
        <f t="shared" si="34"/>
        <v>81000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2315000</v>
      </c>
      <c r="E92" s="114" t="s">
        <v>537</v>
      </c>
      <c r="F92" s="37">
        <f>ROUND($D92/12*5,-3)</f>
        <v>965000</v>
      </c>
      <c r="G92" s="37">
        <f>ROUND($D92/12,-3)</f>
        <v>193000</v>
      </c>
      <c r="H92" s="37">
        <f t="shared" ref="H92:L92" si="35">ROUND($D92/12,-3)</f>
        <v>193000</v>
      </c>
      <c r="I92" s="37">
        <f t="shared" si="35"/>
        <v>193000</v>
      </c>
      <c r="J92" s="37">
        <f t="shared" si="35"/>
        <v>193000</v>
      </c>
      <c r="K92" s="37">
        <f t="shared" si="35"/>
        <v>193000</v>
      </c>
      <c r="L92" s="37">
        <f t="shared" si="35"/>
        <v>193000</v>
      </c>
      <c r="M92" s="37">
        <f>D92-SUM(F92:L92)</f>
        <v>192000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103000</v>
      </c>
      <c r="E93" s="189" t="s">
        <v>227</v>
      </c>
      <c r="F93" s="37">
        <f>ROUND($D93/12,-3)</f>
        <v>9000</v>
      </c>
      <c r="G93" s="37">
        <f t="shared" ref="G93:P93" si="36">ROUND($D93/12,-3)</f>
        <v>9000</v>
      </c>
      <c r="H93" s="37">
        <f t="shared" si="36"/>
        <v>9000</v>
      </c>
      <c r="I93" s="37">
        <f t="shared" si="36"/>
        <v>9000</v>
      </c>
      <c r="J93" s="37">
        <f t="shared" si="36"/>
        <v>9000</v>
      </c>
      <c r="K93" s="37">
        <f t="shared" si="36"/>
        <v>9000</v>
      </c>
      <c r="L93" s="37">
        <f t="shared" si="36"/>
        <v>9000</v>
      </c>
      <c r="M93" s="37">
        <f t="shared" si="36"/>
        <v>9000</v>
      </c>
      <c r="N93" s="37">
        <f t="shared" si="36"/>
        <v>9000</v>
      </c>
      <c r="O93" s="37">
        <f t="shared" si="36"/>
        <v>9000</v>
      </c>
      <c r="P93" s="37">
        <f t="shared" si="36"/>
        <v>9000</v>
      </c>
      <c r="Q93" s="37">
        <f>D93-SUM(F93:P93)</f>
        <v>4000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392000</v>
      </c>
      <c r="E94" s="190" t="s">
        <v>229</v>
      </c>
      <c r="F94" s="37"/>
      <c r="G94" s="37"/>
      <c r="H94" s="37">
        <f>ROUND($D94/2,-3)</f>
        <v>196000</v>
      </c>
      <c r="I94" s="37"/>
      <c r="J94" s="37"/>
      <c r="K94" s="37"/>
      <c r="L94" s="37"/>
      <c r="M94" s="37"/>
      <c r="N94" s="37"/>
      <c r="O94" s="37">
        <f>D94-H94</f>
        <v>196000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23125000</v>
      </c>
      <c r="E95" s="37"/>
      <c r="F95" s="37">
        <f>F2+F86-F88-F89-F90-F92-F93-F94</f>
        <v>6733000</v>
      </c>
      <c r="G95" s="37">
        <f t="shared" ref="G95:Q95" si="37">G2-G88-G89-G90-G92-G93-G94</f>
        <v>1659000</v>
      </c>
      <c r="H95" s="37">
        <f t="shared" si="37"/>
        <v>1487000</v>
      </c>
      <c r="I95" s="37">
        <f t="shared" si="37"/>
        <v>1913000</v>
      </c>
      <c r="J95" s="37">
        <f t="shared" si="37"/>
        <v>1665000</v>
      </c>
      <c r="K95" s="37">
        <f t="shared" si="37"/>
        <v>1667000</v>
      </c>
      <c r="L95" s="37">
        <f t="shared" si="37"/>
        <v>1682000</v>
      </c>
      <c r="M95" s="37">
        <f t="shared" si="37"/>
        <v>1666000</v>
      </c>
      <c r="N95" s="37">
        <f t="shared" si="37"/>
        <v>2831000</v>
      </c>
      <c r="O95" s="37">
        <f t="shared" si="37"/>
        <v>1669000</v>
      </c>
      <c r="P95" s="37">
        <f t="shared" si="37"/>
        <v>76000</v>
      </c>
      <c r="Q95" s="37">
        <f t="shared" si="37"/>
        <v>77000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96000</v>
      </c>
    </row>
    <row r="103" spans="2:17" ht="32.4">
      <c r="B103" s="72" t="s">
        <v>239</v>
      </c>
      <c r="D103" s="30">
        <f>HLOOKUP(D1,[1]縣庫撥款收入明細表!H:DD,17,FALSE)</f>
        <v>0</v>
      </c>
    </row>
    <row r="104" spans="2:17" ht="32.4">
      <c r="B104" s="76" t="s">
        <v>240</v>
      </c>
      <c r="D104" s="30">
        <f>HLOOKUP(D1,[1]縣庫撥款收入明細表!H:DD,18,FALSE)</f>
        <v>392000</v>
      </c>
    </row>
    <row r="105" spans="2:17" ht="32.4">
      <c r="B105" s="72" t="s">
        <v>380</v>
      </c>
      <c r="D105" s="30">
        <f>HLOOKUP(D1,[1]縣庫撥款收入明細表!H:DD,19,FALSE)</f>
        <v>1300000</v>
      </c>
    </row>
    <row r="106" spans="2:17" ht="32.4">
      <c r="B106" s="71" t="s">
        <v>241</v>
      </c>
      <c r="D106" s="30">
        <f>HLOOKUP(D1,[1]縣庫撥款收入明細表!H:DD,20,FALSE)</f>
        <v>7000</v>
      </c>
    </row>
    <row r="107" spans="2:17" ht="32.4">
      <c r="B107" s="77" t="s">
        <v>242</v>
      </c>
      <c r="D107" s="30">
        <f>HLOOKUP(D1,[1]縣庫撥款收入明細表!H:DD,21,FALSE)</f>
        <v>23125000</v>
      </c>
    </row>
    <row r="108" spans="2:17" ht="16.5" customHeight="1"/>
    <row r="109" spans="2:17" ht="16.5" customHeight="1">
      <c r="B109" s="4" t="s">
        <v>682</v>
      </c>
      <c r="D109" s="30">
        <f>D91-D76</f>
        <v>24469000</v>
      </c>
      <c r="F109" s="30">
        <f>F91-F76</f>
        <v>7340000</v>
      </c>
      <c r="G109" s="30">
        <f t="shared" ref="G109:Q109" si="38">G91-G76</f>
        <v>1739000</v>
      </c>
      <c r="H109" s="30">
        <f t="shared" si="38"/>
        <v>1763000</v>
      </c>
      <c r="I109" s="30">
        <f t="shared" si="38"/>
        <v>1993000</v>
      </c>
      <c r="J109" s="30">
        <f t="shared" si="38"/>
        <v>1745000</v>
      </c>
      <c r="K109" s="30">
        <f t="shared" si="38"/>
        <v>1747000</v>
      </c>
      <c r="L109" s="30">
        <f t="shared" si="38"/>
        <v>1762000</v>
      </c>
      <c r="M109" s="30">
        <f t="shared" si="38"/>
        <v>1745000</v>
      </c>
      <c r="N109" s="30">
        <f t="shared" si="38"/>
        <v>2718000</v>
      </c>
      <c r="O109" s="30">
        <f t="shared" si="38"/>
        <v>1751000</v>
      </c>
      <c r="P109" s="30">
        <f t="shared" si="38"/>
        <v>85000</v>
      </c>
      <c r="Q109" s="30">
        <f t="shared" si="38"/>
        <v>81000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06" priority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7"/>
  <sheetViews>
    <sheetView topLeftCell="A13" workbookViewId="0">
      <pane xSplit="1" topLeftCell="B1" activePane="topRight" state="frozen"/>
      <selection pane="topRight" activeCell="D5" sqref="D5"/>
    </sheetView>
  </sheetViews>
  <sheetFormatPr defaultRowHeight="16.2"/>
  <cols>
    <col min="1" max="1" width="18.33203125" bestFit="1" customWidth="1"/>
  </cols>
  <sheetData>
    <row r="1" spans="1:102" ht="16.5" customHeight="1"/>
    <row r="2" spans="1:102">
      <c r="A2" s="33"/>
    </row>
    <row r="3" spans="1:102">
      <c r="A3" s="33" t="s">
        <v>211</v>
      </c>
      <c r="B3" t="s">
        <v>8</v>
      </c>
      <c r="C3" t="s">
        <v>9</v>
      </c>
      <c r="D3" t="s">
        <v>10</v>
      </c>
      <c r="E3" t="s">
        <v>11</v>
      </c>
      <c r="F3" t="s">
        <v>12</v>
      </c>
      <c r="G3" t="s">
        <v>13</v>
      </c>
      <c r="H3" t="s">
        <v>14</v>
      </c>
      <c r="I3" t="s">
        <v>15</v>
      </c>
      <c r="J3" t="s">
        <v>16</v>
      </c>
      <c r="K3" t="s">
        <v>17</v>
      </c>
      <c r="L3" t="s">
        <v>18</v>
      </c>
      <c r="M3" t="s">
        <v>19</v>
      </c>
      <c r="N3" t="s">
        <v>20</v>
      </c>
      <c r="O3" t="s">
        <v>21</v>
      </c>
      <c r="P3" t="s">
        <v>22</v>
      </c>
      <c r="Q3" t="s">
        <v>23</v>
      </c>
      <c r="R3" t="s">
        <v>24</v>
      </c>
      <c r="S3" t="s">
        <v>25</v>
      </c>
      <c r="T3" t="s">
        <v>26</v>
      </c>
      <c r="U3" t="s">
        <v>27</v>
      </c>
      <c r="V3" t="s">
        <v>28</v>
      </c>
      <c r="W3" t="s">
        <v>29</v>
      </c>
      <c r="X3" t="s">
        <v>30</v>
      </c>
      <c r="Y3" t="s">
        <v>31</v>
      </c>
      <c r="Z3" t="s">
        <v>32</v>
      </c>
      <c r="AA3" t="s">
        <v>33</v>
      </c>
      <c r="AB3" t="s">
        <v>34</v>
      </c>
      <c r="AC3" t="s">
        <v>35</v>
      </c>
      <c r="AD3" t="s">
        <v>36</v>
      </c>
      <c r="AE3" t="s">
        <v>37</v>
      </c>
      <c r="AF3" t="s">
        <v>38</v>
      </c>
      <c r="AG3" t="s">
        <v>39</v>
      </c>
      <c r="AH3" t="s">
        <v>40</v>
      </c>
      <c r="AI3" t="s">
        <v>41</v>
      </c>
      <c r="AJ3" t="s">
        <v>42</v>
      </c>
      <c r="AK3" t="s">
        <v>43</v>
      </c>
      <c r="AL3" t="s">
        <v>44</v>
      </c>
      <c r="AM3" t="s">
        <v>45</v>
      </c>
      <c r="AN3" t="s">
        <v>46</v>
      </c>
      <c r="AO3" t="s">
        <v>47</v>
      </c>
      <c r="AP3" t="s">
        <v>48</v>
      </c>
      <c r="AQ3" t="s">
        <v>49</v>
      </c>
      <c r="AR3" t="s">
        <v>50</v>
      </c>
      <c r="AS3" t="s">
        <v>51</v>
      </c>
      <c r="AT3" t="s">
        <v>52</v>
      </c>
      <c r="AU3" t="s">
        <v>53</v>
      </c>
      <c r="AV3" t="s">
        <v>54</v>
      </c>
      <c r="AW3" t="s">
        <v>55</v>
      </c>
      <c r="AX3" t="s">
        <v>56</v>
      </c>
      <c r="AY3" t="s">
        <v>57</v>
      </c>
      <c r="AZ3" t="s">
        <v>58</v>
      </c>
      <c r="BA3" t="s">
        <v>59</v>
      </c>
      <c r="BB3" t="s">
        <v>60</v>
      </c>
      <c r="BC3" t="s">
        <v>61</v>
      </c>
      <c r="BD3" t="s">
        <v>62</v>
      </c>
      <c r="BE3" t="s">
        <v>63</v>
      </c>
      <c r="BF3" t="s">
        <v>64</v>
      </c>
      <c r="BG3" t="s">
        <v>65</v>
      </c>
      <c r="BH3" t="s">
        <v>66</v>
      </c>
      <c r="BI3" t="s">
        <v>67</v>
      </c>
      <c r="BJ3" t="s">
        <v>68</v>
      </c>
      <c r="BK3" t="s">
        <v>69</v>
      </c>
      <c r="BL3" t="s">
        <v>70</v>
      </c>
      <c r="BM3" t="s">
        <v>71</v>
      </c>
      <c r="BN3" t="s">
        <v>72</v>
      </c>
      <c r="BO3" t="s">
        <v>73</v>
      </c>
      <c r="BP3" t="s">
        <v>74</v>
      </c>
      <c r="BQ3" t="s">
        <v>75</v>
      </c>
      <c r="BR3" t="s">
        <v>76</v>
      </c>
      <c r="BS3" t="s">
        <v>77</v>
      </c>
      <c r="BT3" t="s">
        <v>78</v>
      </c>
      <c r="BU3" t="s">
        <v>79</v>
      </c>
      <c r="BV3" t="s">
        <v>80</v>
      </c>
      <c r="BW3" t="s">
        <v>81</v>
      </c>
      <c r="BX3" t="s">
        <v>82</v>
      </c>
      <c r="BY3" t="s">
        <v>83</v>
      </c>
      <c r="BZ3" t="s">
        <v>84</v>
      </c>
      <c r="CA3" t="s">
        <v>85</v>
      </c>
      <c r="CB3" t="s">
        <v>86</v>
      </c>
      <c r="CC3" t="s">
        <v>87</v>
      </c>
      <c r="CD3" t="s">
        <v>88</v>
      </c>
      <c r="CE3" t="s">
        <v>89</v>
      </c>
      <c r="CF3" t="s">
        <v>90</v>
      </c>
      <c r="CG3" t="s">
        <v>91</v>
      </c>
      <c r="CH3" t="s">
        <v>92</v>
      </c>
      <c r="CI3" t="s">
        <v>93</v>
      </c>
      <c r="CJ3" t="s">
        <v>94</v>
      </c>
      <c r="CK3" t="s">
        <v>95</v>
      </c>
      <c r="CL3" t="s">
        <v>96</v>
      </c>
      <c r="CM3" t="s">
        <v>97</v>
      </c>
      <c r="CN3" t="s">
        <v>98</v>
      </c>
      <c r="CO3" t="s">
        <v>99</v>
      </c>
      <c r="CP3" t="s">
        <v>100</v>
      </c>
      <c r="CQ3" t="s">
        <v>101</v>
      </c>
      <c r="CR3" t="s">
        <v>102</v>
      </c>
      <c r="CS3" t="s">
        <v>103</v>
      </c>
      <c r="CT3" t="s">
        <v>104</v>
      </c>
      <c r="CU3" t="s">
        <v>105</v>
      </c>
      <c r="CV3" t="s">
        <v>106</v>
      </c>
      <c r="CW3" t="s">
        <v>107</v>
      </c>
      <c r="CX3" t="s">
        <v>108</v>
      </c>
    </row>
    <row r="4" spans="1:102">
      <c r="A4">
        <v>1</v>
      </c>
      <c r="B4" s="31">
        <v>0</v>
      </c>
      <c r="C4" s="31">
        <v>0</v>
      </c>
      <c r="D4" s="31">
        <v>10</v>
      </c>
      <c r="E4" s="31">
        <v>20</v>
      </c>
      <c r="F4" s="31">
        <v>0</v>
      </c>
      <c r="G4" s="31">
        <v>0</v>
      </c>
      <c r="H4" s="31">
        <v>10</v>
      </c>
      <c r="I4" s="31">
        <v>30</v>
      </c>
      <c r="J4" s="31">
        <v>0</v>
      </c>
      <c r="K4" s="31">
        <v>0</v>
      </c>
      <c r="L4" s="31">
        <v>0</v>
      </c>
      <c r="M4" s="31">
        <v>0</v>
      </c>
      <c r="N4" s="31">
        <v>0</v>
      </c>
      <c r="O4" s="31">
        <v>0</v>
      </c>
      <c r="P4" s="31">
        <v>0</v>
      </c>
      <c r="Q4" s="31">
        <v>0</v>
      </c>
      <c r="R4" s="31">
        <v>5</v>
      </c>
      <c r="S4" s="31">
        <v>0</v>
      </c>
      <c r="T4" s="31">
        <v>0</v>
      </c>
      <c r="U4" s="31">
        <v>0</v>
      </c>
      <c r="V4" s="31">
        <v>0</v>
      </c>
      <c r="W4" s="31">
        <v>0</v>
      </c>
      <c r="X4" s="31">
        <v>0</v>
      </c>
      <c r="Y4" s="31">
        <v>0</v>
      </c>
      <c r="Z4" s="31">
        <v>0</v>
      </c>
      <c r="AA4" s="31">
        <v>0</v>
      </c>
      <c r="AB4" s="31">
        <v>0</v>
      </c>
      <c r="AC4" s="31">
        <v>0</v>
      </c>
      <c r="AD4" s="31">
        <v>0</v>
      </c>
      <c r="AE4" s="31">
        <v>0</v>
      </c>
      <c r="AF4" s="32">
        <v>0</v>
      </c>
      <c r="AG4" s="31">
        <v>0</v>
      </c>
      <c r="AH4" s="31">
        <v>0</v>
      </c>
      <c r="AI4" s="31">
        <v>0</v>
      </c>
      <c r="AJ4" s="31">
        <v>0</v>
      </c>
      <c r="AK4" s="31">
        <v>0</v>
      </c>
      <c r="AL4" s="31">
        <v>0</v>
      </c>
      <c r="AM4" s="31">
        <v>0</v>
      </c>
      <c r="AN4" s="31">
        <v>0</v>
      </c>
      <c r="AO4" s="31">
        <v>0</v>
      </c>
      <c r="AP4" s="31">
        <v>0</v>
      </c>
      <c r="AQ4" s="31">
        <v>0</v>
      </c>
      <c r="AR4" s="31">
        <v>0</v>
      </c>
      <c r="AS4" s="31">
        <v>0</v>
      </c>
      <c r="AT4" s="31">
        <v>0</v>
      </c>
      <c r="AU4" s="31">
        <v>0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>
        <v>10</v>
      </c>
      <c r="BC4" s="31">
        <v>0</v>
      </c>
      <c r="BD4" s="31">
        <v>0</v>
      </c>
      <c r="BE4" s="31">
        <v>0</v>
      </c>
      <c r="BF4" s="31">
        <v>0</v>
      </c>
      <c r="BG4" s="31">
        <v>0</v>
      </c>
      <c r="BH4" s="31">
        <v>0</v>
      </c>
      <c r="BI4" s="31">
        <v>0</v>
      </c>
      <c r="BJ4" s="31">
        <v>0</v>
      </c>
      <c r="BK4" s="31">
        <v>0</v>
      </c>
      <c r="BL4" s="31">
        <v>0</v>
      </c>
      <c r="BM4" s="31">
        <v>0</v>
      </c>
      <c r="BN4" s="31">
        <v>0</v>
      </c>
      <c r="BO4" s="31">
        <v>0</v>
      </c>
      <c r="BP4" s="31">
        <v>0</v>
      </c>
      <c r="BQ4" s="31">
        <v>0</v>
      </c>
      <c r="BR4" s="31">
        <v>0</v>
      </c>
      <c r="BS4" s="31">
        <v>0</v>
      </c>
      <c r="BT4" s="31">
        <v>0</v>
      </c>
      <c r="BU4" s="31">
        <v>0</v>
      </c>
      <c r="BV4" s="31">
        <v>0</v>
      </c>
      <c r="BW4" s="31">
        <v>0</v>
      </c>
      <c r="BX4" s="31">
        <v>0</v>
      </c>
      <c r="BY4" s="31">
        <v>0</v>
      </c>
      <c r="BZ4" s="31">
        <v>0</v>
      </c>
      <c r="CA4" s="31">
        <v>0</v>
      </c>
      <c r="CB4" s="31">
        <v>0</v>
      </c>
      <c r="CC4" s="31">
        <v>0</v>
      </c>
      <c r="CD4" s="31">
        <v>0</v>
      </c>
      <c r="CE4" s="31">
        <v>0</v>
      </c>
      <c r="CF4" s="31">
        <v>0</v>
      </c>
      <c r="CG4" s="31">
        <v>0</v>
      </c>
      <c r="CH4" s="31">
        <v>0</v>
      </c>
      <c r="CI4" s="31">
        <v>0</v>
      </c>
      <c r="CJ4" s="31">
        <v>0</v>
      </c>
      <c r="CK4" s="31">
        <v>0</v>
      </c>
      <c r="CL4" s="31">
        <v>0</v>
      </c>
      <c r="CM4" s="31">
        <v>0</v>
      </c>
      <c r="CN4" s="31">
        <v>0</v>
      </c>
      <c r="CO4" s="31">
        <v>0</v>
      </c>
      <c r="CP4" s="31">
        <v>0</v>
      </c>
      <c r="CQ4" s="31">
        <v>0</v>
      </c>
      <c r="CR4" s="31">
        <v>0</v>
      </c>
      <c r="CS4" s="31">
        <v>0</v>
      </c>
      <c r="CT4" s="31">
        <v>0</v>
      </c>
      <c r="CU4" s="31">
        <v>0</v>
      </c>
      <c r="CV4" s="31">
        <v>0</v>
      </c>
      <c r="CW4" s="31">
        <v>0</v>
      </c>
      <c r="CX4" s="31">
        <v>4</v>
      </c>
    </row>
    <row r="5" spans="1:102">
      <c r="A5">
        <v>2</v>
      </c>
      <c r="B5" s="31">
        <v>0</v>
      </c>
      <c r="C5" s="31">
        <v>600</v>
      </c>
      <c r="D5" s="31">
        <v>50</v>
      </c>
      <c r="E5" s="31">
        <v>255</v>
      </c>
      <c r="F5" s="31">
        <v>100</v>
      </c>
      <c r="G5" s="31">
        <v>3</v>
      </c>
      <c r="H5" s="31">
        <v>0</v>
      </c>
      <c r="I5" s="31">
        <v>220</v>
      </c>
      <c r="J5" s="31">
        <v>50</v>
      </c>
      <c r="K5" s="31">
        <v>0</v>
      </c>
      <c r="L5" s="31">
        <v>350</v>
      </c>
      <c r="M5" s="31">
        <v>0</v>
      </c>
      <c r="N5" s="31">
        <v>20</v>
      </c>
      <c r="O5" s="31">
        <v>20</v>
      </c>
      <c r="P5" s="31">
        <v>0</v>
      </c>
      <c r="Q5" s="31">
        <v>15</v>
      </c>
      <c r="R5" s="31">
        <v>215</v>
      </c>
      <c r="S5" s="31">
        <v>350</v>
      </c>
      <c r="T5" s="31">
        <v>75</v>
      </c>
      <c r="U5" s="31">
        <v>8</v>
      </c>
      <c r="V5" s="31">
        <v>30</v>
      </c>
      <c r="W5" s="31">
        <v>15</v>
      </c>
      <c r="X5" s="31">
        <v>100</v>
      </c>
      <c r="Y5" s="31">
        <v>30</v>
      </c>
      <c r="Z5" s="31">
        <v>0</v>
      </c>
      <c r="AA5" s="31">
        <v>150</v>
      </c>
      <c r="AB5" s="31">
        <v>0</v>
      </c>
      <c r="AC5" s="31">
        <v>0</v>
      </c>
      <c r="AD5" s="31">
        <v>0</v>
      </c>
      <c r="AE5" s="31">
        <v>0</v>
      </c>
      <c r="AF5" s="31">
        <v>0</v>
      </c>
      <c r="AG5" s="31">
        <v>18</v>
      </c>
      <c r="AH5" s="31">
        <v>90</v>
      </c>
      <c r="AI5" s="31">
        <v>0</v>
      </c>
      <c r="AJ5" s="31">
        <v>0</v>
      </c>
      <c r="AK5" s="31">
        <v>0</v>
      </c>
      <c r="AL5" s="31">
        <v>0</v>
      </c>
      <c r="AM5" s="31">
        <v>50</v>
      </c>
      <c r="AN5" s="31">
        <v>20</v>
      </c>
      <c r="AO5" s="31">
        <v>5</v>
      </c>
      <c r="AP5" s="31">
        <v>15</v>
      </c>
      <c r="AQ5" s="31">
        <v>20</v>
      </c>
      <c r="AR5" s="31">
        <v>10</v>
      </c>
      <c r="AS5" s="31">
        <v>0</v>
      </c>
      <c r="AT5" s="31">
        <v>0</v>
      </c>
      <c r="AU5" s="31">
        <v>0</v>
      </c>
      <c r="AV5" s="31">
        <v>5</v>
      </c>
      <c r="AW5" s="31">
        <v>0</v>
      </c>
      <c r="AX5" s="31">
        <v>10</v>
      </c>
      <c r="AY5" s="31">
        <v>10</v>
      </c>
      <c r="AZ5" s="31">
        <v>0</v>
      </c>
      <c r="BA5" s="31">
        <v>0</v>
      </c>
      <c r="BB5" s="31">
        <v>310</v>
      </c>
      <c r="BC5" s="31">
        <v>0</v>
      </c>
      <c r="BD5" s="31">
        <v>0</v>
      </c>
      <c r="BE5" s="31">
        <v>0</v>
      </c>
      <c r="BF5" s="31">
        <v>3</v>
      </c>
      <c r="BG5" s="31">
        <v>0</v>
      </c>
      <c r="BH5" s="31">
        <v>0</v>
      </c>
      <c r="BI5" s="31">
        <v>60</v>
      </c>
      <c r="BJ5" s="31">
        <v>0</v>
      </c>
      <c r="BK5" s="31">
        <v>6</v>
      </c>
      <c r="BL5" s="31">
        <v>0</v>
      </c>
      <c r="BM5" s="31">
        <v>0</v>
      </c>
      <c r="BN5" s="31">
        <v>0</v>
      </c>
      <c r="BO5" s="31">
        <v>0</v>
      </c>
      <c r="BP5" s="31">
        <v>0</v>
      </c>
      <c r="BQ5" s="31">
        <v>0</v>
      </c>
      <c r="BR5" s="31">
        <v>6</v>
      </c>
      <c r="BS5" s="31">
        <v>4</v>
      </c>
      <c r="BT5" s="31">
        <v>0</v>
      </c>
      <c r="BU5" s="31">
        <v>0</v>
      </c>
      <c r="BV5" s="31">
        <v>35</v>
      </c>
      <c r="BW5" s="31">
        <v>0</v>
      </c>
      <c r="BX5" s="31">
        <v>30</v>
      </c>
      <c r="BY5" s="31">
        <v>0</v>
      </c>
      <c r="BZ5" s="31">
        <v>0</v>
      </c>
      <c r="CA5" s="31">
        <v>6</v>
      </c>
      <c r="CB5" s="31">
        <v>80</v>
      </c>
      <c r="CC5" s="31">
        <v>15</v>
      </c>
      <c r="CD5" s="31">
        <v>36</v>
      </c>
      <c r="CE5" s="31">
        <v>0</v>
      </c>
      <c r="CF5" s="31">
        <v>6</v>
      </c>
      <c r="CG5" s="31">
        <v>30</v>
      </c>
      <c r="CH5" s="31">
        <v>0</v>
      </c>
      <c r="CI5" s="31">
        <v>0</v>
      </c>
      <c r="CJ5" s="31">
        <v>0</v>
      </c>
      <c r="CK5" s="31">
        <v>0</v>
      </c>
      <c r="CL5" s="31">
        <v>0</v>
      </c>
      <c r="CM5" s="31">
        <v>15</v>
      </c>
      <c r="CN5" s="31">
        <v>0</v>
      </c>
      <c r="CO5" s="31">
        <v>3</v>
      </c>
      <c r="CP5" s="31">
        <v>0</v>
      </c>
      <c r="CQ5" s="31">
        <v>0</v>
      </c>
      <c r="CR5" s="31">
        <v>3</v>
      </c>
      <c r="CS5" s="31">
        <v>0</v>
      </c>
      <c r="CT5" s="31">
        <v>0</v>
      </c>
      <c r="CU5" s="31">
        <v>0</v>
      </c>
      <c r="CV5" s="31">
        <v>0</v>
      </c>
      <c r="CW5" s="31">
        <v>200</v>
      </c>
      <c r="CX5" s="31">
        <v>41</v>
      </c>
    </row>
    <row r="6" spans="1:102">
      <c r="A6">
        <v>3</v>
      </c>
      <c r="B6" s="31">
        <v>4</v>
      </c>
      <c r="C6" s="31">
        <v>0</v>
      </c>
      <c r="D6" s="31">
        <v>0</v>
      </c>
      <c r="E6" s="31">
        <v>35</v>
      </c>
      <c r="F6" s="31">
        <v>0</v>
      </c>
      <c r="G6" s="31">
        <v>0</v>
      </c>
      <c r="H6" s="31">
        <v>100</v>
      </c>
      <c r="I6" s="31">
        <v>50</v>
      </c>
      <c r="J6" s="31">
        <v>0</v>
      </c>
      <c r="K6" s="31">
        <v>10</v>
      </c>
      <c r="L6" s="31">
        <v>15</v>
      </c>
      <c r="M6" s="31">
        <v>0</v>
      </c>
      <c r="N6" s="31">
        <v>0</v>
      </c>
      <c r="O6" s="31">
        <v>0</v>
      </c>
      <c r="P6" s="31">
        <v>5</v>
      </c>
      <c r="Q6" s="31">
        <v>10</v>
      </c>
      <c r="R6" s="31">
        <v>50</v>
      </c>
      <c r="S6" s="31">
        <v>100</v>
      </c>
      <c r="T6" s="31">
        <v>0</v>
      </c>
      <c r="U6" s="31">
        <v>12</v>
      </c>
      <c r="V6" s="31">
        <v>0</v>
      </c>
      <c r="W6" s="31">
        <v>0</v>
      </c>
      <c r="X6" s="31">
        <v>0</v>
      </c>
      <c r="Y6" s="31">
        <v>30</v>
      </c>
      <c r="Z6" s="31">
        <v>0</v>
      </c>
      <c r="AA6" s="31">
        <v>50</v>
      </c>
      <c r="AB6" s="31">
        <v>20</v>
      </c>
      <c r="AC6" s="31">
        <v>0</v>
      </c>
      <c r="AD6" s="31">
        <v>0</v>
      </c>
      <c r="AE6" s="31">
        <v>0</v>
      </c>
      <c r="AF6" s="31">
        <v>0</v>
      </c>
      <c r="AG6" s="31">
        <v>0</v>
      </c>
      <c r="AH6" s="31">
        <v>30</v>
      </c>
      <c r="AI6" s="31">
        <v>0</v>
      </c>
      <c r="AJ6" s="31">
        <v>0</v>
      </c>
      <c r="AK6" s="31">
        <v>0</v>
      </c>
      <c r="AL6" s="31">
        <v>0</v>
      </c>
      <c r="AM6" s="31">
        <v>0</v>
      </c>
      <c r="AN6" s="31">
        <v>0</v>
      </c>
      <c r="AO6" s="31">
        <v>0</v>
      </c>
      <c r="AP6" s="31">
        <v>0</v>
      </c>
      <c r="AQ6" s="31">
        <v>10</v>
      </c>
      <c r="AR6" s="31">
        <v>0</v>
      </c>
      <c r="AS6" s="31">
        <v>0</v>
      </c>
      <c r="AT6" s="31">
        <v>0</v>
      </c>
      <c r="AU6" s="31">
        <v>0</v>
      </c>
      <c r="AV6" s="31">
        <v>0</v>
      </c>
      <c r="AW6" s="31">
        <v>0</v>
      </c>
      <c r="AX6" s="31">
        <v>0</v>
      </c>
      <c r="AY6" s="31">
        <v>0</v>
      </c>
      <c r="AZ6" s="31">
        <v>0</v>
      </c>
      <c r="BA6" s="31">
        <v>0</v>
      </c>
      <c r="BB6" s="31">
        <v>80</v>
      </c>
      <c r="BC6" s="31">
        <v>6</v>
      </c>
      <c r="BD6" s="31">
        <v>0</v>
      </c>
      <c r="BE6" s="31">
        <v>0</v>
      </c>
      <c r="BF6" s="31">
        <v>0</v>
      </c>
      <c r="BG6" s="31">
        <v>0</v>
      </c>
      <c r="BH6" s="31">
        <v>0</v>
      </c>
      <c r="BI6" s="31">
        <v>30</v>
      </c>
      <c r="BJ6" s="31">
        <v>7</v>
      </c>
      <c r="BK6" s="31">
        <v>0</v>
      </c>
      <c r="BL6" s="31">
        <v>0</v>
      </c>
      <c r="BM6" s="31">
        <v>0</v>
      </c>
      <c r="BN6" s="31">
        <v>40</v>
      </c>
      <c r="BO6" s="31">
        <v>0</v>
      </c>
      <c r="BP6" s="31">
        <v>0</v>
      </c>
      <c r="BQ6" s="31">
        <v>0</v>
      </c>
      <c r="BR6" s="31">
        <v>0</v>
      </c>
      <c r="BS6" s="31">
        <v>0</v>
      </c>
      <c r="BT6" s="31">
        <v>0</v>
      </c>
      <c r="BU6" s="31">
        <v>0</v>
      </c>
      <c r="BV6" s="31">
        <v>0</v>
      </c>
      <c r="BW6" s="31">
        <v>10</v>
      </c>
      <c r="BX6" s="31">
        <v>0</v>
      </c>
      <c r="BY6" s="31">
        <v>50</v>
      </c>
      <c r="BZ6" s="31">
        <v>10</v>
      </c>
      <c r="CA6" s="31">
        <v>0</v>
      </c>
      <c r="CB6" s="31">
        <v>0</v>
      </c>
      <c r="CC6" s="31">
        <v>15</v>
      </c>
      <c r="CD6" s="31">
        <v>0</v>
      </c>
      <c r="CE6" s="31">
        <v>0</v>
      </c>
      <c r="CF6" s="31">
        <v>0</v>
      </c>
      <c r="CG6" s="31">
        <v>0</v>
      </c>
      <c r="CH6" s="31">
        <v>10</v>
      </c>
      <c r="CI6" s="31">
        <v>3</v>
      </c>
      <c r="CJ6" s="31">
        <v>0</v>
      </c>
      <c r="CK6" s="31">
        <v>5</v>
      </c>
      <c r="CL6" s="31">
        <v>60</v>
      </c>
      <c r="CM6" s="31">
        <v>0</v>
      </c>
      <c r="CN6" s="31">
        <v>0</v>
      </c>
      <c r="CO6" s="31">
        <v>0</v>
      </c>
      <c r="CP6" s="31">
        <v>0</v>
      </c>
      <c r="CQ6" s="31">
        <v>0</v>
      </c>
      <c r="CR6" s="31">
        <v>0</v>
      </c>
      <c r="CS6" s="31">
        <v>0</v>
      </c>
      <c r="CT6" s="31">
        <v>0</v>
      </c>
      <c r="CU6" s="31">
        <v>0</v>
      </c>
      <c r="CV6" s="31">
        <v>0</v>
      </c>
      <c r="CW6" s="31">
        <v>0</v>
      </c>
      <c r="CX6" s="31">
        <v>5</v>
      </c>
    </row>
    <row r="7" spans="1:102">
      <c r="A7">
        <v>514</v>
      </c>
      <c r="B7" s="31">
        <v>0</v>
      </c>
      <c r="C7" s="31">
        <v>0</v>
      </c>
      <c r="D7" s="31">
        <v>0</v>
      </c>
      <c r="E7" s="31">
        <v>0</v>
      </c>
      <c r="F7" s="31">
        <v>0</v>
      </c>
      <c r="G7" s="31">
        <v>0</v>
      </c>
      <c r="H7" s="31">
        <v>0</v>
      </c>
      <c r="I7" s="31">
        <v>50</v>
      </c>
      <c r="J7" s="31">
        <v>0</v>
      </c>
      <c r="K7" s="31">
        <v>0</v>
      </c>
      <c r="L7" s="31">
        <v>0</v>
      </c>
      <c r="M7" s="31">
        <v>0</v>
      </c>
      <c r="N7" s="31">
        <v>0</v>
      </c>
      <c r="O7" s="31">
        <v>0</v>
      </c>
      <c r="P7" s="31">
        <v>0</v>
      </c>
      <c r="Q7" s="31">
        <v>0</v>
      </c>
      <c r="R7" s="31">
        <v>0</v>
      </c>
      <c r="S7" s="31">
        <v>0</v>
      </c>
      <c r="T7" s="31">
        <v>0</v>
      </c>
      <c r="U7" s="31">
        <v>0</v>
      </c>
      <c r="V7" s="31">
        <v>0</v>
      </c>
      <c r="W7" s="31">
        <v>0</v>
      </c>
      <c r="X7" s="31">
        <v>0</v>
      </c>
      <c r="Y7" s="31">
        <v>0</v>
      </c>
      <c r="Z7" s="31">
        <v>0</v>
      </c>
      <c r="AA7" s="31">
        <v>0</v>
      </c>
      <c r="AB7" s="31">
        <v>0</v>
      </c>
      <c r="AC7" s="31">
        <v>0</v>
      </c>
      <c r="AD7" s="31">
        <v>0</v>
      </c>
      <c r="AE7" s="31">
        <v>0</v>
      </c>
      <c r="AF7" s="31">
        <v>0</v>
      </c>
      <c r="AG7" s="31">
        <v>0</v>
      </c>
      <c r="AH7" s="31">
        <v>0</v>
      </c>
      <c r="AI7" s="31">
        <v>0</v>
      </c>
      <c r="AJ7" s="31">
        <v>0</v>
      </c>
      <c r="AK7" s="31">
        <v>0</v>
      </c>
      <c r="AL7" s="31">
        <v>0</v>
      </c>
      <c r="AM7" s="31">
        <v>0</v>
      </c>
      <c r="AN7" s="31">
        <v>0</v>
      </c>
      <c r="AO7" s="31">
        <v>0</v>
      </c>
      <c r="AP7" s="31">
        <v>0</v>
      </c>
      <c r="AQ7" s="31">
        <v>0</v>
      </c>
      <c r="AR7" s="31">
        <v>0</v>
      </c>
      <c r="AS7" s="31">
        <v>0</v>
      </c>
      <c r="AT7" s="31">
        <v>0</v>
      </c>
      <c r="AU7" s="31">
        <v>0</v>
      </c>
      <c r="AV7" s="31">
        <v>0</v>
      </c>
      <c r="AW7" s="31">
        <v>0</v>
      </c>
      <c r="AX7" s="31">
        <v>0</v>
      </c>
      <c r="AY7" s="31">
        <v>0</v>
      </c>
      <c r="AZ7" s="31">
        <v>0</v>
      </c>
      <c r="BA7" s="31">
        <v>0</v>
      </c>
      <c r="BB7" s="31">
        <v>0</v>
      </c>
      <c r="BC7" s="31">
        <v>0</v>
      </c>
      <c r="BD7" s="31">
        <v>0</v>
      </c>
      <c r="BE7" s="31">
        <v>0</v>
      </c>
      <c r="BF7" s="31">
        <v>0</v>
      </c>
      <c r="BG7" s="31">
        <v>0</v>
      </c>
      <c r="BH7" s="31">
        <v>0</v>
      </c>
      <c r="BI7" s="31">
        <v>0</v>
      </c>
      <c r="BJ7" s="31">
        <v>0</v>
      </c>
      <c r="BK7" s="31">
        <v>0</v>
      </c>
      <c r="BL7" s="31">
        <v>0</v>
      </c>
      <c r="BM7" s="31">
        <v>0</v>
      </c>
      <c r="BN7" s="31">
        <v>0</v>
      </c>
      <c r="BO7" s="31">
        <v>0</v>
      </c>
      <c r="BP7" s="31">
        <v>0</v>
      </c>
      <c r="BQ7" s="31">
        <v>0</v>
      </c>
      <c r="BR7" s="31">
        <v>0</v>
      </c>
      <c r="BS7" s="31">
        <v>0</v>
      </c>
      <c r="BT7" s="31">
        <v>0</v>
      </c>
      <c r="BU7" s="31">
        <v>0</v>
      </c>
      <c r="BV7" s="31">
        <v>0</v>
      </c>
      <c r="BW7" s="31">
        <v>0</v>
      </c>
      <c r="BX7" s="31">
        <v>0</v>
      </c>
      <c r="BY7" s="31">
        <v>0</v>
      </c>
      <c r="BZ7" s="31">
        <v>0</v>
      </c>
      <c r="CA7" s="31">
        <v>0</v>
      </c>
      <c r="CB7" s="31">
        <v>20</v>
      </c>
      <c r="CC7" s="31">
        <v>0</v>
      </c>
      <c r="CD7" s="31">
        <v>0</v>
      </c>
      <c r="CE7" s="31">
        <v>0</v>
      </c>
      <c r="CF7" s="31">
        <v>0</v>
      </c>
      <c r="CG7" s="31">
        <v>0</v>
      </c>
      <c r="CH7" s="31">
        <v>0</v>
      </c>
      <c r="CI7" s="31">
        <v>0</v>
      </c>
      <c r="CJ7" s="31">
        <v>0</v>
      </c>
      <c r="CK7" s="31">
        <v>0</v>
      </c>
      <c r="CL7" s="31">
        <v>0</v>
      </c>
      <c r="CM7" s="31">
        <v>0</v>
      </c>
      <c r="CN7" s="31">
        <v>0</v>
      </c>
      <c r="CO7" s="31">
        <v>0</v>
      </c>
      <c r="CP7" s="31">
        <v>0</v>
      </c>
      <c r="CQ7" s="31">
        <v>0</v>
      </c>
      <c r="CR7" s="31">
        <v>0</v>
      </c>
      <c r="CS7" s="31">
        <v>0</v>
      </c>
      <c r="CT7" s="31">
        <v>0</v>
      </c>
      <c r="CU7" s="31">
        <v>0</v>
      </c>
      <c r="CV7" s="31">
        <v>0</v>
      </c>
      <c r="CW7" s="31">
        <v>0</v>
      </c>
      <c r="CX7" s="31">
        <v>0</v>
      </c>
    </row>
    <row r="8" spans="1:102">
      <c r="A8">
        <v>516</v>
      </c>
      <c r="B8" s="31">
        <v>0</v>
      </c>
      <c r="C8" s="31">
        <v>0</v>
      </c>
      <c r="D8" s="31">
        <v>0</v>
      </c>
      <c r="E8" s="31">
        <v>0</v>
      </c>
      <c r="F8" s="31">
        <v>0</v>
      </c>
      <c r="G8" s="31">
        <v>0</v>
      </c>
      <c r="H8" s="31">
        <v>40</v>
      </c>
      <c r="I8" s="31">
        <v>0</v>
      </c>
      <c r="J8" s="31">
        <v>0</v>
      </c>
      <c r="K8" s="31">
        <v>0</v>
      </c>
      <c r="L8" s="31">
        <v>35</v>
      </c>
      <c r="M8" s="31">
        <v>0</v>
      </c>
      <c r="N8" s="31">
        <v>0</v>
      </c>
      <c r="O8" s="31">
        <v>0</v>
      </c>
      <c r="P8" s="31">
        <v>0</v>
      </c>
      <c r="Q8" s="31">
        <v>0</v>
      </c>
      <c r="R8" s="31">
        <v>0</v>
      </c>
      <c r="S8" s="31">
        <v>50</v>
      </c>
      <c r="T8" s="31">
        <v>0</v>
      </c>
      <c r="U8" s="31">
        <v>0</v>
      </c>
      <c r="V8" s="31">
        <v>0</v>
      </c>
      <c r="W8" s="31">
        <v>0</v>
      </c>
      <c r="X8" s="31">
        <v>0</v>
      </c>
      <c r="Y8" s="31">
        <v>0</v>
      </c>
      <c r="Z8" s="31">
        <v>0</v>
      </c>
      <c r="AA8" s="31">
        <v>0</v>
      </c>
      <c r="AB8" s="31">
        <v>0</v>
      </c>
      <c r="AC8" s="31">
        <v>0</v>
      </c>
      <c r="AD8" s="31">
        <v>0</v>
      </c>
      <c r="AE8" s="31">
        <v>0</v>
      </c>
      <c r="AF8" s="31">
        <v>0</v>
      </c>
      <c r="AG8" s="31">
        <v>0</v>
      </c>
      <c r="AH8" s="31">
        <v>0</v>
      </c>
      <c r="AI8" s="31">
        <v>0</v>
      </c>
      <c r="AJ8" s="31">
        <v>0</v>
      </c>
      <c r="AK8" s="31">
        <v>0</v>
      </c>
      <c r="AL8" s="31">
        <v>0</v>
      </c>
      <c r="AM8" s="31">
        <v>0</v>
      </c>
      <c r="AN8" s="31">
        <v>0</v>
      </c>
      <c r="AO8" s="31">
        <v>0</v>
      </c>
      <c r="AP8" s="31">
        <v>0</v>
      </c>
      <c r="AQ8" s="31">
        <v>0</v>
      </c>
      <c r="AR8" s="31">
        <v>0</v>
      </c>
      <c r="AS8" s="31">
        <v>0</v>
      </c>
      <c r="AT8" s="31">
        <v>0</v>
      </c>
      <c r="AU8" s="31">
        <v>0</v>
      </c>
      <c r="AV8" s="31">
        <v>0</v>
      </c>
      <c r="AW8" s="31">
        <v>0</v>
      </c>
      <c r="AX8" s="31">
        <v>0</v>
      </c>
      <c r="AY8" s="31">
        <v>0</v>
      </c>
      <c r="AZ8" s="31">
        <v>0</v>
      </c>
      <c r="BA8" s="31">
        <v>0</v>
      </c>
      <c r="BB8" s="31">
        <v>0</v>
      </c>
      <c r="BC8" s="31">
        <v>0</v>
      </c>
      <c r="BD8" s="31">
        <v>0</v>
      </c>
      <c r="BE8" s="31">
        <v>0</v>
      </c>
      <c r="BF8" s="31">
        <v>0</v>
      </c>
      <c r="BG8" s="31">
        <v>0</v>
      </c>
      <c r="BH8" s="31">
        <v>0</v>
      </c>
      <c r="BI8" s="31">
        <v>0</v>
      </c>
      <c r="BJ8" s="31">
        <v>0</v>
      </c>
      <c r="BK8" s="31">
        <v>0</v>
      </c>
      <c r="BL8" s="31">
        <v>0</v>
      </c>
      <c r="BM8" s="31">
        <v>0</v>
      </c>
      <c r="BN8" s="31">
        <v>0</v>
      </c>
      <c r="BO8" s="31">
        <v>0</v>
      </c>
      <c r="BP8" s="31">
        <v>0</v>
      </c>
      <c r="BQ8" s="31">
        <v>0</v>
      </c>
      <c r="BR8" s="31">
        <v>0</v>
      </c>
      <c r="BS8" s="31">
        <v>0</v>
      </c>
      <c r="BT8" s="31">
        <v>0</v>
      </c>
      <c r="BU8" s="31">
        <v>0</v>
      </c>
      <c r="BV8" s="31">
        <v>0</v>
      </c>
      <c r="BW8" s="31">
        <v>0</v>
      </c>
      <c r="BX8" s="31">
        <v>0</v>
      </c>
      <c r="BY8" s="31">
        <v>0</v>
      </c>
      <c r="BZ8" s="31">
        <v>0</v>
      </c>
      <c r="CA8" s="31">
        <v>0</v>
      </c>
      <c r="CB8" s="31">
        <v>0</v>
      </c>
      <c r="CC8" s="31">
        <v>0</v>
      </c>
      <c r="CD8" s="31">
        <v>0</v>
      </c>
      <c r="CE8" s="31">
        <v>0</v>
      </c>
      <c r="CF8" s="31">
        <v>0</v>
      </c>
      <c r="CG8" s="31">
        <v>0</v>
      </c>
      <c r="CH8" s="31">
        <v>0</v>
      </c>
      <c r="CI8" s="31">
        <v>0</v>
      </c>
      <c r="CJ8" s="31">
        <v>0</v>
      </c>
      <c r="CK8" s="31">
        <v>0</v>
      </c>
      <c r="CL8" s="31">
        <v>0</v>
      </c>
      <c r="CM8" s="31">
        <v>0</v>
      </c>
      <c r="CN8" s="31">
        <v>0</v>
      </c>
      <c r="CO8" s="31">
        <v>0</v>
      </c>
      <c r="CP8" s="31">
        <v>0</v>
      </c>
      <c r="CQ8" s="31">
        <v>0</v>
      </c>
      <c r="CR8" s="31">
        <v>0</v>
      </c>
      <c r="CS8" s="31">
        <v>0</v>
      </c>
      <c r="CT8" s="31">
        <v>0</v>
      </c>
      <c r="CU8" s="31">
        <v>0</v>
      </c>
      <c r="CV8" s="31">
        <v>0</v>
      </c>
      <c r="CW8" s="31">
        <v>0</v>
      </c>
      <c r="CX8" s="31">
        <v>0</v>
      </c>
    </row>
    <row r="9" spans="1:102"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</row>
    <row r="13" spans="1:102" ht="16.5" customHeight="1"/>
    <row r="14" spans="1:102">
      <c r="A14" s="33" t="s">
        <v>212</v>
      </c>
      <c r="B14" t="s">
        <v>8</v>
      </c>
      <c r="C14" t="s">
        <v>9</v>
      </c>
      <c r="D14" t="s">
        <v>10</v>
      </c>
      <c r="E14" t="s">
        <v>11</v>
      </c>
      <c r="F14" t="s">
        <v>12</v>
      </c>
      <c r="G14" t="s">
        <v>13</v>
      </c>
      <c r="H14" t="s">
        <v>14</v>
      </c>
      <c r="I14" t="s">
        <v>15</v>
      </c>
      <c r="J14" t="s">
        <v>16</v>
      </c>
      <c r="K14" t="s">
        <v>17</v>
      </c>
      <c r="L14" t="s">
        <v>18</v>
      </c>
      <c r="M14" t="s">
        <v>19</v>
      </c>
      <c r="N14" t="s">
        <v>20</v>
      </c>
      <c r="O14" t="s">
        <v>21</v>
      </c>
      <c r="P14" t="s">
        <v>22</v>
      </c>
      <c r="Q14" t="s">
        <v>23</v>
      </c>
      <c r="R14" t="s">
        <v>24</v>
      </c>
      <c r="S14" t="s">
        <v>25</v>
      </c>
      <c r="T14" t="s">
        <v>26</v>
      </c>
      <c r="U14" t="s">
        <v>27</v>
      </c>
      <c r="V14" t="s">
        <v>28</v>
      </c>
      <c r="W14" t="s">
        <v>29</v>
      </c>
      <c r="X14" t="s">
        <v>30</v>
      </c>
      <c r="Y14" t="s">
        <v>31</v>
      </c>
      <c r="Z14" t="s">
        <v>32</v>
      </c>
      <c r="AA14" t="s">
        <v>33</v>
      </c>
      <c r="AB14" t="s">
        <v>34</v>
      </c>
      <c r="AC14" t="s">
        <v>35</v>
      </c>
      <c r="AD14" t="s">
        <v>36</v>
      </c>
      <c r="AE14" t="s">
        <v>37</v>
      </c>
      <c r="AF14" t="s">
        <v>38</v>
      </c>
      <c r="AG14" t="s">
        <v>39</v>
      </c>
      <c r="AH14" t="s">
        <v>40</v>
      </c>
      <c r="AI14" t="s">
        <v>41</v>
      </c>
      <c r="AJ14" t="s">
        <v>42</v>
      </c>
      <c r="AK14" t="s">
        <v>43</v>
      </c>
      <c r="AL14" t="s">
        <v>44</v>
      </c>
      <c r="AM14" t="s">
        <v>45</v>
      </c>
      <c r="AN14" t="s">
        <v>46</v>
      </c>
      <c r="AO14" t="s">
        <v>47</v>
      </c>
      <c r="AP14" t="s">
        <v>48</v>
      </c>
      <c r="AQ14" t="s">
        <v>49</v>
      </c>
      <c r="AR14" t="s">
        <v>50</v>
      </c>
      <c r="AS14" t="s">
        <v>51</v>
      </c>
      <c r="AT14" t="s">
        <v>52</v>
      </c>
      <c r="AU14" t="s">
        <v>53</v>
      </c>
      <c r="AV14" t="s">
        <v>54</v>
      </c>
      <c r="AW14" t="s">
        <v>55</v>
      </c>
      <c r="AX14" t="s">
        <v>56</v>
      </c>
      <c r="AY14" t="s">
        <v>57</v>
      </c>
      <c r="AZ14" t="s">
        <v>58</v>
      </c>
      <c r="BA14" t="s">
        <v>59</v>
      </c>
      <c r="BB14" t="s">
        <v>60</v>
      </c>
      <c r="BC14" t="s">
        <v>61</v>
      </c>
      <c r="BD14" t="s">
        <v>62</v>
      </c>
      <c r="BE14" t="s">
        <v>63</v>
      </c>
      <c r="BF14" t="s">
        <v>64</v>
      </c>
      <c r="BG14" t="s">
        <v>65</v>
      </c>
      <c r="BH14" t="s">
        <v>66</v>
      </c>
      <c r="BI14" t="s">
        <v>67</v>
      </c>
      <c r="BJ14" t="s">
        <v>68</v>
      </c>
      <c r="BK14" t="s">
        <v>69</v>
      </c>
      <c r="BL14" t="s">
        <v>70</v>
      </c>
      <c r="BM14" t="s">
        <v>71</v>
      </c>
      <c r="BN14" t="s">
        <v>72</v>
      </c>
      <c r="BO14" t="s">
        <v>73</v>
      </c>
      <c r="BP14" t="s">
        <v>74</v>
      </c>
      <c r="BQ14" t="s">
        <v>75</v>
      </c>
      <c r="BR14" t="s">
        <v>76</v>
      </c>
      <c r="BS14" t="s">
        <v>77</v>
      </c>
      <c r="BT14" t="s">
        <v>78</v>
      </c>
      <c r="BU14" t="s">
        <v>79</v>
      </c>
      <c r="BV14" t="s">
        <v>80</v>
      </c>
      <c r="BW14" t="s">
        <v>81</v>
      </c>
      <c r="BX14" t="s">
        <v>82</v>
      </c>
      <c r="BY14" t="s">
        <v>83</v>
      </c>
      <c r="BZ14" t="s">
        <v>84</v>
      </c>
      <c r="CA14" t="s">
        <v>85</v>
      </c>
      <c r="CB14" t="s">
        <v>86</v>
      </c>
      <c r="CC14" t="s">
        <v>87</v>
      </c>
      <c r="CD14" t="s">
        <v>88</v>
      </c>
      <c r="CE14" t="s">
        <v>89</v>
      </c>
      <c r="CF14" t="s">
        <v>90</v>
      </c>
      <c r="CG14" t="s">
        <v>91</v>
      </c>
      <c r="CH14" t="s">
        <v>92</v>
      </c>
      <c r="CI14" t="s">
        <v>93</v>
      </c>
      <c r="CJ14" t="s">
        <v>94</v>
      </c>
      <c r="CK14" t="s">
        <v>95</v>
      </c>
      <c r="CL14" t="s">
        <v>96</v>
      </c>
      <c r="CM14" t="s">
        <v>97</v>
      </c>
      <c r="CN14" t="s">
        <v>98</v>
      </c>
      <c r="CO14" t="s">
        <v>99</v>
      </c>
      <c r="CP14" t="s">
        <v>100</v>
      </c>
      <c r="CQ14" t="s">
        <v>101</v>
      </c>
      <c r="CR14" t="s">
        <v>102</v>
      </c>
      <c r="CS14" t="s">
        <v>103</v>
      </c>
      <c r="CT14" t="s">
        <v>104</v>
      </c>
      <c r="CU14" t="s">
        <v>105</v>
      </c>
      <c r="CV14" t="s">
        <v>106</v>
      </c>
      <c r="CW14" t="s">
        <v>107</v>
      </c>
      <c r="CX14" t="s">
        <v>108</v>
      </c>
    </row>
    <row r="15" spans="1:102">
      <c r="A15">
        <v>2</v>
      </c>
      <c r="B15">
        <v>14</v>
      </c>
      <c r="C15">
        <v>0</v>
      </c>
      <c r="D15">
        <v>108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268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100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40</v>
      </c>
      <c r="BA15">
        <v>0</v>
      </c>
      <c r="BB15">
        <v>0</v>
      </c>
      <c r="BC15">
        <v>0</v>
      </c>
      <c r="BD15">
        <v>0</v>
      </c>
      <c r="BE15">
        <v>80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40</v>
      </c>
      <c r="BY15">
        <v>0</v>
      </c>
      <c r="BZ15">
        <v>0</v>
      </c>
      <c r="CA15">
        <v>0</v>
      </c>
      <c r="CB15">
        <v>100</v>
      </c>
      <c r="CC15">
        <v>200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60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</row>
    <row r="16" spans="1:102">
      <c r="A16">
        <v>3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50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460</v>
      </c>
      <c r="BY16">
        <v>0</v>
      </c>
      <c r="BZ16">
        <v>0</v>
      </c>
      <c r="CA16">
        <v>0</v>
      </c>
      <c r="CB16">
        <v>15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20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</row>
    <row r="17" spans="1:102">
      <c r="A17">
        <v>513</v>
      </c>
      <c r="B17">
        <v>500</v>
      </c>
      <c r="AZ17">
        <v>100</v>
      </c>
      <c r="BX17">
        <v>900</v>
      </c>
    </row>
    <row r="18" spans="1:102">
      <c r="A18">
        <v>514</v>
      </c>
      <c r="B18">
        <v>75</v>
      </c>
      <c r="H18">
        <v>25</v>
      </c>
      <c r="AA18">
        <v>100</v>
      </c>
      <c r="AR18">
        <v>160</v>
      </c>
      <c r="CK18">
        <v>20</v>
      </c>
      <c r="CU18">
        <v>50</v>
      </c>
    </row>
    <row r="19" spans="1:102">
      <c r="A19">
        <v>515</v>
      </c>
      <c r="B19">
        <v>23</v>
      </c>
    </row>
    <row r="20" spans="1:102">
      <c r="A20">
        <v>516</v>
      </c>
      <c r="B20">
        <v>0</v>
      </c>
      <c r="AA20">
        <v>10</v>
      </c>
      <c r="AO20">
        <v>100</v>
      </c>
      <c r="BG20">
        <v>65</v>
      </c>
      <c r="CJ20">
        <v>30</v>
      </c>
      <c r="CK20">
        <v>26</v>
      </c>
    </row>
    <row r="23" spans="1:102">
      <c r="A23" s="33" t="s">
        <v>218</v>
      </c>
      <c r="B23" t="s">
        <v>8</v>
      </c>
      <c r="C23" t="s">
        <v>9</v>
      </c>
      <c r="D23" t="s">
        <v>10</v>
      </c>
      <c r="E23" t="s">
        <v>11</v>
      </c>
      <c r="F23" t="s">
        <v>12</v>
      </c>
      <c r="G23" t="s">
        <v>13</v>
      </c>
      <c r="H23" t="s">
        <v>14</v>
      </c>
      <c r="I23" t="s">
        <v>15</v>
      </c>
      <c r="J23" t="s">
        <v>16</v>
      </c>
      <c r="K23" t="s">
        <v>17</v>
      </c>
      <c r="L23" t="s">
        <v>18</v>
      </c>
      <c r="M23" t="s">
        <v>19</v>
      </c>
      <c r="N23" t="s">
        <v>20</v>
      </c>
      <c r="O23" t="s">
        <v>21</v>
      </c>
      <c r="P23" t="s">
        <v>22</v>
      </c>
      <c r="Q23" t="s">
        <v>23</v>
      </c>
      <c r="R23" t="s">
        <v>24</v>
      </c>
      <c r="S23" t="s">
        <v>25</v>
      </c>
      <c r="T23" t="s">
        <v>26</v>
      </c>
      <c r="U23" t="s">
        <v>27</v>
      </c>
      <c r="V23" t="s">
        <v>28</v>
      </c>
      <c r="W23" t="s">
        <v>29</v>
      </c>
      <c r="X23" t="s">
        <v>30</v>
      </c>
      <c r="Y23" t="s">
        <v>31</v>
      </c>
      <c r="Z23" t="s">
        <v>32</v>
      </c>
      <c r="AA23" t="s">
        <v>33</v>
      </c>
      <c r="AB23" t="s">
        <v>34</v>
      </c>
      <c r="AC23" t="s">
        <v>35</v>
      </c>
      <c r="AD23" t="s">
        <v>36</v>
      </c>
      <c r="AE23" t="s">
        <v>37</v>
      </c>
      <c r="AF23" t="s">
        <v>38</v>
      </c>
      <c r="AG23" t="s">
        <v>39</v>
      </c>
      <c r="AH23" t="s">
        <v>40</v>
      </c>
      <c r="AI23" t="s">
        <v>41</v>
      </c>
      <c r="AJ23" t="s">
        <v>42</v>
      </c>
      <c r="AK23" t="s">
        <v>43</v>
      </c>
      <c r="AL23" t="s">
        <v>44</v>
      </c>
      <c r="AM23" t="s">
        <v>45</v>
      </c>
      <c r="AN23" t="s">
        <v>46</v>
      </c>
      <c r="AO23" t="s">
        <v>47</v>
      </c>
      <c r="AP23" t="s">
        <v>48</v>
      </c>
      <c r="AQ23" t="s">
        <v>49</v>
      </c>
      <c r="AR23" t="s">
        <v>50</v>
      </c>
      <c r="AS23" t="s">
        <v>51</v>
      </c>
      <c r="AT23" t="s">
        <v>52</v>
      </c>
      <c r="AU23" t="s">
        <v>53</v>
      </c>
      <c r="AV23" t="s">
        <v>54</v>
      </c>
      <c r="AW23" t="s">
        <v>55</v>
      </c>
      <c r="AX23" t="s">
        <v>56</v>
      </c>
      <c r="AY23" t="s">
        <v>57</v>
      </c>
      <c r="AZ23" t="s">
        <v>58</v>
      </c>
      <c r="BA23" t="s">
        <v>59</v>
      </c>
      <c r="BB23" t="s">
        <v>60</v>
      </c>
      <c r="BC23" t="s">
        <v>61</v>
      </c>
      <c r="BD23" t="s">
        <v>62</v>
      </c>
      <c r="BE23" t="s">
        <v>63</v>
      </c>
      <c r="BF23" t="s">
        <v>64</v>
      </c>
      <c r="BG23" t="s">
        <v>65</v>
      </c>
      <c r="BH23" t="s">
        <v>66</v>
      </c>
      <c r="BI23" t="s">
        <v>67</v>
      </c>
      <c r="BJ23" t="s">
        <v>68</v>
      </c>
      <c r="BK23" t="s">
        <v>69</v>
      </c>
      <c r="BL23" t="s">
        <v>70</v>
      </c>
      <c r="BM23" t="s">
        <v>71</v>
      </c>
      <c r="BN23" t="s">
        <v>72</v>
      </c>
      <c r="BO23" t="s">
        <v>73</v>
      </c>
      <c r="BP23" t="s">
        <v>74</v>
      </c>
      <c r="BQ23" t="s">
        <v>75</v>
      </c>
      <c r="BR23" t="s">
        <v>76</v>
      </c>
      <c r="BS23" t="s">
        <v>77</v>
      </c>
      <c r="BT23" t="s">
        <v>78</v>
      </c>
      <c r="BU23" t="s">
        <v>79</v>
      </c>
      <c r="BV23" t="s">
        <v>80</v>
      </c>
      <c r="BW23" t="s">
        <v>81</v>
      </c>
      <c r="BX23" t="s">
        <v>82</v>
      </c>
      <c r="BY23" t="s">
        <v>83</v>
      </c>
      <c r="BZ23" t="s">
        <v>84</v>
      </c>
      <c r="CA23" t="s">
        <v>85</v>
      </c>
      <c r="CB23" t="s">
        <v>86</v>
      </c>
      <c r="CC23" t="s">
        <v>87</v>
      </c>
      <c r="CD23" t="s">
        <v>88</v>
      </c>
      <c r="CE23" t="s">
        <v>89</v>
      </c>
      <c r="CF23" t="s">
        <v>90</v>
      </c>
      <c r="CG23" t="s">
        <v>91</v>
      </c>
      <c r="CH23" t="s">
        <v>92</v>
      </c>
      <c r="CI23" t="s">
        <v>93</v>
      </c>
      <c r="CJ23" t="s">
        <v>94</v>
      </c>
      <c r="CK23" t="s">
        <v>95</v>
      </c>
      <c r="CL23" t="s">
        <v>96</v>
      </c>
      <c r="CM23" t="s">
        <v>97</v>
      </c>
      <c r="CN23" t="s">
        <v>98</v>
      </c>
      <c r="CO23" t="s">
        <v>99</v>
      </c>
      <c r="CP23" t="s">
        <v>100</v>
      </c>
      <c r="CQ23" t="s">
        <v>101</v>
      </c>
      <c r="CR23" t="s">
        <v>102</v>
      </c>
      <c r="CS23" t="s">
        <v>103</v>
      </c>
      <c r="CT23" t="s">
        <v>104</v>
      </c>
      <c r="CU23" t="s">
        <v>105</v>
      </c>
      <c r="CV23" t="s">
        <v>106</v>
      </c>
      <c r="CW23" t="s">
        <v>107</v>
      </c>
      <c r="CX23" t="s">
        <v>108</v>
      </c>
    </row>
    <row r="24" spans="1:102" s="34" customFormat="1">
      <c r="A24" s="34" t="s">
        <v>554</v>
      </c>
      <c r="F24" s="34">
        <v>300000</v>
      </c>
      <c r="I24" s="34">
        <v>150000</v>
      </c>
    </row>
    <row r="25" spans="1:102" s="34" customFormat="1">
      <c r="A25" s="34" t="s">
        <v>219</v>
      </c>
      <c r="C25" s="35">
        <v>170000</v>
      </c>
      <c r="D25" s="35">
        <v>5000</v>
      </c>
      <c r="E25" s="35">
        <v>13000</v>
      </c>
      <c r="F25" s="35">
        <v>10000</v>
      </c>
      <c r="L25" s="35"/>
      <c r="O25" s="35">
        <v>2000</v>
      </c>
      <c r="S25" s="35">
        <v>10000</v>
      </c>
      <c r="T25" s="35">
        <v>5000</v>
      </c>
      <c r="Y25" s="35">
        <v>6000</v>
      </c>
      <c r="AQ25" s="35">
        <v>5000</v>
      </c>
      <c r="BD25" s="35">
        <v>1000</v>
      </c>
      <c r="BE25" s="35"/>
      <c r="BI25" s="35">
        <v>10000</v>
      </c>
      <c r="BR25" s="35"/>
      <c r="BV25" s="35">
        <v>3000</v>
      </c>
      <c r="CU25" s="35">
        <v>2000</v>
      </c>
      <c r="CW25" s="35">
        <v>8000</v>
      </c>
      <c r="CX25" s="35">
        <v>4000</v>
      </c>
    </row>
    <row r="26" spans="1:102" s="34" customFormat="1">
      <c r="A26" s="121" t="s">
        <v>147</v>
      </c>
      <c r="C26" s="35"/>
      <c r="D26" s="35"/>
      <c r="E26" s="35"/>
      <c r="F26" s="35"/>
      <c r="L26" s="35"/>
      <c r="N26" s="34">
        <v>60000</v>
      </c>
      <c r="O26" s="35"/>
      <c r="S26" s="35"/>
      <c r="T26" s="35"/>
      <c r="Y26" s="35"/>
      <c r="AQ26" s="35"/>
      <c r="AR26" s="34">
        <v>50000</v>
      </c>
      <c r="BB26" s="34">
        <v>80000</v>
      </c>
      <c r="BD26" s="35"/>
      <c r="BE26" s="35"/>
      <c r="BI26" s="35"/>
      <c r="BN26" s="34">
        <v>50000</v>
      </c>
      <c r="BR26" s="35"/>
      <c r="BV26" s="35"/>
      <c r="CU26" s="35"/>
      <c r="CW26" s="35"/>
      <c r="CX26" s="35"/>
    </row>
    <row r="27" spans="1:102">
      <c r="A27" s="36" t="s">
        <v>220</v>
      </c>
      <c r="B27">
        <f>SUM(B24:B26)</f>
        <v>0</v>
      </c>
      <c r="C27">
        <f t="shared" ref="C27:BN27" si="0">SUM(C24:C26)</f>
        <v>170000</v>
      </c>
      <c r="D27">
        <f t="shared" si="0"/>
        <v>5000</v>
      </c>
      <c r="E27">
        <f t="shared" si="0"/>
        <v>13000</v>
      </c>
      <c r="F27">
        <f t="shared" si="0"/>
        <v>310000</v>
      </c>
      <c r="G27">
        <f t="shared" si="0"/>
        <v>0</v>
      </c>
      <c r="H27">
        <f t="shared" si="0"/>
        <v>0</v>
      </c>
      <c r="I27">
        <f t="shared" si="0"/>
        <v>150000</v>
      </c>
      <c r="J27">
        <f t="shared" si="0"/>
        <v>0</v>
      </c>
      <c r="K27">
        <f t="shared" si="0"/>
        <v>0</v>
      </c>
      <c r="L27">
        <f t="shared" si="0"/>
        <v>0</v>
      </c>
      <c r="M27">
        <f t="shared" si="0"/>
        <v>0</v>
      </c>
      <c r="N27">
        <f t="shared" si="0"/>
        <v>60000</v>
      </c>
      <c r="O27">
        <f t="shared" si="0"/>
        <v>2000</v>
      </c>
      <c r="P27">
        <f t="shared" si="0"/>
        <v>0</v>
      </c>
      <c r="Q27">
        <f t="shared" si="0"/>
        <v>0</v>
      </c>
      <c r="R27">
        <f t="shared" si="0"/>
        <v>0</v>
      </c>
      <c r="S27">
        <f t="shared" si="0"/>
        <v>10000</v>
      </c>
      <c r="T27">
        <f t="shared" si="0"/>
        <v>5000</v>
      </c>
      <c r="U27">
        <f t="shared" si="0"/>
        <v>0</v>
      </c>
      <c r="V27">
        <f t="shared" si="0"/>
        <v>0</v>
      </c>
      <c r="W27">
        <f t="shared" si="0"/>
        <v>0</v>
      </c>
      <c r="X27">
        <f t="shared" si="0"/>
        <v>0</v>
      </c>
      <c r="Y27">
        <f t="shared" si="0"/>
        <v>6000</v>
      </c>
      <c r="Z27">
        <f t="shared" si="0"/>
        <v>0</v>
      </c>
      <c r="AA27">
        <f t="shared" si="0"/>
        <v>0</v>
      </c>
      <c r="AB27">
        <f t="shared" si="0"/>
        <v>0</v>
      </c>
      <c r="AC27">
        <f t="shared" si="0"/>
        <v>0</v>
      </c>
      <c r="AD27">
        <f t="shared" si="0"/>
        <v>0</v>
      </c>
      <c r="AE27">
        <f t="shared" si="0"/>
        <v>0</v>
      </c>
      <c r="AF27">
        <f t="shared" si="0"/>
        <v>0</v>
      </c>
      <c r="AG27">
        <f t="shared" si="0"/>
        <v>0</v>
      </c>
      <c r="AH27">
        <f t="shared" si="0"/>
        <v>0</v>
      </c>
      <c r="AI27">
        <f t="shared" si="0"/>
        <v>0</v>
      </c>
      <c r="AJ27">
        <f t="shared" si="0"/>
        <v>0</v>
      </c>
      <c r="AK27">
        <f t="shared" si="0"/>
        <v>0</v>
      </c>
      <c r="AL27">
        <f t="shared" si="0"/>
        <v>0</v>
      </c>
      <c r="AM27">
        <f t="shared" si="0"/>
        <v>0</v>
      </c>
      <c r="AN27">
        <f t="shared" si="0"/>
        <v>0</v>
      </c>
      <c r="AO27">
        <f t="shared" si="0"/>
        <v>0</v>
      </c>
      <c r="AP27">
        <f t="shared" si="0"/>
        <v>0</v>
      </c>
      <c r="AQ27">
        <f t="shared" si="0"/>
        <v>5000</v>
      </c>
      <c r="AR27">
        <f t="shared" si="0"/>
        <v>50000</v>
      </c>
      <c r="AS27">
        <f t="shared" si="0"/>
        <v>0</v>
      </c>
      <c r="AT27">
        <f t="shared" si="0"/>
        <v>0</v>
      </c>
      <c r="AU27">
        <f t="shared" si="0"/>
        <v>0</v>
      </c>
      <c r="AV27">
        <f t="shared" si="0"/>
        <v>0</v>
      </c>
      <c r="AW27">
        <f t="shared" si="0"/>
        <v>0</v>
      </c>
      <c r="AX27">
        <f t="shared" si="0"/>
        <v>0</v>
      </c>
      <c r="AY27">
        <f t="shared" si="0"/>
        <v>0</v>
      </c>
      <c r="AZ27">
        <f t="shared" si="0"/>
        <v>0</v>
      </c>
      <c r="BA27">
        <f t="shared" si="0"/>
        <v>0</v>
      </c>
      <c r="BB27">
        <f t="shared" si="0"/>
        <v>80000</v>
      </c>
      <c r="BC27">
        <f t="shared" si="0"/>
        <v>0</v>
      </c>
      <c r="BD27">
        <f t="shared" si="0"/>
        <v>1000</v>
      </c>
      <c r="BE27">
        <f t="shared" si="0"/>
        <v>0</v>
      </c>
      <c r="BF27">
        <f t="shared" si="0"/>
        <v>0</v>
      </c>
      <c r="BG27">
        <f t="shared" si="0"/>
        <v>0</v>
      </c>
      <c r="BH27">
        <f t="shared" si="0"/>
        <v>0</v>
      </c>
      <c r="BI27">
        <f t="shared" si="0"/>
        <v>10000</v>
      </c>
      <c r="BJ27">
        <f t="shared" si="0"/>
        <v>0</v>
      </c>
      <c r="BK27">
        <f t="shared" si="0"/>
        <v>0</v>
      </c>
      <c r="BL27">
        <f t="shared" si="0"/>
        <v>0</v>
      </c>
      <c r="BM27">
        <f t="shared" si="0"/>
        <v>0</v>
      </c>
      <c r="BN27">
        <f t="shared" si="0"/>
        <v>50000</v>
      </c>
      <c r="BO27">
        <f t="shared" ref="BO27:CX27" si="1">SUM(BO24:BO26)</f>
        <v>0</v>
      </c>
      <c r="BP27">
        <f t="shared" si="1"/>
        <v>0</v>
      </c>
      <c r="BQ27">
        <f t="shared" si="1"/>
        <v>0</v>
      </c>
      <c r="BR27">
        <f t="shared" si="1"/>
        <v>0</v>
      </c>
      <c r="BS27">
        <f t="shared" si="1"/>
        <v>0</v>
      </c>
      <c r="BT27">
        <f t="shared" si="1"/>
        <v>0</v>
      </c>
      <c r="BU27">
        <f t="shared" si="1"/>
        <v>0</v>
      </c>
      <c r="BV27">
        <f t="shared" si="1"/>
        <v>3000</v>
      </c>
      <c r="BW27">
        <f t="shared" si="1"/>
        <v>0</v>
      </c>
      <c r="BX27">
        <f t="shared" si="1"/>
        <v>0</v>
      </c>
      <c r="BY27">
        <f t="shared" si="1"/>
        <v>0</v>
      </c>
      <c r="BZ27">
        <f t="shared" si="1"/>
        <v>0</v>
      </c>
      <c r="CA27">
        <f t="shared" si="1"/>
        <v>0</v>
      </c>
      <c r="CB27">
        <f t="shared" si="1"/>
        <v>0</v>
      </c>
      <c r="CC27">
        <f t="shared" si="1"/>
        <v>0</v>
      </c>
      <c r="CD27">
        <f t="shared" si="1"/>
        <v>0</v>
      </c>
      <c r="CE27">
        <f t="shared" si="1"/>
        <v>0</v>
      </c>
      <c r="CF27">
        <f t="shared" si="1"/>
        <v>0</v>
      </c>
      <c r="CG27">
        <f t="shared" si="1"/>
        <v>0</v>
      </c>
      <c r="CH27">
        <f t="shared" si="1"/>
        <v>0</v>
      </c>
      <c r="CI27">
        <f t="shared" si="1"/>
        <v>0</v>
      </c>
      <c r="CJ27">
        <f t="shared" si="1"/>
        <v>0</v>
      </c>
      <c r="CK27">
        <f t="shared" si="1"/>
        <v>0</v>
      </c>
      <c r="CL27">
        <f t="shared" si="1"/>
        <v>0</v>
      </c>
      <c r="CM27">
        <f t="shared" si="1"/>
        <v>0</v>
      </c>
      <c r="CN27">
        <f t="shared" si="1"/>
        <v>0</v>
      </c>
      <c r="CO27">
        <f t="shared" si="1"/>
        <v>0</v>
      </c>
      <c r="CP27">
        <f t="shared" si="1"/>
        <v>0</v>
      </c>
      <c r="CQ27">
        <f t="shared" si="1"/>
        <v>0</v>
      </c>
      <c r="CR27">
        <f t="shared" si="1"/>
        <v>0</v>
      </c>
      <c r="CS27">
        <f t="shared" si="1"/>
        <v>0</v>
      </c>
      <c r="CT27">
        <f t="shared" si="1"/>
        <v>0</v>
      </c>
      <c r="CU27">
        <f t="shared" si="1"/>
        <v>2000</v>
      </c>
      <c r="CV27">
        <f t="shared" si="1"/>
        <v>0</v>
      </c>
      <c r="CW27">
        <f t="shared" si="1"/>
        <v>8000</v>
      </c>
      <c r="CX27">
        <f t="shared" si="1"/>
        <v>4000</v>
      </c>
    </row>
  </sheetData>
  <phoneticPr fontId="3" type="noConversion"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655</v>
      </c>
      <c r="D1" s="28" t="str">
        <f>VLOOKUP(C1,[1]學校編號!A:B,2,FALSE)</f>
        <v>655港口國小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14007000</v>
      </c>
      <c r="E2" s="37"/>
      <c r="F2" s="37">
        <f>F48+F70+F76+F77+F83</f>
        <v>4153000</v>
      </c>
      <c r="G2" s="37">
        <f t="shared" ref="G2:Q2" si="0">G48+G70+G76+G77+G83</f>
        <v>950000</v>
      </c>
      <c r="H2" s="37">
        <f t="shared" si="0"/>
        <v>1125000</v>
      </c>
      <c r="I2" s="37">
        <f t="shared" si="0"/>
        <v>1115000</v>
      </c>
      <c r="J2" s="37">
        <f t="shared" si="0"/>
        <v>950000</v>
      </c>
      <c r="K2" s="37">
        <f t="shared" si="0"/>
        <v>950000</v>
      </c>
      <c r="L2" s="37">
        <f t="shared" si="0"/>
        <v>965000</v>
      </c>
      <c r="M2" s="37">
        <f t="shared" si="0"/>
        <v>950000</v>
      </c>
      <c r="N2" s="37">
        <f t="shared" si="0"/>
        <v>1771000</v>
      </c>
      <c r="O2" s="37">
        <f t="shared" si="0"/>
        <v>954000</v>
      </c>
      <c r="P2" s="37">
        <f t="shared" si="0"/>
        <v>61000</v>
      </c>
      <c r="Q2" s="37">
        <f t="shared" si="0"/>
        <v>63000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82000</v>
      </c>
      <c r="E3" s="37" t="s">
        <v>525</v>
      </c>
      <c r="F3" s="37">
        <f t="shared" ref="F3:P17" si="1">ROUND($D3/12,0)</f>
        <v>6833</v>
      </c>
      <c r="G3" s="37">
        <f t="shared" si="1"/>
        <v>6833</v>
      </c>
      <c r="H3" s="37">
        <f t="shared" si="1"/>
        <v>6833</v>
      </c>
      <c r="I3" s="37">
        <f t="shared" si="1"/>
        <v>6833</v>
      </c>
      <c r="J3" s="37">
        <f t="shared" si="1"/>
        <v>6833</v>
      </c>
      <c r="K3" s="37">
        <f t="shared" si="1"/>
        <v>6833</v>
      </c>
      <c r="L3" s="37">
        <f t="shared" si="1"/>
        <v>6833</v>
      </c>
      <c r="M3" s="37">
        <f t="shared" si="1"/>
        <v>6833</v>
      </c>
      <c r="N3" s="37">
        <f t="shared" si="1"/>
        <v>6833</v>
      </c>
      <c r="O3" s="37">
        <f t="shared" si="1"/>
        <v>6833</v>
      </c>
      <c r="P3" s="37">
        <f t="shared" si="1"/>
        <v>6833</v>
      </c>
      <c r="Q3" s="37">
        <f t="shared" ref="Q3:Q10" si="2">D3-SUM(F3:P3)</f>
        <v>6837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35000</v>
      </c>
      <c r="E4" s="37" t="s">
        <v>525</v>
      </c>
      <c r="F4" s="37">
        <f t="shared" si="1"/>
        <v>2917</v>
      </c>
      <c r="G4" s="37">
        <f t="shared" si="1"/>
        <v>2917</v>
      </c>
      <c r="H4" s="37">
        <f t="shared" si="1"/>
        <v>2917</v>
      </c>
      <c r="I4" s="37">
        <f t="shared" si="1"/>
        <v>2917</v>
      </c>
      <c r="J4" s="37">
        <f t="shared" si="1"/>
        <v>2917</v>
      </c>
      <c r="K4" s="37">
        <f t="shared" si="1"/>
        <v>2917</v>
      </c>
      <c r="L4" s="37">
        <f t="shared" si="1"/>
        <v>2917</v>
      </c>
      <c r="M4" s="37">
        <f t="shared" si="1"/>
        <v>2917</v>
      </c>
      <c r="N4" s="37">
        <f t="shared" si="1"/>
        <v>2917</v>
      </c>
      <c r="O4" s="37">
        <f t="shared" si="1"/>
        <v>2917</v>
      </c>
      <c r="P4" s="37">
        <f t="shared" si="1"/>
        <v>2917</v>
      </c>
      <c r="Q4" s="37">
        <f t="shared" si="2"/>
        <v>2913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62000</v>
      </c>
      <c r="E7" s="37" t="s">
        <v>525</v>
      </c>
      <c r="F7" s="37">
        <f t="shared" si="1"/>
        <v>5167</v>
      </c>
      <c r="G7" s="37">
        <f t="shared" si="1"/>
        <v>5167</v>
      </c>
      <c r="H7" s="37">
        <f t="shared" si="1"/>
        <v>5167</v>
      </c>
      <c r="I7" s="37">
        <f t="shared" si="1"/>
        <v>5167</v>
      </c>
      <c r="J7" s="37">
        <f t="shared" si="1"/>
        <v>5167</v>
      </c>
      <c r="K7" s="37">
        <f t="shared" si="1"/>
        <v>5167</v>
      </c>
      <c r="L7" s="37">
        <f t="shared" si="1"/>
        <v>5167</v>
      </c>
      <c r="M7" s="37">
        <f t="shared" si="1"/>
        <v>5167</v>
      </c>
      <c r="N7" s="37">
        <f t="shared" si="1"/>
        <v>5167</v>
      </c>
      <c r="O7" s="37">
        <f t="shared" si="1"/>
        <v>5167</v>
      </c>
      <c r="P7" s="37">
        <f t="shared" si="1"/>
        <v>5167</v>
      </c>
      <c r="Q7" s="37">
        <f t="shared" si="2"/>
        <v>5163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88000</v>
      </c>
      <c r="E13" s="37" t="s">
        <v>525</v>
      </c>
      <c r="F13" s="37">
        <f>ROUND($D13/12,0)</f>
        <v>7333</v>
      </c>
      <c r="G13" s="37">
        <f t="shared" si="1"/>
        <v>7333</v>
      </c>
      <c r="H13" s="37">
        <f t="shared" si="1"/>
        <v>7333</v>
      </c>
      <c r="I13" s="37">
        <f t="shared" si="1"/>
        <v>7333</v>
      </c>
      <c r="J13" s="37">
        <f t="shared" si="1"/>
        <v>7333</v>
      </c>
      <c r="K13" s="37">
        <f t="shared" si="1"/>
        <v>7333</v>
      </c>
      <c r="L13" s="37">
        <f t="shared" si="1"/>
        <v>7333</v>
      </c>
      <c r="M13" s="37">
        <f t="shared" si="1"/>
        <v>7333</v>
      </c>
      <c r="N13" s="37">
        <f t="shared" si="1"/>
        <v>7333</v>
      </c>
      <c r="O13" s="37">
        <f t="shared" si="1"/>
        <v>7333</v>
      </c>
      <c r="P13" s="37">
        <f t="shared" si="1"/>
        <v>7333</v>
      </c>
      <c r="Q13" s="37">
        <f>D13-SUM(F13:P13)</f>
        <v>7337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20000</v>
      </c>
      <c r="E15" s="37" t="s">
        <v>193</v>
      </c>
      <c r="F15" s="37">
        <f>ROUND($D15/2,-3)</f>
        <v>10000</v>
      </c>
      <c r="G15" s="37"/>
      <c r="H15" s="37"/>
      <c r="I15" s="37"/>
      <c r="J15" s="37"/>
      <c r="K15" s="37"/>
      <c r="L15" s="37">
        <f>D15-F15</f>
        <v>10000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76000</v>
      </c>
      <c r="E16" s="37" t="s">
        <v>525</v>
      </c>
      <c r="F16" s="37">
        <f>ROUND($D16/12,0)</f>
        <v>6333</v>
      </c>
      <c r="G16" s="37">
        <f t="shared" si="1"/>
        <v>6333</v>
      </c>
      <c r="H16" s="37">
        <f t="shared" si="1"/>
        <v>6333</v>
      </c>
      <c r="I16" s="37">
        <f t="shared" si="1"/>
        <v>6333</v>
      </c>
      <c r="J16" s="37">
        <f t="shared" si="1"/>
        <v>6333</v>
      </c>
      <c r="K16" s="37">
        <f t="shared" si="1"/>
        <v>6333</v>
      </c>
      <c r="L16" s="37">
        <f t="shared" si="1"/>
        <v>6333</v>
      </c>
      <c r="M16" s="37">
        <f t="shared" si="1"/>
        <v>6333</v>
      </c>
      <c r="N16" s="37">
        <f t="shared" si="1"/>
        <v>6333</v>
      </c>
      <c r="O16" s="37">
        <f t="shared" si="1"/>
        <v>6333</v>
      </c>
      <c r="P16" s="37">
        <f t="shared" si="1"/>
        <v>6333</v>
      </c>
      <c r="Q16" s="37">
        <f>D16-SUM(F16:P16)</f>
        <v>6337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40000</v>
      </c>
      <c r="E17" s="37" t="s">
        <v>525</v>
      </c>
      <c r="F17" s="37">
        <f>ROUND($D17/12,0)</f>
        <v>3333</v>
      </c>
      <c r="G17" s="37">
        <f t="shared" si="1"/>
        <v>3333</v>
      </c>
      <c r="H17" s="37">
        <f t="shared" si="1"/>
        <v>3333</v>
      </c>
      <c r="I17" s="37">
        <f t="shared" si="1"/>
        <v>3333</v>
      </c>
      <c r="J17" s="37">
        <f t="shared" si="1"/>
        <v>3333</v>
      </c>
      <c r="K17" s="37">
        <f t="shared" si="1"/>
        <v>3333</v>
      </c>
      <c r="L17" s="37">
        <f t="shared" si="1"/>
        <v>3333</v>
      </c>
      <c r="M17" s="37">
        <f t="shared" si="1"/>
        <v>3333</v>
      </c>
      <c r="N17" s="37">
        <f t="shared" si="1"/>
        <v>3333</v>
      </c>
      <c r="O17" s="37">
        <f t="shared" si="1"/>
        <v>3333</v>
      </c>
      <c r="P17" s="37">
        <f t="shared" si="1"/>
        <v>3333</v>
      </c>
      <c r="Q17" s="37">
        <f>D17-SUM(F17:P17)</f>
        <v>3337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10000</v>
      </c>
      <c r="E24" s="37" t="s">
        <v>193</v>
      </c>
      <c r="F24" s="37">
        <f>ROUND($D24/2,-3)</f>
        <v>5000</v>
      </c>
      <c r="G24" s="37"/>
      <c r="H24" s="37"/>
      <c r="I24" s="37"/>
      <c r="J24" s="37"/>
      <c r="K24" s="37"/>
      <c r="L24" s="37">
        <f>D24-F24</f>
        <v>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473000</v>
      </c>
      <c r="E25" s="108"/>
      <c r="F25" s="108">
        <f>ROUND(SUM(F3:F24),-3)</f>
        <v>52000</v>
      </c>
      <c r="G25" s="108">
        <f t="shared" ref="G25:P25" si="5">ROUND(SUM(G3:G24),-3)</f>
        <v>37000</v>
      </c>
      <c r="H25" s="108">
        <f t="shared" si="5"/>
        <v>37000</v>
      </c>
      <c r="I25" s="108">
        <f t="shared" si="5"/>
        <v>37000</v>
      </c>
      <c r="J25" s="108">
        <f t="shared" si="5"/>
        <v>37000</v>
      </c>
      <c r="K25" s="108">
        <f t="shared" si="5"/>
        <v>37000</v>
      </c>
      <c r="L25" s="108">
        <f t="shared" si="5"/>
        <v>52000</v>
      </c>
      <c r="M25" s="108">
        <f t="shared" si="5"/>
        <v>37000</v>
      </c>
      <c r="N25" s="108">
        <f t="shared" si="5"/>
        <v>37000</v>
      </c>
      <c r="O25" s="108">
        <f t="shared" si="5"/>
        <v>37000</v>
      </c>
      <c r="P25" s="108">
        <f t="shared" si="5"/>
        <v>37000</v>
      </c>
      <c r="Q25" s="108">
        <f t="shared" ref="Q25:Q33" si="6">D25-SUM(F25:P25)</f>
        <v>36000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228000</v>
      </c>
      <c r="E27" s="37" t="s">
        <v>525</v>
      </c>
      <c r="F27" s="37">
        <f t="shared" ref="F27:P33" si="8">ROUND($D27/12,0)</f>
        <v>19000</v>
      </c>
      <c r="G27" s="37">
        <f t="shared" si="8"/>
        <v>19000</v>
      </c>
      <c r="H27" s="37">
        <f t="shared" si="8"/>
        <v>19000</v>
      </c>
      <c r="I27" s="37">
        <f t="shared" si="8"/>
        <v>19000</v>
      </c>
      <c r="J27" s="37">
        <f t="shared" si="8"/>
        <v>19000</v>
      </c>
      <c r="K27" s="37">
        <f t="shared" si="8"/>
        <v>19000</v>
      </c>
      <c r="L27" s="37">
        <f t="shared" si="8"/>
        <v>19000</v>
      </c>
      <c r="M27" s="37">
        <f t="shared" si="8"/>
        <v>19000</v>
      </c>
      <c r="N27" s="37">
        <f t="shared" si="8"/>
        <v>19000</v>
      </c>
      <c r="O27" s="37">
        <f t="shared" si="8"/>
        <v>19000</v>
      </c>
      <c r="P27" s="37">
        <f t="shared" si="8"/>
        <v>19000</v>
      </c>
      <c r="Q27" s="37">
        <f t="shared" si="6"/>
        <v>19000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16000</v>
      </c>
      <c r="E29" s="37" t="s">
        <v>525</v>
      </c>
      <c r="F29" s="37">
        <f t="shared" si="8"/>
        <v>1333</v>
      </c>
      <c r="G29" s="37">
        <f t="shared" si="8"/>
        <v>1333</v>
      </c>
      <c r="H29" s="37">
        <f t="shared" si="8"/>
        <v>1333</v>
      </c>
      <c r="I29" s="37">
        <f t="shared" si="8"/>
        <v>1333</v>
      </c>
      <c r="J29" s="37">
        <f t="shared" si="8"/>
        <v>1333</v>
      </c>
      <c r="K29" s="37">
        <f t="shared" si="8"/>
        <v>1333</v>
      </c>
      <c r="L29" s="37">
        <f t="shared" si="8"/>
        <v>1333</v>
      </c>
      <c r="M29" s="37">
        <f t="shared" si="8"/>
        <v>1333</v>
      </c>
      <c r="N29" s="37">
        <f t="shared" si="8"/>
        <v>1333</v>
      </c>
      <c r="O29" s="37">
        <f t="shared" si="8"/>
        <v>1333</v>
      </c>
      <c r="P29" s="37">
        <f t="shared" si="8"/>
        <v>1333</v>
      </c>
      <c r="Q29" s="37">
        <f t="shared" si="6"/>
        <v>1337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4000</v>
      </c>
      <c r="E30" s="37" t="s">
        <v>525</v>
      </c>
      <c r="F30" s="37">
        <f t="shared" si="8"/>
        <v>333</v>
      </c>
      <c r="G30" s="37">
        <f t="shared" si="8"/>
        <v>333</v>
      </c>
      <c r="H30" s="37">
        <f t="shared" si="8"/>
        <v>333</v>
      </c>
      <c r="I30" s="37">
        <f t="shared" si="8"/>
        <v>333</v>
      </c>
      <c r="J30" s="37">
        <f t="shared" si="8"/>
        <v>333</v>
      </c>
      <c r="K30" s="37">
        <f t="shared" si="8"/>
        <v>333</v>
      </c>
      <c r="L30" s="37">
        <f t="shared" si="8"/>
        <v>333</v>
      </c>
      <c r="M30" s="37">
        <f t="shared" si="8"/>
        <v>333</v>
      </c>
      <c r="N30" s="37">
        <f t="shared" si="8"/>
        <v>333</v>
      </c>
      <c r="O30" s="37">
        <f t="shared" si="8"/>
        <v>333</v>
      </c>
      <c r="P30" s="37">
        <f t="shared" si="8"/>
        <v>333</v>
      </c>
      <c r="Q30" s="37">
        <f t="shared" si="6"/>
        <v>337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2000</v>
      </c>
      <c r="E31" s="37" t="s">
        <v>525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250000</v>
      </c>
      <c r="E37" s="108"/>
      <c r="F37" s="108">
        <f t="shared" ref="F37:P37" si="9">ROUND(SUM(F26:F36),-3)</f>
        <v>21000</v>
      </c>
      <c r="G37" s="108">
        <f t="shared" si="9"/>
        <v>21000</v>
      </c>
      <c r="H37" s="108">
        <f t="shared" si="9"/>
        <v>21000</v>
      </c>
      <c r="I37" s="108">
        <f t="shared" si="9"/>
        <v>21000</v>
      </c>
      <c r="J37" s="108">
        <f t="shared" si="9"/>
        <v>21000</v>
      </c>
      <c r="K37" s="108">
        <f t="shared" si="9"/>
        <v>21000</v>
      </c>
      <c r="L37" s="108">
        <f t="shared" si="9"/>
        <v>21000</v>
      </c>
      <c r="M37" s="108">
        <f t="shared" si="9"/>
        <v>21000</v>
      </c>
      <c r="N37" s="108">
        <f t="shared" si="9"/>
        <v>21000</v>
      </c>
      <c r="O37" s="108">
        <f t="shared" si="9"/>
        <v>21000</v>
      </c>
      <c r="P37" s="108">
        <f t="shared" si="9"/>
        <v>21000</v>
      </c>
      <c r="Q37" s="108">
        <f>D37-SUM(F37:P37)</f>
        <v>19000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723000</v>
      </c>
      <c r="E48" s="37"/>
      <c r="F48" s="115">
        <f>F25+F37+F45+F47</f>
        <v>73000</v>
      </c>
      <c r="G48" s="115">
        <f t="shared" ref="G48:R48" si="14">G25+G37+G45+G47</f>
        <v>58000</v>
      </c>
      <c r="H48" s="115">
        <f t="shared" si="14"/>
        <v>58000</v>
      </c>
      <c r="I48" s="115">
        <f t="shared" si="14"/>
        <v>58000</v>
      </c>
      <c r="J48" s="115">
        <f t="shared" si="14"/>
        <v>58000</v>
      </c>
      <c r="K48" s="115">
        <f t="shared" si="14"/>
        <v>58000</v>
      </c>
      <c r="L48" s="115">
        <f t="shared" si="14"/>
        <v>73000</v>
      </c>
      <c r="M48" s="115">
        <f t="shared" si="14"/>
        <v>58000</v>
      </c>
      <c r="N48" s="115">
        <f t="shared" si="14"/>
        <v>58000</v>
      </c>
      <c r="O48" s="115">
        <f t="shared" si="14"/>
        <v>58000</v>
      </c>
      <c r="P48" s="115">
        <f t="shared" si="14"/>
        <v>58000</v>
      </c>
      <c r="Q48" s="115">
        <f t="shared" si="14"/>
        <v>55000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8311000</v>
      </c>
      <c r="E49" s="114" t="s">
        <v>202</v>
      </c>
      <c r="F49" s="37">
        <f>ROUND($D49/12*3,-3)</f>
        <v>2078000</v>
      </c>
      <c r="G49" s="37">
        <f>ROUND($D49/12,-3)</f>
        <v>693000</v>
      </c>
      <c r="H49" s="37">
        <f t="shared" ref="H49:N53" si="15">ROUND($D49/12,-3)</f>
        <v>693000</v>
      </c>
      <c r="I49" s="37">
        <f t="shared" si="15"/>
        <v>693000</v>
      </c>
      <c r="J49" s="37">
        <f t="shared" si="15"/>
        <v>693000</v>
      </c>
      <c r="K49" s="37">
        <f t="shared" si="15"/>
        <v>693000</v>
      </c>
      <c r="L49" s="37">
        <f t="shared" si="15"/>
        <v>693000</v>
      </c>
      <c r="M49" s="37">
        <f t="shared" si="15"/>
        <v>693000</v>
      </c>
      <c r="N49" s="37">
        <f t="shared" si="15"/>
        <v>693000</v>
      </c>
      <c r="O49" s="37">
        <f>D49-SUM(F49:N49)</f>
        <v>689000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0</v>
      </c>
      <c r="E51" s="114" t="s">
        <v>202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5"/>
        <v>0</v>
      </c>
      <c r="N51" s="37">
        <f t="shared" si="15"/>
        <v>0</v>
      </c>
      <c r="O51" s="37">
        <f t="shared" si="18"/>
        <v>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0</v>
      </c>
      <c r="E52" s="114" t="s">
        <v>202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5"/>
        <v>0</v>
      </c>
      <c r="N52" s="37">
        <f t="shared" si="15"/>
        <v>0</v>
      </c>
      <c r="O52" s="37">
        <f t="shared" si="18"/>
        <v>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17000</v>
      </c>
      <c r="E54" s="37" t="s">
        <v>525</v>
      </c>
      <c r="F54" s="37">
        <f t="shared" ref="F54:P61" si="19">ROUND($D54/12,0)</f>
        <v>1417</v>
      </c>
      <c r="G54" s="37">
        <f t="shared" si="19"/>
        <v>1417</v>
      </c>
      <c r="H54" s="37">
        <f t="shared" si="19"/>
        <v>1417</v>
      </c>
      <c r="I54" s="37">
        <f t="shared" si="19"/>
        <v>1417</v>
      </c>
      <c r="J54" s="37">
        <f t="shared" si="19"/>
        <v>1417</v>
      </c>
      <c r="K54" s="37">
        <f t="shared" si="19"/>
        <v>1417</v>
      </c>
      <c r="L54" s="37">
        <f t="shared" si="19"/>
        <v>1417</v>
      </c>
      <c r="M54" s="37">
        <f t="shared" si="19"/>
        <v>1417</v>
      </c>
      <c r="N54" s="37">
        <f t="shared" si="19"/>
        <v>1417</v>
      </c>
      <c r="O54" s="37">
        <f t="shared" si="19"/>
        <v>1417</v>
      </c>
      <c r="P54" s="37">
        <f t="shared" si="19"/>
        <v>1417</v>
      </c>
      <c r="Q54" s="37">
        <f t="shared" ref="Q54:Q61" si="20">D54-SUM(F54:P54)</f>
        <v>1413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313000</v>
      </c>
      <c r="E60" s="37" t="s">
        <v>195</v>
      </c>
      <c r="F60" s="37">
        <f>D60</f>
        <v>313000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824000</v>
      </c>
      <c r="E62" s="37" t="s">
        <v>197</v>
      </c>
      <c r="F62" s="37"/>
      <c r="G62" s="37"/>
      <c r="H62" s="37"/>
      <c r="I62" s="37">
        <f>ROUND($D62/5,-3)</f>
        <v>165000</v>
      </c>
      <c r="J62" s="37"/>
      <c r="K62" s="37"/>
      <c r="L62" s="37"/>
      <c r="M62" s="37"/>
      <c r="N62" s="37">
        <f>D62-I62</f>
        <v>659000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986000</v>
      </c>
      <c r="E63" s="37" t="s">
        <v>195</v>
      </c>
      <c r="F63" s="37">
        <f>D63</f>
        <v>986000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820000</v>
      </c>
      <c r="E64" s="114" t="s">
        <v>202</v>
      </c>
      <c r="F64" s="37">
        <f>ROUND($D64/12*3,-3)</f>
        <v>205000</v>
      </c>
      <c r="G64" s="37">
        <f>ROUND($D64/12,-3)</f>
        <v>68000</v>
      </c>
      <c r="H64" s="37">
        <f t="shared" ref="H64:N66" si="21">ROUND($D64/12,-3)</f>
        <v>68000</v>
      </c>
      <c r="I64" s="37">
        <f t="shared" si="21"/>
        <v>68000</v>
      </c>
      <c r="J64" s="37">
        <f t="shared" si="21"/>
        <v>68000</v>
      </c>
      <c r="K64" s="37">
        <f t="shared" si="21"/>
        <v>68000</v>
      </c>
      <c r="L64" s="37">
        <f t="shared" si="21"/>
        <v>68000</v>
      </c>
      <c r="M64" s="37">
        <f t="shared" si="21"/>
        <v>68000</v>
      </c>
      <c r="N64" s="37">
        <f t="shared" si="21"/>
        <v>68000</v>
      </c>
      <c r="O64" s="37">
        <f>D64-SUM(F64:N64)</f>
        <v>71000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184000</v>
      </c>
      <c r="E65" s="114" t="s">
        <v>202</v>
      </c>
      <c r="F65" s="37">
        <f t="shared" ref="F65:F66" si="22">ROUND($D65/12*3,-3)</f>
        <v>46000</v>
      </c>
      <c r="G65" s="37">
        <f t="shared" ref="G65:G66" si="23">ROUND($D65/12,-3)</f>
        <v>15000</v>
      </c>
      <c r="H65" s="37">
        <f t="shared" si="21"/>
        <v>15000</v>
      </c>
      <c r="I65" s="37">
        <f t="shared" si="21"/>
        <v>15000</v>
      </c>
      <c r="J65" s="37">
        <f t="shared" si="21"/>
        <v>15000</v>
      </c>
      <c r="K65" s="37">
        <f t="shared" si="21"/>
        <v>15000</v>
      </c>
      <c r="L65" s="37">
        <f t="shared" si="21"/>
        <v>15000</v>
      </c>
      <c r="M65" s="37">
        <f t="shared" si="21"/>
        <v>15000</v>
      </c>
      <c r="N65" s="37">
        <f t="shared" si="21"/>
        <v>15000</v>
      </c>
      <c r="O65" s="37">
        <f t="shared" ref="O65:O66" si="24">D65-SUM(F65:N65)</f>
        <v>18000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617000</v>
      </c>
      <c r="E66" s="114" t="s">
        <v>202</v>
      </c>
      <c r="F66" s="37">
        <f t="shared" si="22"/>
        <v>154000</v>
      </c>
      <c r="G66" s="37">
        <f t="shared" si="23"/>
        <v>51000</v>
      </c>
      <c r="H66" s="37">
        <f t="shared" si="21"/>
        <v>51000</v>
      </c>
      <c r="I66" s="37">
        <f t="shared" si="21"/>
        <v>51000</v>
      </c>
      <c r="J66" s="37">
        <f t="shared" si="21"/>
        <v>51000</v>
      </c>
      <c r="K66" s="37">
        <f t="shared" si="21"/>
        <v>51000</v>
      </c>
      <c r="L66" s="37">
        <f t="shared" si="21"/>
        <v>51000</v>
      </c>
      <c r="M66" s="37">
        <f t="shared" si="21"/>
        <v>51000</v>
      </c>
      <c r="N66" s="37">
        <f t="shared" si="21"/>
        <v>51000</v>
      </c>
      <c r="O66" s="37">
        <f t="shared" si="24"/>
        <v>55000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13000</v>
      </c>
      <c r="E67" s="37" t="s">
        <v>196</v>
      </c>
      <c r="F67" s="37"/>
      <c r="G67" s="37"/>
      <c r="H67" s="37">
        <f>D67</f>
        <v>13000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110000</v>
      </c>
      <c r="E68" s="37" t="s">
        <v>195</v>
      </c>
      <c r="F68" s="37">
        <f>D68</f>
        <v>110000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12219000</v>
      </c>
      <c r="E70" s="108"/>
      <c r="F70" s="108">
        <f t="shared" ref="F70:P70" si="25">ROUND(SUM(F49:F69),-3)</f>
        <v>3895000</v>
      </c>
      <c r="G70" s="108">
        <f t="shared" si="25"/>
        <v>830000</v>
      </c>
      <c r="H70" s="108">
        <f t="shared" si="25"/>
        <v>843000</v>
      </c>
      <c r="I70" s="108">
        <f t="shared" si="25"/>
        <v>995000</v>
      </c>
      <c r="J70" s="108">
        <f t="shared" si="25"/>
        <v>830000</v>
      </c>
      <c r="K70" s="108">
        <f t="shared" si="25"/>
        <v>830000</v>
      </c>
      <c r="L70" s="108">
        <f t="shared" si="25"/>
        <v>830000</v>
      </c>
      <c r="M70" s="108">
        <f t="shared" si="25"/>
        <v>830000</v>
      </c>
      <c r="N70" s="108">
        <f t="shared" si="25"/>
        <v>1489000</v>
      </c>
      <c r="O70" s="108">
        <f t="shared" si="25"/>
        <v>836000</v>
      </c>
      <c r="P70" s="108">
        <f t="shared" si="25"/>
        <v>3000</v>
      </c>
      <c r="Q70" s="108">
        <f>D70-SUM(F70:P70)</f>
        <v>8000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741000</v>
      </c>
      <c r="E72" s="114" t="s">
        <v>202</v>
      </c>
      <c r="F72" s="37">
        <f>ROUND($D72/12*3,-3)</f>
        <v>185000</v>
      </c>
      <c r="G72" s="37">
        <f>ROUND($D72/12,-3)</f>
        <v>62000</v>
      </c>
      <c r="H72" s="37">
        <f t="shared" ref="H72:N75" si="26">ROUND($D72/12,-3)</f>
        <v>62000</v>
      </c>
      <c r="I72" s="37">
        <f t="shared" si="26"/>
        <v>62000</v>
      </c>
      <c r="J72" s="37">
        <f t="shared" si="26"/>
        <v>62000</v>
      </c>
      <c r="K72" s="37">
        <f t="shared" si="26"/>
        <v>62000</v>
      </c>
      <c r="L72" s="37">
        <f t="shared" si="26"/>
        <v>62000</v>
      </c>
      <c r="M72" s="37">
        <f t="shared" si="26"/>
        <v>62000</v>
      </c>
      <c r="N72" s="37">
        <f t="shared" si="26"/>
        <v>62000</v>
      </c>
      <c r="O72" s="37">
        <f>D72-SUM(F72:N72)</f>
        <v>60000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741000</v>
      </c>
      <c r="E76" s="108"/>
      <c r="F76" s="108">
        <f>ROUND(SUM(F71:F75),-3)</f>
        <v>185000</v>
      </c>
      <c r="G76" s="108">
        <f t="shared" ref="G76:N76" si="27">ROUND(SUM(G71:G75),-3)</f>
        <v>62000</v>
      </c>
      <c r="H76" s="108">
        <f t="shared" si="27"/>
        <v>62000</v>
      </c>
      <c r="I76" s="108">
        <f t="shared" si="27"/>
        <v>62000</v>
      </c>
      <c r="J76" s="108">
        <f t="shared" si="27"/>
        <v>62000</v>
      </c>
      <c r="K76" s="108">
        <f t="shared" si="27"/>
        <v>62000</v>
      </c>
      <c r="L76" s="108">
        <f t="shared" si="27"/>
        <v>62000</v>
      </c>
      <c r="M76" s="108">
        <f t="shared" si="27"/>
        <v>62000</v>
      </c>
      <c r="N76" s="108">
        <f t="shared" si="27"/>
        <v>62000</v>
      </c>
      <c r="O76" s="108">
        <f>D76-SUM(F76:N76)</f>
        <v>60000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324000</v>
      </c>
      <c r="E77" s="37" t="s">
        <v>681</v>
      </c>
      <c r="F77" s="224"/>
      <c r="G77" s="224"/>
      <c r="H77" s="224">
        <f>ROUND($D77/2,-3)</f>
        <v>162000</v>
      </c>
      <c r="I77" s="224"/>
      <c r="J77" s="224"/>
      <c r="K77" s="224"/>
      <c r="L77" s="224"/>
      <c r="M77" s="224"/>
      <c r="N77" s="224">
        <f>D77-H77</f>
        <v>162000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13284000</v>
      </c>
      <c r="E78" s="227"/>
      <c r="F78" s="227">
        <f>F76+F70+F77</f>
        <v>4080000</v>
      </c>
      <c r="G78" s="227">
        <f t="shared" ref="G78:Q78" si="29">G76+G70+G77</f>
        <v>892000</v>
      </c>
      <c r="H78" s="227">
        <f t="shared" si="29"/>
        <v>1067000</v>
      </c>
      <c r="I78" s="227">
        <f t="shared" si="29"/>
        <v>1057000</v>
      </c>
      <c r="J78" s="227">
        <f t="shared" si="29"/>
        <v>892000</v>
      </c>
      <c r="K78" s="227">
        <f t="shared" si="29"/>
        <v>892000</v>
      </c>
      <c r="L78" s="227">
        <f t="shared" si="29"/>
        <v>892000</v>
      </c>
      <c r="M78" s="227">
        <f t="shared" si="29"/>
        <v>892000</v>
      </c>
      <c r="N78" s="227">
        <f t="shared" si="29"/>
        <v>1713000</v>
      </c>
      <c r="O78" s="227">
        <f t="shared" si="29"/>
        <v>896000</v>
      </c>
      <c r="P78" s="227">
        <f t="shared" si="29"/>
        <v>3000</v>
      </c>
      <c r="Q78" s="227">
        <f t="shared" si="29"/>
        <v>8000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14007000</v>
      </c>
      <c r="E87" s="37"/>
      <c r="F87" s="37">
        <f>F88+F89+F90+F91</f>
        <v>4153000</v>
      </c>
      <c r="G87" s="37">
        <f t="shared" ref="G87:Q87" si="32">G88+G89+G90+G91</f>
        <v>950000</v>
      </c>
      <c r="H87" s="37">
        <f t="shared" si="32"/>
        <v>1125000</v>
      </c>
      <c r="I87" s="37">
        <f t="shared" si="32"/>
        <v>1115000</v>
      </c>
      <c r="J87" s="37">
        <f t="shared" si="32"/>
        <v>950000</v>
      </c>
      <c r="K87" s="37">
        <f t="shared" si="32"/>
        <v>950000</v>
      </c>
      <c r="L87" s="37">
        <f t="shared" si="32"/>
        <v>965000</v>
      </c>
      <c r="M87" s="37">
        <f t="shared" si="32"/>
        <v>950000</v>
      </c>
      <c r="N87" s="37">
        <f t="shared" si="32"/>
        <v>1771000</v>
      </c>
      <c r="O87" s="37">
        <f t="shared" si="32"/>
        <v>954000</v>
      </c>
      <c r="P87" s="37">
        <f t="shared" si="32"/>
        <v>61000</v>
      </c>
      <c r="Q87" s="37">
        <f t="shared" si="32"/>
        <v>63000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10000</v>
      </c>
      <c r="E88" s="108" t="s">
        <v>193</v>
      </c>
      <c r="F88" s="108">
        <f>ROUND($D88/2,-3)</f>
        <v>5000</v>
      </c>
      <c r="G88" s="108"/>
      <c r="H88" s="108"/>
      <c r="I88" s="108"/>
      <c r="J88" s="108"/>
      <c r="K88" s="108"/>
      <c r="L88" s="108">
        <f>D88-F88</f>
        <v>5000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13996000</v>
      </c>
      <c r="E91" s="108"/>
      <c r="F91" s="108">
        <f>F92+F93+F94+F95</f>
        <v>4148000</v>
      </c>
      <c r="G91" s="108">
        <f t="shared" ref="G91:Q91" si="34">G92+G93+G94+G95</f>
        <v>950000</v>
      </c>
      <c r="H91" s="108">
        <f t="shared" si="34"/>
        <v>1125000</v>
      </c>
      <c r="I91" s="108">
        <f t="shared" si="34"/>
        <v>1115000</v>
      </c>
      <c r="J91" s="108">
        <f t="shared" si="34"/>
        <v>950000</v>
      </c>
      <c r="K91" s="108">
        <f t="shared" si="34"/>
        <v>950000</v>
      </c>
      <c r="L91" s="108">
        <f t="shared" si="34"/>
        <v>960000</v>
      </c>
      <c r="M91" s="108">
        <f t="shared" si="34"/>
        <v>950000</v>
      </c>
      <c r="N91" s="108">
        <f t="shared" si="34"/>
        <v>1771000</v>
      </c>
      <c r="O91" s="108">
        <f t="shared" si="34"/>
        <v>954000</v>
      </c>
      <c r="P91" s="108">
        <f t="shared" si="34"/>
        <v>61000</v>
      </c>
      <c r="Q91" s="108">
        <f t="shared" si="34"/>
        <v>62000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650000</v>
      </c>
      <c r="E92" s="114" t="s">
        <v>537</v>
      </c>
      <c r="F92" s="37">
        <f>ROUND($D92/12*5,-3)</f>
        <v>271000</v>
      </c>
      <c r="G92" s="37">
        <f>ROUND($D92/12,-3)</f>
        <v>54000</v>
      </c>
      <c r="H92" s="37">
        <f t="shared" ref="H92:L92" si="35">ROUND($D92/12,-3)</f>
        <v>54000</v>
      </c>
      <c r="I92" s="37">
        <f t="shared" si="35"/>
        <v>54000</v>
      </c>
      <c r="J92" s="37">
        <f t="shared" si="35"/>
        <v>54000</v>
      </c>
      <c r="K92" s="37">
        <f t="shared" si="35"/>
        <v>54000</v>
      </c>
      <c r="L92" s="37">
        <f t="shared" si="35"/>
        <v>54000</v>
      </c>
      <c r="M92" s="37">
        <f>D92-SUM(F92:L92)</f>
        <v>55000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51000</v>
      </c>
      <c r="E93" s="189" t="s">
        <v>227</v>
      </c>
      <c r="F93" s="37">
        <f>ROUND($D93/12,-3)</f>
        <v>4000</v>
      </c>
      <c r="G93" s="37">
        <f t="shared" ref="G93:P93" si="36">ROUND($D93/12,-3)</f>
        <v>4000</v>
      </c>
      <c r="H93" s="37">
        <f t="shared" si="36"/>
        <v>4000</v>
      </c>
      <c r="I93" s="37">
        <f t="shared" si="36"/>
        <v>4000</v>
      </c>
      <c r="J93" s="37">
        <f t="shared" si="36"/>
        <v>4000</v>
      </c>
      <c r="K93" s="37">
        <f t="shared" si="36"/>
        <v>4000</v>
      </c>
      <c r="L93" s="37">
        <f t="shared" si="36"/>
        <v>4000</v>
      </c>
      <c r="M93" s="37">
        <f t="shared" si="36"/>
        <v>4000</v>
      </c>
      <c r="N93" s="37">
        <f t="shared" si="36"/>
        <v>4000</v>
      </c>
      <c r="O93" s="37">
        <f t="shared" si="36"/>
        <v>4000</v>
      </c>
      <c r="P93" s="37">
        <f t="shared" si="36"/>
        <v>4000</v>
      </c>
      <c r="Q93" s="37">
        <f>D93-SUM(F93:P93)</f>
        <v>7000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13295000</v>
      </c>
      <c r="E95" s="37"/>
      <c r="F95" s="37">
        <f>F2+F86-F88-F89-F90-F92-F93-F94</f>
        <v>3873000</v>
      </c>
      <c r="G95" s="37">
        <f t="shared" ref="G95:Q95" si="37">G2-G88-G89-G90-G92-G93-G94</f>
        <v>892000</v>
      </c>
      <c r="H95" s="37">
        <f t="shared" si="37"/>
        <v>1067000</v>
      </c>
      <c r="I95" s="37">
        <f t="shared" si="37"/>
        <v>1057000</v>
      </c>
      <c r="J95" s="37">
        <f t="shared" si="37"/>
        <v>892000</v>
      </c>
      <c r="K95" s="37">
        <f t="shared" si="37"/>
        <v>892000</v>
      </c>
      <c r="L95" s="37">
        <f t="shared" si="37"/>
        <v>902000</v>
      </c>
      <c r="M95" s="37">
        <f t="shared" si="37"/>
        <v>891000</v>
      </c>
      <c r="N95" s="37">
        <f t="shared" si="37"/>
        <v>1767000</v>
      </c>
      <c r="O95" s="37">
        <f t="shared" si="37"/>
        <v>950000</v>
      </c>
      <c r="P95" s="37">
        <f t="shared" si="37"/>
        <v>57000</v>
      </c>
      <c r="Q95" s="37">
        <f t="shared" si="37"/>
        <v>55000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0</v>
      </c>
    </row>
    <row r="102" spans="2:17" ht="32.4">
      <c r="B102" s="71" t="s">
        <v>238</v>
      </c>
      <c r="D102" s="30">
        <f>HLOOKUP(D1,[1]縣庫撥款收入明細表!H:DD,16,FALSE)</f>
        <v>48000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0</v>
      </c>
    </row>
    <row r="106" spans="2:17" ht="32.4">
      <c r="B106" s="71" t="s">
        <v>241</v>
      </c>
      <c r="D106" s="30">
        <f>HLOOKUP(D1,[1]縣庫撥款收入明細表!H:DD,20,FALSE)</f>
        <v>3000</v>
      </c>
    </row>
    <row r="107" spans="2:17" ht="32.4">
      <c r="B107" s="77" t="s">
        <v>242</v>
      </c>
      <c r="D107" s="30">
        <f>HLOOKUP(D1,[1]縣庫撥款收入明細表!H:DD,21,FALSE)</f>
        <v>13295000</v>
      </c>
    </row>
    <row r="108" spans="2:17" ht="16.5" customHeight="1"/>
    <row r="109" spans="2:17" ht="16.5" customHeight="1">
      <c r="B109" s="4" t="s">
        <v>682</v>
      </c>
      <c r="D109" s="30">
        <f>D91-D76</f>
        <v>13255000</v>
      </c>
      <c r="F109" s="30">
        <f>F91-F76</f>
        <v>3963000</v>
      </c>
      <c r="G109" s="30">
        <f t="shared" ref="G109:Q109" si="38">G91-G76</f>
        <v>888000</v>
      </c>
      <c r="H109" s="30">
        <f t="shared" si="38"/>
        <v>1063000</v>
      </c>
      <c r="I109" s="30">
        <f t="shared" si="38"/>
        <v>1053000</v>
      </c>
      <c r="J109" s="30">
        <f t="shared" si="38"/>
        <v>888000</v>
      </c>
      <c r="K109" s="30">
        <f t="shared" si="38"/>
        <v>888000</v>
      </c>
      <c r="L109" s="30">
        <f t="shared" si="38"/>
        <v>898000</v>
      </c>
      <c r="M109" s="30">
        <f t="shared" si="38"/>
        <v>888000</v>
      </c>
      <c r="N109" s="30">
        <f t="shared" si="38"/>
        <v>1709000</v>
      </c>
      <c r="O109" s="30">
        <f t="shared" si="38"/>
        <v>894000</v>
      </c>
      <c r="P109" s="30">
        <f t="shared" si="38"/>
        <v>61000</v>
      </c>
      <c r="Q109" s="30">
        <f t="shared" si="38"/>
        <v>62000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04" priority="1" operator="lessThan">
      <formula>0</formula>
    </cfRule>
  </conditionalFormatting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zoomScale="85" zoomScaleNormal="85"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656</v>
      </c>
      <c r="D1" s="28" t="str">
        <f>VLOOKUP(C1,[1]學校編號!A:B,2,FALSE)</f>
        <v>656靜浦國小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19797000</v>
      </c>
      <c r="E2" s="37"/>
      <c r="F2" s="37">
        <f>F48+F70+F76+F77+F83</f>
        <v>5902000</v>
      </c>
      <c r="G2" s="37">
        <f t="shared" ref="G2:Q2" si="0">G48+G70+G76+G77+G83</f>
        <v>1352000</v>
      </c>
      <c r="H2" s="37">
        <f t="shared" si="0"/>
        <v>1504000</v>
      </c>
      <c r="I2" s="37">
        <f t="shared" si="0"/>
        <v>1605000</v>
      </c>
      <c r="J2" s="37">
        <f t="shared" si="0"/>
        <v>1352000</v>
      </c>
      <c r="K2" s="37">
        <f t="shared" si="0"/>
        <v>1354000</v>
      </c>
      <c r="L2" s="37">
        <f t="shared" si="0"/>
        <v>1387000</v>
      </c>
      <c r="M2" s="37">
        <f t="shared" si="0"/>
        <v>1352000</v>
      </c>
      <c r="N2" s="37">
        <f t="shared" si="0"/>
        <v>2506000</v>
      </c>
      <c r="O2" s="37">
        <f t="shared" si="0"/>
        <v>1349000</v>
      </c>
      <c r="P2" s="37">
        <f t="shared" si="0"/>
        <v>72000</v>
      </c>
      <c r="Q2" s="37">
        <f t="shared" si="0"/>
        <v>62000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30000</v>
      </c>
      <c r="E15" s="37" t="s">
        <v>193</v>
      </c>
      <c r="F15" s="37">
        <f>ROUND($D15/2,-3)</f>
        <v>15000</v>
      </c>
      <c r="G15" s="37"/>
      <c r="H15" s="37"/>
      <c r="I15" s="37"/>
      <c r="J15" s="37"/>
      <c r="K15" s="37"/>
      <c r="L15" s="37">
        <f>D15-F15</f>
        <v>15000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40000</v>
      </c>
      <c r="E24" s="37" t="s">
        <v>193</v>
      </c>
      <c r="F24" s="37">
        <f>ROUND($D24/2,-3)</f>
        <v>20000</v>
      </c>
      <c r="G24" s="37"/>
      <c r="H24" s="37"/>
      <c r="I24" s="37"/>
      <c r="J24" s="37"/>
      <c r="K24" s="37"/>
      <c r="L24" s="37">
        <f>D24-F24</f>
        <v>20000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596000</v>
      </c>
      <c r="E25" s="108"/>
      <c r="F25" s="108">
        <f>ROUND(SUM(F3:F24),-3)</f>
        <v>79000</v>
      </c>
      <c r="G25" s="108">
        <f t="shared" ref="G25:P25" si="5">ROUND(SUM(G3:G24),-3)</f>
        <v>44000</v>
      </c>
      <c r="H25" s="108">
        <f t="shared" si="5"/>
        <v>44000</v>
      </c>
      <c r="I25" s="108">
        <f t="shared" si="5"/>
        <v>44000</v>
      </c>
      <c r="J25" s="108">
        <f t="shared" si="5"/>
        <v>44000</v>
      </c>
      <c r="K25" s="108">
        <f t="shared" si="5"/>
        <v>44000</v>
      </c>
      <c r="L25" s="108">
        <f t="shared" si="5"/>
        <v>79000</v>
      </c>
      <c r="M25" s="108">
        <f t="shared" si="5"/>
        <v>44000</v>
      </c>
      <c r="N25" s="108">
        <f t="shared" si="5"/>
        <v>44000</v>
      </c>
      <c r="O25" s="108">
        <f t="shared" si="5"/>
        <v>44000</v>
      </c>
      <c r="P25" s="108">
        <f t="shared" si="5"/>
        <v>44000</v>
      </c>
      <c r="Q25" s="108">
        <f t="shared" ref="Q25:Q33" si="6">D25-SUM(F25:P25)</f>
        <v>42000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5000</v>
      </c>
      <c r="E30" s="37" t="s">
        <v>525</v>
      </c>
      <c r="F30" s="37">
        <f t="shared" si="8"/>
        <v>417</v>
      </c>
      <c r="G30" s="37">
        <f t="shared" si="8"/>
        <v>417</v>
      </c>
      <c r="H30" s="37">
        <f t="shared" si="8"/>
        <v>417</v>
      </c>
      <c r="I30" s="37">
        <f t="shared" si="8"/>
        <v>417</v>
      </c>
      <c r="J30" s="37">
        <f t="shared" si="8"/>
        <v>417</v>
      </c>
      <c r="K30" s="37">
        <f t="shared" si="8"/>
        <v>417</v>
      </c>
      <c r="L30" s="37">
        <f t="shared" si="8"/>
        <v>417</v>
      </c>
      <c r="M30" s="37">
        <f t="shared" si="8"/>
        <v>417</v>
      </c>
      <c r="N30" s="37">
        <f t="shared" si="8"/>
        <v>417</v>
      </c>
      <c r="O30" s="37">
        <f t="shared" si="8"/>
        <v>417</v>
      </c>
      <c r="P30" s="37">
        <f t="shared" si="8"/>
        <v>417</v>
      </c>
      <c r="Q30" s="37">
        <f t="shared" si="6"/>
        <v>413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2000</v>
      </c>
      <c r="E31" s="37" t="s">
        <v>525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273000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20000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875000</v>
      </c>
      <c r="E48" s="37"/>
      <c r="F48" s="115">
        <f>F25+F37+F45+F47</f>
        <v>104000</v>
      </c>
      <c r="G48" s="115">
        <f t="shared" ref="G48:R48" si="14">G25+G37+G45+G47</f>
        <v>67000</v>
      </c>
      <c r="H48" s="115">
        <f t="shared" si="14"/>
        <v>67000</v>
      </c>
      <c r="I48" s="115">
        <f t="shared" si="14"/>
        <v>67000</v>
      </c>
      <c r="J48" s="115">
        <f t="shared" si="14"/>
        <v>67000</v>
      </c>
      <c r="K48" s="115">
        <f t="shared" si="14"/>
        <v>69000</v>
      </c>
      <c r="L48" s="115">
        <f t="shared" si="14"/>
        <v>102000</v>
      </c>
      <c r="M48" s="115">
        <f t="shared" si="14"/>
        <v>67000</v>
      </c>
      <c r="N48" s="115">
        <f t="shared" si="14"/>
        <v>69000</v>
      </c>
      <c r="O48" s="115">
        <f t="shared" si="14"/>
        <v>67000</v>
      </c>
      <c r="P48" s="115">
        <f t="shared" si="14"/>
        <v>67000</v>
      </c>
      <c r="Q48" s="115">
        <f t="shared" si="14"/>
        <v>62000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11582000</v>
      </c>
      <c r="E49" s="114" t="s">
        <v>202</v>
      </c>
      <c r="F49" s="37">
        <f>ROUND($D49/12*3,-3)</f>
        <v>2896000</v>
      </c>
      <c r="G49" s="37">
        <f>ROUND($D49/12,-3)</f>
        <v>965000</v>
      </c>
      <c r="H49" s="37">
        <f t="shared" ref="H49:N53" si="15">ROUND($D49/12,-3)</f>
        <v>965000</v>
      </c>
      <c r="I49" s="37">
        <f t="shared" si="15"/>
        <v>965000</v>
      </c>
      <c r="J49" s="37">
        <f t="shared" si="15"/>
        <v>965000</v>
      </c>
      <c r="K49" s="37">
        <f t="shared" si="15"/>
        <v>965000</v>
      </c>
      <c r="L49" s="37">
        <f t="shared" si="15"/>
        <v>965000</v>
      </c>
      <c r="M49" s="37">
        <f t="shared" si="15"/>
        <v>965000</v>
      </c>
      <c r="N49" s="37">
        <f t="shared" si="15"/>
        <v>965000</v>
      </c>
      <c r="O49" s="37">
        <f>D49-SUM(F49:N49)</f>
        <v>966000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738000</v>
      </c>
      <c r="E51" s="114" t="s">
        <v>202</v>
      </c>
      <c r="F51" s="37">
        <f t="shared" si="16"/>
        <v>185000</v>
      </c>
      <c r="G51" s="37">
        <f t="shared" si="17"/>
        <v>62000</v>
      </c>
      <c r="H51" s="37">
        <f t="shared" si="15"/>
        <v>62000</v>
      </c>
      <c r="I51" s="37">
        <f t="shared" si="15"/>
        <v>62000</v>
      </c>
      <c r="J51" s="37">
        <f t="shared" si="15"/>
        <v>62000</v>
      </c>
      <c r="K51" s="37">
        <f t="shared" si="15"/>
        <v>62000</v>
      </c>
      <c r="L51" s="37">
        <f t="shared" si="15"/>
        <v>62000</v>
      </c>
      <c r="M51" s="37">
        <f t="shared" si="15"/>
        <v>62000</v>
      </c>
      <c r="N51" s="37">
        <f t="shared" si="15"/>
        <v>62000</v>
      </c>
      <c r="O51" s="37">
        <f t="shared" si="18"/>
        <v>57000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327000</v>
      </c>
      <c r="E60" s="37" t="s">
        <v>195</v>
      </c>
      <c r="F60" s="37">
        <f>D60</f>
        <v>327000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1267000</v>
      </c>
      <c r="E62" s="37" t="s">
        <v>197</v>
      </c>
      <c r="F62" s="37"/>
      <c r="G62" s="37"/>
      <c r="H62" s="37"/>
      <c r="I62" s="37">
        <f>ROUND($D62/5,-3)</f>
        <v>253000</v>
      </c>
      <c r="J62" s="37"/>
      <c r="K62" s="37"/>
      <c r="L62" s="37"/>
      <c r="M62" s="37"/>
      <c r="N62" s="37">
        <f>D62-I62</f>
        <v>1014000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1381000</v>
      </c>
      <c r="E63" s="37" t="s">
        <v>195</v>
      </c>
      <c r="F63" s="37">
        <f>D63</f>
        <v>1381000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1140000</v>
      </c>
      <c r="E64" s="114" t="s">
        <v>202</v>
      </c>
      <c r="F64" s="37">
        <f>ROUND($D64/12*3,-3)</f>
        <v>285000</v>
      </c>
      <c r="G64" s="37">
        <f>ROUND($D64/12,-3)</f>
        <v>95000</v>
      </c>
      <c r="H64" s="37">
        <f t="shared" ref="H64:N66" si="21">ROUND($D64/12,-3)</f>
        <v>95000</v>
      </c>
      <c r="I64" s="37">
        <f t="shared" si="21"/>
        <v>95000</v>
      </c>
      <c r="J64" s="37">
        <f t="shared" si="21"/>
        <v>95000</v>
      </c>
      <c r="K64" s="37">
        <f t="shared" si="21"/>
        <v>95000</v>
      </c>
      <c r="L64" s="37">
        <f t="shared" si="21"/>
        <v>95000</v>
      </c>
      <c r="M64" s="37">
        <f t="shared" si="21"/>
        <v>95000</v>
      </c>
      <c r="N64" s="37">
        <f t="shared" si="21"/>
        <v>95000</v>
      </c>
      <c r="O64" s="37">
        <f>D64-SUM(F64:N64)</f>
        <v>95000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255000</v>
      </c>
      <c r="E65" s="114" t="s">
        <v>202</v>
      </c>
      <c r="F65" s="37">
        <f t="shared" ref="F65:F66" si="22">ROUND($D65/12*3,-3)</f>
        <v>64000</v>
      </c>
      <c r="G65" s="37">
        <f t="shared" ref="G65:G66" si="23">ROUND($D65/12,-3)</f>
        <v>21000</v>
      </c>
      <c r="H65" s="37">
        <f t="shared" si="21"/>
        <v>21000</v>
      </c>
      <c r="I65" s="37">
        <f t="shared" si="21"/>
        <v>21000</v>
      </c>
      <c r="J65" s="37">
        <f t="shared" si="21"/>
        <v>21000</v>
      </c>
      <c r="K65" s="37">
        <f t="shared" si="21"/>
        <v>21000</v>
      </c>
      <c r="L65" s="37">
        <f t="shared" si="21"/>
        <v>21000</v>
      </c>
      <c r="M65" s="37">
        <f t="shared" si="21"/>
        <v>21000</v>
      </c>
      <c r="N65" s="37">
        <f t="shared" si="21"/>
        <v>21000</v>
      </c>
      <c r="O65" s="37">
        <f t="shared" ref="O65:O66" si="24">D65-SUM(F65:N65)</f>
        <v>23000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862000</v>
      </c>
      <c r="E66" s="114" t="s">
        <v>202</v>
      </c>
      <c r="F66" s="37">
        <f t="shared" si="22"/>
        <v>216000</v>
      </c>
      <c r="G66" s="37">
        <f t="shared" si="23"/>
        <v>72000</v>
      </c>
      <c r="H66" s="37">
        <f t="shared" si="21"/>
        <v>72000</v>
      </c>
      <c r="I66" s="37">
        <f t="shared" si="21"/>
        <v>72000</v>
      </c>
      <c r="J66" s="37">
        <f t="shared" si="21"/>
        <v>72000</v>
      </c>
      <c r="K66" s="37">
        <f t="shared" si="21"/>
        <v>72000</v>
      </c>
      <c r="L66" s="37">
        <f t="shared" si="21"/>
        <v>72000</v>
      </c>
      <c r="M66" s="37">
        <f t="shared" si="21"/>
        <v>72000</v>
      </c>
      <c r="N66" s="37">
        <f t="shared" si="21"/>
        <v>72000</v>
      </c>
      <c r="O66" s="37">
        <f t="shared" si="24"/>
        <v>70000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13000</v>
      </c>
      <c r="E67" s="37" t="s">
        <v>196</v>
      </c>
      <c r="F67" s="37"/>
      <c r="G67" s="37"/>
      <c r="H67" s="37">
        <f>D67</f>
        <v>13000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144000</v>
      </c>
      <c r="E68" s="37" t="s">
        <v>195</v>
      </c>
      <c r="F68" s="37">
        <f>D68</f>
        <v>144000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18029000</v>
      </c>
      <c r="E70" s="108"/>
      <c r="F70" s="108">
        <f t="shared" ref="F70:P70" si="25">ROUND(SUM(F49:F69),-3)</f>
        <v>5569000</v>
      </c>
      <c r="G70" s="108">
        <f t="shared" si="25"/>
        <v>1242000</v>
      </c>
      <c r="H70" s="108">
        <f t="shared" si="25"/>
        <v>1255000</v>
      </c>
      <c r="I70" s="108">
        <f t="shared" si="25"/>
        <v>1495000</v>
      </c>
      <c r="J70" s="108">
        <f t="shared" si="25"/>
        <v>1242000</v>
      </c>
      <c r="K70" s="108">
        <f t="shared" si="25"/>
        <v>1242000</v>
      </c>
      <c r="L70" s="108">
        <f t="shared" si="25"/>
        <v>1242000</v>
      </c>
      <c r="M70" s="108">
        <f t="shared" si="25"/>
        <v>1242000</v>
      </c>
      <c r="N70" s="108">
        <f t="shared" si="25"/>
        <v>2256000</v>
      </c>
      <c r="O70" s="108">
        <f t="shared" si="25"/>
        <v>1239000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516000</v>
      </c>
      <c r="E72" s="114" t="s">
        <v>202</v>
      </c>
      <c r="F72" s="37">
        <f>ROUND($D72/12*3,-3)</f>
        <v>129000</v>
      </c>
      <c r="G72" s="37">
        <f>ROUND($D72/12,-3)</f>
        <v>43000</v>
      </c>
      <c r="H72" s="37">
        <f t="shared" ref="H72:N75" si="26">ROUND($D72/12,-3)</f>
        <v>43000</v>
      </c>
      <c r="I72" s="37">
        <f t="shared" si="26"/>
        <v>43000</v>
      </c>
      <c r="J72" s="37">
        <f t="shared" si="26"/>
        <v>43000</v>
      </c>
      <c r="K72" s="37">
        <f t="shared" si="26"/>
        <v>43000</v>
      </c>
      <c r="L72" s="37">
        <f t="shared" si="26"/>
        <v>43000</v>
      </c>
      <c r="M72" s="37">
        <f t="shared" si="26"/>
        <v>43000</v>
      </c>
      <c r="N72" s="37">
        <f t="shared" si="26"/>
        <v>43000</v>
      </c>
      <c r="O72" s="37">
        <f>D72-SUM(F72:N72)</f>
        <v>43000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516000</v>
      </c>
      <c r="E76" s="108"/>
      <c r="F76" s="108">
        <f>ROUND(SUM(F71:F75),-3)</f>
        <v>129000</v>
      </c>
      <c r="G76" s="108">
        <f t="shared" ref="G76:N76" si="27">ROUND(SUM(G71:G75),-3)</f>
        <v>43000</v>
      </c>
      <c r="H76" s="108">
        <f t="shared" si="27"/>
        <v>43000</v>
      </c>
      <c r="I76" s="108">
        <f t="shared" si="27"/>
        <v>43000</v>
      </c>
      <c r="J76" s="108">
        <f t="shared" si="27"/>
        <v>43000</v>
      </c>
      <c r="K76" s="108">
        <f t="shared" si="27"/>
        <v>43000</v>
      </c>
      <c r="L76" s="108">
        <f t="shared" si="27"/>
        <v>43000</v>
      </c>
      <c r="M76" s="108">
        <f t="shared" si="27"/>
        <v>43000</v>
      </c>
      <c r="N76" s="108">
        <f t="shared" si="27"/>
        <v>43000</v>
      </c>
      <c r="O76" s="108">
        <f>D76-SUM(F76:N76)</f>
        <v>43000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277000</v>
      </c>
      <c r="E77" s="37" t="s">
        <v>681</v>
      </c>
      <c r="F77" s="224"/>
      <c r="G77" s="224"/>
      <c r="H77" s="224">
        <f>ROUND($D77/2,-3)</f>
        <v>139000</v>
      </c>
      <c r="I77" s="224"/>
      <c r="J77" s="224"/>
      <c r="K77" s="224"/>
      <c r="L77" s="224"/>
      <c r="M77" s="224"/>
      <c r="N77" s="224">
        <f>D77-H77</f>
        <v>138000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18822000</v>
      </c>
      <c r="E78" s="227"/>
      <c r="F78" s="227">
        <f>F76+F70+F77</f>
        <v>5698000</v>
      </c>
      <c r="G78" s="227">
        <f t="shared" ref="G78:Q78" si="29">G76+G70+G77</f>
        <v>1285000</v>
      </c>
      <c r="H78" s="227">
        <f t="shared" si="29"/>
        <v>1437000</v>
      </c>
      <c r="I78" s="227">
        <f t="shared" si="29"/>
        <v>1538000</v>
      </c>
      <c r="J78" s="227">
        <f t="shared" si="29"/>
        <v>1285000</v>
      </c>
      <c r="K78" s="227">
        <f t="shared" si="29"/>
        <v>1285000</v>
      </c>
      <c r="L78" s="227">
        <f t="shared" si="29"/>
        <v>1285000</v>
      </c>
      <c r="M78" s="227">
        <f t="shared" si="29"/>
        <v>1285000</v>
      </c>
      <c r="N78" s="227">
        <f t="shared" si="29"/>
        <v>2437000</v>
      </c>
      <c r="O78" s="227">
        <f t="shared" si="29"/>
        <v>1282000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100000</v>
      </c>
      <c r="E79" s="108" t="s">
        <v>195</v>
      </c>
      <c r="F79" s="108">
        <f>D79</f>
        <v>100000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100000</v>
      </c>
      <c r="E83" s="116"/>
      <c r="F83" s="116">
        <f>SUM(F79:F82)</f>
        <v>100000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-140000</v>
      </c>
      <c r="E86" s="37"/>
      <c r="F86" s="37">
        <f>D86</f>
        <v>-140000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19657000</v>
      </c>
      <c r="E87" s="37"/>
      <c r="F87" s="37">
        <f>F88+F89+F90+F91</f>
        <v>5762000</v>
      </c>
      <c r="G87" s="37">
        <f t="shared" ref="G87:Q87" si="32">G88+G89+G90+G91</f>
        <v>1352000</v>
      </c>
      <c r="H87" s="37">
        <f t="shared" si="32"/>
        <v>1504000</v>
      </c>
      <c r="I87" s="37">
        <f t="shared" si="32"/>
        <v>1605000</v>
      </c>
      <c r="J87" s="37">
        <f t="shared" si="32"/>
        <v>1352000</v>
      </c>
      <c r="K87" s="37">
        <f t="shared" si="32"/>
        <v>1354000</v>
      </c>
      <c r="L87" s="37">
        <f t="shared" si="32"/>
        <v>1387000</v>
      </c>
      <c r="M87" s="37">
        <f t="shared" si="32"/>
        <v>1352000</v>
      </c>
      <c r="N87" s="37">
        <f t="shared" si="32"/>
        <v>2506000</v>
      </c>
      <c r="O87" s="37">
        <f t="shared" si="32"/>
        <v>1349000</v>
      </c>
      <c r="P87" s="37">
        <f t="shared" si="32"/>
        <v>72000</v>
      </c>
      <c r="Q87" s="37">
        <f t="shared" si="32"/>
        <v>62000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0</v>
      </c>
      <c r="E88" s="108" t="s">
        <v>193</v>
      </c>
      <c r="F88" s="108">
        <f>ROUND($D88/2,-3)</f>
        <v>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19656000</v>
      </c>
      <c r="E91" s="108"/>
      <c r="F91" s="108">
        <f>F92+F93+F94+F95</f>
        <v>5762000</v>
      </c>
      <c r="G91" s="108">
        <f t="shared" ref="G91:Q91" si="34">G92+G93+G94+G95</f>
        <v>1352000</v>
      </c>
      <c r="H91" s="108">
        <f t="shared" si="34"/>
        <v>1504000</v>
      </c>
      <c r="I91" s="108">
        <f t="shared" si="34"/>
        <v>1605000</v>
      </c>
      <c r="J91" s="108">
        <f t="shared" si="34"/>
        <v>1352000</v>
      </c>
      <c r="K91" s="108">
        <f t="shared" si="34"/>
        <v>1354000</v>
      </c>
      <c r="L91" s="108">
        <f t="shared" si="34"/>
        <v>1387000</v>
      </c>
      <c r="M91" s="108">
        <f t="shared" si="34"/>
        <v>1352000</v>
      </c>
      <c r="N91" s="108">
        <f t="shared" si="34"/>
        <v>2506000</v>
      </c>
      <c r="O91" s="108">
        <f t="shared" si="34"/>
        <v>1349000</v>
      </c>
      <c r="P91" s="108">
        <f t="shared" si="34"/>
        <v>72000</v>
      </c>
      <c r="Q91" s="108">
        <f t="shared" si="34"/>
        <v>61000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2354000</v>
      </c>
      <c r="E92" s="114" t="s">
        <v>537</v>
      </c>
      <c r="F92" s="37">
        <f>ROUND($D92/12*5,-3)</f>
        <v>981000</v>
      </c>
      <c r="G92" s="37">
        <f>ROUND($D92/12,-3)</f>
        <v>196000</v>
      </c>
      <c r="H92" s="37">
        <f t="shared" ref="H92:L92" si="35">ROUND($D92/12,-3)</f>
        <v>196000</v>
      </c>
      <c r="I92" s="37">
        <f t="shared" si="35"/>
        <v>196000</v>
      </c>
      <c r="J92" s="37">
        <f t="shared" si="35"/>
        <v>196000</v>
      </c>
      <c r="K92" s="37">
        <f t="shared" si="35"/>
        <v>196000</v>
      </c>
      <c r="L92" s="37">
        <f t="shared" si="35"/>
        <v>196000</v>
      </c>
      <c r="M92" s="37">
        <f>D92-SUM(F92:L92)</f>
        <v>197000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17212000</v>
      </c>
      <c r="E95" s="37"/>
      <c r="F95" s="37">
        <f>F2+F86-F88-F89-F90-F92-F93-F94</f>
        <v>4773000</v>
      </c>
      <c r="G95" s="37">
        <f t="shared" ref="G95:Q95" si="37">G2-G88-G89-G90-G92-G93-G94</f>
        <v>1148000</v>
      </c>
      <c r="H95" s="37">
        <f t="shared" si="37"/>
        <v>1300000</v>
      </c>
      <c r="I95" s="37">
        <f t="shared" si="37"/>
        <v>1401000</v>
      </c>
      <c r="J95" s="37">
        <f t="shared" si="37"/>
        <v>1148000</v>
      </c>
      <c r="K95" s="37">
        <f t="shared" si="37"/>
        <v>1150000</v>
      </c>
      <c r="L95" s="37">
        <f t="shared" si="37"/>
        <v>1183000</v>
      </c>
      <c r="M95" s="37">
        <f t="shared" si="37"/>
        <v>1147000</v>
      </c>
      <c r="N95" s="37">
        <f t="shared" si="37"/>
        <v>2498000</v>
      </c>
      <c r="O95" s="37">
        <f t="shared" si="37"/>
        <v>1341000</v>
      </c>
      <c r="P95" s="37">
        <f t="shared" si="37"/>
        <v>64000</v>
      </c>
      <c r="Q95" s="37">
        <f t="shared" si="37"/>
        <v>59000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700000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1004000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17212000</v>
      </c>
    </row>
    <row r="108" spans="2:17" ht="16.5" customHeight="1"/>
    <row r="109" spans="2:17" ht="16.5" customHeight="1">
      <c r="B109" s="4" t="s">
        <v>682</v>
      </c>
      <c r="D109" s="30">
        <f>D91-D76</f>
        <v>19140000</v>
      </c>
      <c r="F109" s="30">
        <f>F91-F76</f>
        <v>5633000</v>
      </c>
      <c r="G109" s="30">
        <f t="shared" ref="G109:Q109" si="38">G91-G76</f>
        <v>1309000</v>
      </c>
      <c r="H109" s="30">
        <f t="shared" si="38"/>
        <v>1461000</v>
      </c>
      <c r="I109" s="30">
        <f t="shared" si="38"/>
        <v>1562000</v>
      </c>
      <c r="J109" s="30">
        <f t="shared" si="38"/>
        <v>1309000</v>
      </c>
      <c r="K109" s="30">
        <f t="shared" si="38"/>
        <v>1311000</v>
      </c>
      <c r="L109" s="30">
        <f t="shared" si="38"/>
        <v>1344000</v>
      </c>
      <c r="M109" s="30">
        <f t="shared" si="38"/>
        <v>1309000</v>
      </c>
      <c r="N109" s="30">
        <f t="shared" si="38"/>
        <v>2463000</v>
      </c>
      <c r="O109" s="30">
        <f t="shared" si="38"/>
        <v>1306000</v>
      </c>
      <c r="P109" s="30">
        <f t="shared" si="38"/>
        <v>72000</v>
      </c>
      <c r="Q109" s="30">
        <f t="shared" si="38"/>
        <v>61000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0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657</v>
      </c>
      <c r="D1" s="28" t="str">
        <f>VLOOKUP(C1,[1]學校編號!A:B,2,FALSE)</f>
        <v>657新社國小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20475000</v>
      </c>
      <c r="E2" s="37"/>
      <c r="F2" s="37">
        <f>F48+F70+F76+F77+F83</f>
        <v>5902000</v>
      </c>
      <c r="G2" s="37">
        <f t="shared" ref="G2:Q2" si="0">G48+G70+G76+G77+G83</f>
        <v>1492000</v>
      </c>
      <c r="H2" s="37">
        <f t="shared" si="0"/>
        <v>1544000</v>
      </c>
      <c r="I2" s="37">
        <f t="shared" si="0"/>
        <v>1672000</v>
      </c>
      <c r="J2" s="37">
        <f t="shared" si="0"/>
        <v>1498000</v>
      </c>
      <c r="K2" s="37">
        <f t="shared" si="0"/>
        <v>1502000</v>
      </c>
      <c r="L2" s="37">
        <f t="shared" si="0"/>
        <v>1511000</v>
      </c>
      <c r="M2" s="37">
        <f t="shared" si="0"/>
        <v>1498000</v>
      </c>
      <c r="N2" s="37">
        <f t="shared" si="0"/>
        <v>2208000</v>
      </c>
      <c r="O2" s="37">
        <f t="shared" si="0"/>
        <v>1497000</v>
      </c>
      <c r="P2" s="37">
        <f t="shared" si="0"/>
        <v>81000</v>
      </c>
      <c r="Q2" s="37">
        <f t="shared" si="0"/>
        <v>70000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30000</v>
      </c>
      <c r="E8" s="37" t="s">
        <v>525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3000</v>
      </c>
      <c r="E9" s="37" t="s">
        <v>525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8000</v>
      </c>
      <c r="E10" s="37" t="s">
        <v>525</v>
      </c>
      <c r="F10" s="37">
        <f t="shared" si="1"/>
        <v>667</v>
      </c>
      <c r="G10" s="37">
        <f t="shared" si="1"/>
        <v>667</v>
      </c>
      <c r="H10" s="37">
        <f t="shared" si="1"/>
        <v>667</v>
      </c>
      <c r="I10" s="37">
        <f t="shared" si="1"/>
        <v>667</v>
      </c>
      <c r="J10" s="37">
        <f t="shared" si="1"/>
        <v>667</v>
      </c>
      <c r="K10" s="37">
        <f t="shared" si="1"/>
        <v>667</v>
      </c>
      <c r="L10" s="37">
        <f t="shared" si="1"/>
        <v>667</v>
      </c>
      <c r="M10" s="37">
        <f t="shared" si="1"/>
        <v>667</v>
      </c>
      <c r="N10" s="37">
        <f t="shared" si="1"/>
        <v>667</v>
      </c>
      <c r="O10" s="37">
        <f t="shared" si="1"/>
        <v>667</v>
      </c>
      <c r="P10" s="37">
        <f t="shared" si="1"/>
        <v>667</v>
      </c>
      <c r="Q10" s="37">
        <f t="shared" si="2"/>
        <v>663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23000</v>
      </c>
      <c r="E11" s="37" t="s">
        <v>195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515000</v>
      </c>
      <c r="E12" s="113" t="s">
        <v>202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42000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28000</v>
      </c>
      <c r="E15" s="37" t="s">
        <v>193</v>
      </c>
      <c r="F15" s="37">
        <f>ROUND($D15/2,-3)</f>
        <v>14000</v>
      </c>
      <c r="G15" s="37"/>
      <c r="H15" s="37"/>
      <c r="I15" s="37"/>
      <c r="J15" s="37"/>
      <c r="K15" s="37"/>
      <c r="L15" s="37">
        <f>D15-F15</f>
        <v>14000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1133000</v>
      </c>
      <c r="E25" s="108"/>
      <c r="F25" s="108">
        <f>ROUND(SUM(F3:F24),-3)</f>
        <v>213000</v>
      </c>
      <c r="G25" s="108">
        <f t="shared" ref="G25:P25" si="5">ROUND(SUM(G3:G24),-3)</f>
        <v>90000</v>
      </c>
      <c r="H25" s="108">
        <f t="shared" si="5"/>
        <v>90000</v>
      </c>
      <c r="I25" s="108">
        <f t="shared" si="5"/>
        <v>90000</v>
      </c>
      <c r="J25" s="108">
        <f t="shared" si="5"/>
        <v>90000</v>
      </c>
      <c r="K25" s="108">
        <f t="shared" si="5"/>
        <v>90000</v>
      </c>
      <c r="L25" s="108">
        <f t="shared" si="5"/>
        <v>104000</v>
      </c>
      <c r="M25" s="108">
        <f t="shared" si="5"/>
        <v>90000</v>
      </c>
      <c r="N25" s="108">
        <f t="shared" si="5"/>
        <v>90000</v>
      </c>
      <c r="O25" s="108">
        <f t="shared" si="5"/>
        <v>89000</v>
      </c>
      <c r="P25" s="108">
        <f t="shared" si="5"/>
        <v>47000</v>
      </c>
      <c r="Q25" s="108">
        <f t="shared" ref="Q25:Q33" si="6">D25-SUM(F25:P25)</f>
        <v>50000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56000</v>
      </c>
      <c r="E26" s="114" t="s">
        <v>204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2000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3000</v>
      </c>
      <c r="E30" s="37" t="s">
        <v>525</v>
      </c>
      <c r="F30" s="37">
        <f t="shared" si="8"/>
        <v>250</v>
      </c>
      <c r="G30" s="37">
        <f t="shared" si="8"/>
        <v>250</v>
      </c>
      <c r="H30" s="37">
        <f t="shared" si="8"/>
        <v>250</v>
      </c>
      <c r="I30" s="37">
        <f t="shared" si="8"/>
        <v>250</v>
      </c>
      <c r="J30" s="37">
        <f t="shared" si="8"/>
        <v>250</v>
      </c>
      <c r="K30" s="37">
        <f t="shared" si="8"/>
        <v>250</v>
      </c>
      <c r="L30" s="37">
        <f t="shared" si="8"/>
        <v>250</v>
      </c>
      <c r="M30" s="37">
        <f t="shared" si="8"/>
        <v>250</v>
      </c>
      <c r="N30" s="37">
        <f t="shared" si="8"/>
        <v>250</v>
      </c>
      <c r="O30" s="37">
        <f t="shared" si="8"/>
        <v>250</v>
      </c>
      <c r="P30" s="37">
        <f t="shared" si="8"/>
        <v>250</v>
      </c>
      <c r="Q30" s="37">
        <f t="shared" si="6"/>
        <v>250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2000</v>
      </c>
      <c r="E31" s="37" t="s">
        <v>525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327000</v>
      </c>
      <c r="E37" s="108"/>
      <c r="F37" s="108">
        <f t="shared" ref="F37:P37" si="9">ROUND(SUM(F26:F36),-3)</f>
        <v>29000</v>
      </c>
      <c r="G37" s="108">
        <f t="shared" si="9"/>
        <v>23000</v>
      </c>
      <c r="H37" s="108">
        <f t="shared" si="9"/>
        <v>29000</v>
      </c>
      <c r="I37" s="108">
        <f t="shared" si="9"/>
        <v>29000</v>
      </c>
      <c r="J37" s="108">
        <f t="shared" si="9"/>
        <v>29000</v>
      </c>
      <c r="K37" s="108">
        <f t="shared" si="9"/>
        <v>29000</v>
      </c>
      <c r="L37" s="108">
        <f t="shared" si="9"/>
        <v>23000</v>
      </c>
      <c r="M37" s="108">
        <f t="shared" si="9"/>
        <v>29000</v>
      </c>
      <c r="N37" s="108">
        <f t="shared" si="9"/>
        <v>29000</v>
      </c>
      <c r="O37" s="108">
        <f t="shared" si="9"/>
        <v>29000</v>
      </c>
      <c r="P37" s="108">
        <f t="shared" si="9"/>
        <v>29000</v>
      </c>
      <c r="Q37" s="108">
        <f>D37-SUM(F37:P37)</f>
        <v>20000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5000</v>
      </c>
      <c r="E42" s="37" t="s">
        <v>199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5000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11000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5000</v>
      </c>
      <c r="J45" s="108">
        <f t="shared" si="12"/>
        <v>0</v>
      </c>
      <c r="K45" s="108">
        <f t="shared" si="12"/>
        <v>0</v>
      </c>
      <c r="L45" s="108">
        <f t="shared" si="12"/>
        <v>5000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1483000</v>
      </c>
      <c r="E48" s="37"/>
      <c r="F48" s="115">
        <f>F25+F37+F45+F47</f>
        <v>247000</v>
      </c>
      <c r="G48" s="115">
        <f t="shared" ref="G48:R48" si="14">G25+G37+G45+G47</f>
        <v>113000</v>
      </c>
      <c r="H48" s="115">
        <f t="shared" si="14"/>
        <v>119000</v>
      </c>
      <c r="I48" s="115">
        <f t="shared" si="14"/>
        <v>124000</v>
      </c>
      <c r="J48" s="115">
        <f t="shared" si="14"/>
        <v>119000</v>
      </c>
      <c r="K48" s="115">
        <f t="shared" si="14"/>
        <v>123000</v>
      </c>
      <c r="L48" s="115">
        <f t="shared" si="14"/>
        <v>132000</v>
      </c>
      <c r="M48" s="115">
        <f t="shared" si="14"/>
        <v>119000</v>
      </c>
      <c r="N48" s="115">
        <f t="shared" si="14"/>
        <v>123000</v>
      </c>
      <c r="O48" s="115">
        <f t="shared" si="14"/>
        <v>118000</v>
      </c>
      <c r="P48" s="115">
        <f t="shared" si="14"/>
        <v>76000</v>
      </c>
      <c r="Q48" s="115">
        <f t="shared" si="14"/>
        <v>70000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10838000</v>
      </c>
      <c r="E49" s="114" t="s">
        <v>202</v>
      </c>
      <c r="F49" s="37">
        <f>ROUND($D49/12*3,-3)</f>
        <v>2710000</v>
      </c>
      <c r="G49" s="37">
        <f>ROUND($D49/12,-3)</f>
        <v>903000</v>
      </c>
      <c r="H49" s="37">
        <f t="shared" ref="H49:N53" si="15">ROUND($D49/12,-3)</f>
        <v>903000</v>
      </c>
      <c r="I49" s="37">
        <f t="shared" si="15"/>
        <v>903000</v>
      </c>
      <c r="J49" s="37">
        <f t="shared" si="15"/>
        <v>903000</v>
      </c>
      <c r="K49" s="37">
        <f t="shared" si="15"/>
        <v>903000</v>
      </c>
      <c r="L49" s="37">
        <f t="shared" si="15"/>
        <v>903000</v>
      </c>
      <c r="M49" s="37">
        <f t="shared" si="15"/>
        <v>903000</v>
      </c>
      <c r="N49" s="37">
        <f t="shared" si="15"/>
        <v>903000</v>
      </c>
      <c r="O49" s="37">
        <f>D49-SUM(F49:N49)</f>
        <v>904000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738000</v>
      </c>
      <c r="E51" s="114" t="s">
        <v>202</v>
      </c>
      <c r="F51" s="37">
        <f t="shared" si="16"/>
        <v>185000</v>
      </c>
      <c r="G51" s="37">
        <f t="shared" si="17"/>
        <v>62000</v>
      </c>
      <c r="H51" s="37">
        <f t="shared" si="15"/>
        <v>62000</v>
      </c>
      <c r="I51" s="37">
        <f t="shared" si="15"/>
        <v>62000</v>
      </c>
      <c r="J51" s="37">
        <f t="shared" si="15"/>
        <v>62000</v>
      </c>
      <c r="K51" s="37">
        <f t="shared" si="15"/>
        <v>62000</v>
      </c>
      <c r="L51" s="37">
        <f t="shared" si="15"/>
        <v>62000</v>
      </c>
      <c r="M51" s="37">
        <f t="shared" si="15"/>
        <v>62000</v>
      </c>
      <c r="N51" s="37">
        <f t="shared" si="15"/>
        <v>62000</v>
      </c>
      <c r="O51" s="37">
        <f t="shared" si="18"/>
        <v>57000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195000</v>
      </c>
      <c r="E60" s="37" t="s">
        <v>195</v>
      </c>
      <c r="F60" s="37">
        <f>D60</f>
        <v>195000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843000</v>
      </c>
      <c r="E62" s="37" t="s">
        <v>197</v>
      </c>
      <c r="F62" s="37"/>
      <c r="G62" s="37"/>
      <c r="H62" s="37"/>
      <c r="I62" s="37">
        <f>ROUND($D62/5,-3)</f>
        <v>169000</v>
      </c>
      <c r="J62" s="37"/>
      <c r="K62" s="37"/>
      <c r="L62" s="37"/>
      <c r="M62" s="37"/>
      <c r="N62" s="37">
        <f>D62-I62</f>
        <v>674000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1257000</v>
      </c>
      <c r="E63" s="37" t="s">
        <v>195</v>
      </c>
      <c r="F63" s="37">
        <f>D63</f>
        <v>1257000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981000</v>
      </c>
      <c r="E64" s="114" t="s">
        <v>202</v>
      </c>
      <c r="F64" s="37">
        <f>ROUND($D64/12*3,-3)</f>
        <v>245000</v>
      </c>
      <c r="G64" s="37">
        <f>ROUND($D64/12,-3)</f>
        <v>82000</v>
      </c>
      <c r="H64" s="37">
        <f t="shared" ref="H64:N66" si="21">ROUND($D64/12,-3)</f>
        <v>82000</v>
      </c>
      <c r="I64" s="37">
        <f t="shared" si="21"/>
        <v>82000</v>
      </c>
      <c r="J64" s="37">
        <f t="shared" si="21"/>
        <v>82000</v>
      </c>
      <c r="K64" s="37">
        <f t="shared" si="21"/>
        <v>82000</v>
      </c>
      <c r="L64" s="37">
        <f t="shared" si="21"/>
        <v>82000</v>
      </c>
      <c r="M64" s="37">
        <f t="shared" si="21"/>
        <v>82000</v>
      </c>
      <c r="N64" s="37">
        <f t="shared" si="21"/>
        <v>82000</v>
      </c>
      <c r="O64" s="37">
        <f>D64-SUM(F64:N64)</f>
        <v>80000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185000</v>
      </c>
      <c r="E65" s="114" t="s">
        <v>202</v>
      </c>
      <c r="F65" s="37">
        <f t="shared" ref="F65:F66" si="22">ROUND($D65/12*3,-3)</f>
        <v>46000</v>
      </c>
      <c r="G65" s="37">
        <f t="shared" ref="G65:G66" si="23">ROUND($D65/12,-3)</f>
        <v>15000</v>
      </c>
      <c r="H65" s="37">
        <f t="shared" si="21"/>
        <v>15000</v>
      </c>
      <c r="I65" s="37">
        <f t="shared" si="21"/>
        <v>15000</v>
      </c>
      <c r="J65" s="37">
        <f t="shared" si="21"/>
        <v>15000</v>
      </c>
      <c r="K65" s="37">
        <f t="shared" si="21"/>
        <v>15000</v>
      </c>
      <c r="L65" s="37">
        <f t="shared" si="21"/>
        <v>15000</v>
      </c>
      <c r="M65" s="37">
        <f t="shared" si="21"/>
        <v>15000</v>
      </c>
      <c r="N65" s="37">
        <f t="shared" si="21"/>
        <v>15000</v>
      </c>
      <c r="O65" s="37">
        <f t="shared" ref="O65:O66" si="24">D65-SUM(F65:N65)</f>
        <v>19000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928000</v>
      </c>
      <c r="E66" s="114" t="s">
        <v>202</v>
      </c>
      <c r="F66" s="37">
        <f t="shared" si="22"/>
        <v>232000</v>
      </c>
      <c r="G66" s="37">
        <f t="shared" si="23"/>
        <v>77000</v>
      </c>
      <c r="H66" s="37">
        <f t="shared" si="21"/>
        <v>77000</v>
      </c>
      <c r="I66" s="37">
        <f t="shared" si="21"/>
        <v>77000</v>
      </c>
      <c r="J66" s="37">
        <f t="shared" si="21"/>
        <v>77000</v>
      </c>
      <c r="K66" s="37">
        <f t="shared" si="21"/>
        <v>77000</v>
      </c>
      <c r="L66" s="37">
        <f t="shared" si="21"/>
        <v>77000</v>
      </c>
      <c r="M66" s="37">
        <f t="shared" si="21"/>
        <v>77000</v>
      </c>
      <c r="N66" s="37">
        <f t="shared" si="21"/>
        <v>77000</v>
      </c>
      <c r="O66" s="37">
        <f t="shared" si="24"/>
        <v>80000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13000</v>
      </c>
      <c r="E67" s="37" t="s">
        <v>196</v>
      </c>
      <c r="F67" s="37"/>
      <c r="G67" s="37"/>
      <c r="H67" s="37">
        <f>D67</f>
        <v>13000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76000</v>
      </c>
      <c r="E68" s="37" t="s">
        <v>195</v>
      </c>
      <c r="F68" s="37">
        <f>D68</f>
        <v>76000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16374000</v>
      </c>
      <c r="E70" s="108"/>
      <c r="F70" s="108">
        <f t="shared" ref="F70:P70" si="25">ROUND(SUM(F49:F69),-3)</f>
        <v>5017000</v>
      </c>
      <c r="G70" s="108">
        <f t="shared" si="25"/>
        <v>1166000</v>
      </c>
      <c r="H70" s="108">
        <f t="shared" si="25"/>
        <v>1179000</v>
      </c>
      <c r="I70" s="108">
        <f t="shared" si="25"/>
        <v>1335000</v>
      </c>
      <c r="J70" s="108">
        <f t="shared" si="25"/>
        <v>1166000</v>
      </c>
      <c r="K70" s="108">
        <f t="shared" si="25"/>
        <v>1166000</v>
      </c>
      <c r="L70" s="108">
        <f t="shared" si="25"/>
        <v>1166000</v>
      </c>
      <c r="M70" s="108">
        <f t="shared" si="25"/>
        <v>1166000</v>
      </c>
      <c r="N70" s="108">
        <f t="shared" si="25"/>
        <v>1840000</v>
      </c>
      <c r="O70" s="108">
        <f t="shared" si="25"/>
        <v>1168000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2553000</v>
      </c>
      <c r="E72" s="114" t="s">
        <v>202</v>
      </c>
      <c r="F72" s="37">
        <f>ROUND($D72/12*3,-3)</f>
        <v>638000</v>
      </c>
      <c r="G72" s="37">
        <f>ROUND($D72/12,-3)</f>
        <v>213000</v>
      </c>
      <c r="H72" s="37">
        <f t="shared" ref="H72:N75" si="26">ROUND($D72/12,-3)</f>
        <v>213000</v>
      </c>
      <c r="I72" s="37">
        <f t="shared" si="26"/>
        <v>213000</v>
      </c>
      <c r="J72" s="37">
        <f t="shared" si="26"/>
        <v>213000</v>
      </c>
      <c r="K72" s="37">
        <f t="shared" si="26"/>
        <v>213000</v>
      </c>
      <c r="L72" s="37">
        <f t="shared" si="26"/>
        <v>213000</v>
      </c>
      <c r="M72" s="37">
        <f t="shared" si="26"/>
        <v>213000</v>
      </c>
      <c r="N72" s="37">
        <f t="shared" si="26"/>
        <v>213000</v>
      </c>
      <c r="O72" s="37">
        <f>D72-SUM(F72:N72)</f>
        <v>211000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2553000</v>
      </c>
      <c r="E76" s="108"/>
      <c r="F76" s="108">
        <f>ROUND(SUM(F71:F75),-3)</f>
        <v>638000</v>
      </c>
      <c r="G76" s="108">
        <f t="shared" ref="G76:N76" si="27">ROUND(SUM(G71:G75),-3)</f>
        <v>213000</v>
      </c>
      <c r="H76" s="108">
        <f t="shared" si="27"/>
        <v>213000</v>
      </c>
      <c r="I76" s="108">
        <f t="shared" si="27"/>
        <v>213000</v>
      </c>
      <c r="J76" s="108">
        <f t="shared" si="27"/>
        <v>213000</v>
      </c>
      <c r="K76" s="108">
        <f t="shared" si="27"/>
        <v>213000</v>
      </c>
      <c r="L76" s="108">
        <f t="shared" si="27"/>
        <v>213000</v>
      </c>
      <c r="M76" s="108">
        <f t="shared" si="27"/>
        <v>213000</v>
      </c>
      <c r="N76" s="108">
        <f t="shared" si="27"/>
        <v>213000</v>
      </c>
      <c r="O76" s="108">
        <f>D76-SUM(F76:N76)</f>
        <v>211000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65000</v>
      </c>
      <c r="E77" s="37" t="s">
        <v>681</v>
      </c>
      <c r="F77" s="224"/>
      <c r="G77" s="224"/>
      <c r="H77" s="224">
        <f>ROUND($D77/2,-3)</f>
        <v>33000</v>
      </c>
      <c r="I77" s="224"/>
      <c r="J77" s="224"/>
      <c r="K77" s="224"/>
      <c r="L77" s="224"/>
      <c r="M77" s="224"/>
      <c r="N77" s="224">
        <f>D77-H77</f>
        <v>32000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18992000</v>
      </c>
      <c r="E78" s="227"/>
      <c r="F78" s="227">
        <f>F76+F70+F77</f>
        <v>5655000</v>
      </c>
      <c r="G78" s="227">
        <f t="shared" ref="G78:Q78" si="29">G76+G70+G77</f>
        <v>1379000</v>
      </c>
      <c r="H78" s="227">
        <f t="shared" si="29"/>
        <v>1425000</v>
      </c>
      <c r="I78" s="227">
        <f t="shared" si="29"/>
        <v>1548000</v>
      </c>
      <c r="J78" s="227">
        <f t="shared" si="29"/>
        <v>1379000</v>
      </c>
      <c r="K78" s="227">
        <f t="shared" si="29"/>
        <v>1379000</v>
      </c>
      <c r="L78" s="227">
        <f t="shared" si="29"/>
        <v>1379000</v>
      </c>
      <c r="M78" s="227">
        <f t="shared" si="29"/>
        <v>1379000</v>
      </c>
      <c r="N78" s="227">
        <f t="shared" si="29"/>
        <v>2085000</v>
      </c>
      <c r="O78" s="227">
        <f t="shared" si="29"/>
        <v>1379000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20475000</v>
      </c>
      <c r="E87" s="37"/>
      <c r="F87" s="37">
        <f>F88+F89+F90+F91</f>
        <v>5902000</v>
      </c>
      <c r="G87" s="37">
        <f t="shared" ref="G87:Q87" si="32">G88+G89+G90+G91</f>
        <v>1492000</v>
      </c>
      <c r="H87" s="37">
        <f t="shared" si="32"/>
        <v>1544000</v>
      </c>
      <c r="I87" s="37">
        <f t="shared" si="32"/>
        <v>1672000</v>
      </c>
      <c r="J87" s="37">
        <f t="shared" si="32"/>
        <v>1498000</v>
      </c>
      <c r="K87" s="37">
        <f t="shared" si="32"/>
        <v>1502000</v>
      </c>
      <c r="L87" s="37">
        <f t="shared" si="32"/>
        <v>1511000</v>
      </c>
      <c r="M87" s="37">
        <f t="shared" si="32"/>
        <v>1498000</v>
      </c>
      <c r="N87" s="37">
        <f t="shared" si="32"/>
        <v>2208000</v>
      </c>
      <c r="O87" s="37">
        <f t="shared" si="32"/>
        <v>1497000</v>
      </c>
      <c r="P87" s="37">
        <f t="shared" si="32"/>
        <v>81000</v>
      </c>
      <c r="Q87" s="37">
        <f t="shared" si="32"/>
        <v>70000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0</v>
      </c>
      <c r="E88" s="108" t="s">
        <v>193</v>
      </c>
      <c r="F88" s="108">
        <f>ROUND($D88/2,-3)</f>
        <v>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20475000</v>
      </c>
      <c r="E91" s="108"/>
      <c r="F91" s="108">
        <f>F92+F93+F94+F95</f>
        <v>5902000</v>
      </c>
      <c r="G91" s="108">
        <f t="shared" ref="G91:Q91" si="34">G92+G93+G94+G95</f>
        <v>1492000</v>
      </c>
      <c r="H91" s="108">
        <f t="shared" si="34"/>
        <v>1544000</v>
      </c>
      <c r="I91" s="108">
        <f t="shared" si="34"/>
        <v>1672000</v>
      </c>
      <c r="J91" s="108">
        <f t="shared" si="34"/>
        <v>1498000</v>
      </c>
      <c r="K91" s="108">
        <f t="shared" si="34"/>
        <v>1502000</v>
      </c>
      <c r="L91" s="108">
        <f t="shared" si="34"/>
        <v>1511000</v>
      </c>
      <c r="M91" s="108">
        <f t="shared" si="34"/>
        <v>1498000</v>
      </c>
      <c r="N91" s="108">
        <f t="shared" si="34"/>
        <v>2208000</v>
      </c>
      <c r="O91" s="108">
        <f t="shared" si="34"/>
        <v>1497000</v>
      </c>
      <c r="P91" s="108">
        <f t="shared" si="34"/>
        <v>81000</v>
      </c>
      <c r="Q91" s="108">
        <f t="shared" si="34"/>
        <v>70000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2354000</v>
      </c>
      <c r="E92" s="114" t="s">
        <v>537</v>
      </c>
      <c r="F92" s="37">
        <f>ROUND($D92/12*5,-3)</f>
        <v>981000</v>
      </c>
      <c r="G92" s="37">
        <f>ROUND($D92/12,-3)</f>
        <v>196000</v>
      </c>
      <c r="H92" s="37">
        <f t="shared" ref="H92:L92" si="35">ROUND($D92/12,-3)</f>
        <v>196000</v>
      </c>
      <c r="I92" s="37">
        <f t="shared" si="35"/>
        <v>196000</v>
      </c>
      <c r="J92" s="37">
        <f t="shared" si="35"/>
        <v>196000</v>
      </c>
      <c r="K92" s="37">
        <f t="shared" si="35"/>
        <v>196000</v>
      </c>
      <c r="L92" s="37">
        <f t="shared" si="35"/>
        <v>196000</v>
      </c>
      <c r="M92" s="37">
        <f>D92-SUM(F92:L92)</f>
        <v>197000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18031000</v>
      </c>
      <c r="E95" s="37"/>
      <c r="F95" s="37">
        <f>F2+F86-F88-F89-F90-F92-F93-F94</f>
        <v>4913000</v>
      </c>
      <c r="G95" s="37">
        <f t="shared" ref="G95:Q95" si="37">G2-G88-G89-G90-G92-G93-G94</f>
        <v>1288000</v>
      </c>
      <c r="H95" s="37">
        <f t="shared" si="37"/>
        <v>1340000</v>
      </c>
      <c r="I95" s="37">
        <f t="shared" si="37"/>
        <v>1468000</v>
      </c>
      <c r="J95" s="37">
        <f t="shared" si="37"/>
        <v>1294000</v>
      </c>
      <c r="K95" s="37">
        <f t="shared" si="37"/>
        <v>1298000</v>
      </c>
      <c r="L95" s="37">
        <f t="shared" si="37"/>
        <v>1307000</v>
      </c>
      <c r="M95" s="37">
        <f t="shared" si="37"/>
        <v>1293000</v>
      </c>
      <c r="N95" s="37">
        <f t="shared" si="37"/>
        <v>2200000</v>
      </c>
      <c r="O95" s="37">
        <f t="shared" si="37"/>
        <v>1489000</v>
      </c>
      <c r="P95" s="37">
        <f t="shared" si="37"/>
        <v>73000</v>
      </c>
      <c r="Q95" s="37">
        <f t="shared" si="37"/>
        <v>68000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700000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1004000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18031000</v>
      </c>
    </row>
    <row r="108" spans="2:17" ht="16.5" customHeight="1"/>
    <row r="109" spans="2:17" ht="16.5" customHeight="1">
      <c r="B109" s="4" t="s">
        <v>682</v>
      </c>
      <c r="D109" s="30">
        <f>D91-D76</f>
        <v>17922000</v>
      </c>
      <c r="F109" s="30">
        <f>F91-F76</f>
        <v>5264000</v>
      </c>
      <c r="G109" s="30">
        <f t="shared" ref="G109:Q109" si="38">G91-G76</f>
        <v>1279000</v>
      </c>
      <c r="H109" s="30">
        <f t="shared" si="38"/>
        <v>1331000</v>
      </c>
      <c r="I109" s="30">
        <f t="shared" si="38"/>
        <v>1459000</v>
      </c>
      <c r="J109" s="30">
        <f t="shared" si="38"/>
        <v>1285000</v>
      </c>
      <c r="K109" s="30">
        <f t="shared" si="38"/>
        <v>1289000</v>
      </c>
      <c r="L109" s="30">
        <f t="shared" si="38"/>
        <v>1298000</v>
      </c>
      <c r="M109" s="30">
        <f t="shared" si="38"/>
        <v>1285000</v>
      </c>
      <c r="N109" s="30">
        <f t="shared" si="38"/>
        <v>1995000</v>
      </c>
      <c r="O109" s="30">
        <f t="shared" si="38"/>
        <v>1286000</v>
      </c>
      <c r="P109" s="30">
        <f t="shared" si="38"/>
        <v>81000</v>
      </c>
      <c r="Q109" s="30">
        <f t="shared" si="38"/>
        <v>70000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100" priority="1" operator="lessThan">
      <formula>0</formula>
    </cfRule>
  </conditionalFormatting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658</v>
      </c>
      <c r="D1" s="28" t="str">
        <f>VLOOKUP(C1,[1]學校編號!A:B,2,FALSE)</f>
        <v>658玉里國小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78656000</v>
      </c>
      <c r="E2" s="37"/>
      <c r="F2" s="37">
        <f>F48+F70+F76+F77+F83</f>
        <v>22964000</v>
      </c>
      <c r="G2" s="37">
        <f t="shared" ref="G2:Q2" si="0">G48+G70+G76+G77+G83</f>
        <v>5500000</v>
      </c>
      <c r="H2" s="37">
        <f t="shared" si="0"/>
        <v>5930000</v>
      </c>
      <c r="I2" s="37">
        <f t="shared" si="0"/>
        <v>6434000</v>
      </c>
      <c r="J2" s="37">
        <f t="shared" si="0"/>
        <v>5517000</v>
      </c>
      <c r="K2" s="37">
        <f t="shared" si="0"/>
        <v>5523000</v>
      </c>
      <c r="L2" s="37">
        <f t="shared" si="0"/>
        <v>5805000</v>
      </c>
      <c r="M2" s="37">
        <f t="shared" si="0"/>
        <v>5517000</v>
      </c>
      <c r="N2" s="37">
        <f t="shared" si="0"/>
        <v>9457000</v>
      </c>
      <c r="O2" s="37">
        <f t="shared" si="0"/>
        <v>5518000</v>
      </c>
      <c r="P2" s="37">
        <f t="shared" si="0"/>
        <v>241000</v>
      </c>
      <c r="Q2" s="37">
        <f t="shared" si="0"/>
        <v>250000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372000</v>
      </c>
      <c r="E3" s="37" t="s">
        <v>525</v>
      </c>
      <c r="F3" s="37">
        <f t="shared" ref="F3:P17" si="1">ROUND($D3/12,0)</f>
        <v>31000</v>
      </c>
      <c r="G3" s="37">
        <f t="shared" si="1"/>
        <v>31000</v>
      </c>
      <c r="H3" s="37">
        <f t="shared" si="1"/>
        <v>31000</v>
      </c>
      <c r="I3" s="37">
        <f t="shared" si="1"/>
        <v>31000</v>
      </c>
      <c r="J3" s="37">
        <f t="shared" si="1"/>
        <v>31000</v>
      </c>
      <c r="K3" s="37">
        <f t="shared" si="1"/>
        <v>31000</v>
      </c>
      <c r="L3" s="37">
        <f t="shared" si="1"/>
        <v>31000</v>
      </c>
      <c r="M3" s="37">
        <f t="shared" si="1"/>
        <v>31000</v>
      </c>
      <c r="N3" s="37">
        <f t="shared" si="1"/>
        <v>31000</v>
      </c>
      <c r="O3" s="37">
        <f t="shared" si="1"/>
        <v>31000</v>
      </c>
      <c r="P3" s="37">
        <f t="shared" si="1"/>
        <v>31000</v>
      </c>
      <c r="Q3" s="37">
        <f t="shared" ref="Q3:Q10" si="2">D3-SUM(F3:P3)</f>
        <v>31000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159000</v>
      </c>
      <c r="E4" s="37" t="s">
        <v>525</v>
      </c>
      <c r="F4" s="37">
        <f t="shared" si="1"/>
        <v>13250</v>
      </c>
      <c r="G4" s="37">
        <f t="shared" si="1"/>
        <v>13250</v>
      </c>
      <c r="H4" s="37">
        <f t="shared" si="1"/>
        <v>13250</v>
      </c>
      <c r="I4" s="37">
        <f t="shared" si="1"/>
        <v>13250</v>
      </c>
      <c r="J4" s="37">
        <f t="shared" si="1"/>
        <v>13250</v>
      </c>
      <c r="K4" s="37">
        <f t="shared" si="1"/>
        <v>13250</v>
      </c>
      <c r="L4" s="37">
        <f t="shared" si="1"/>
        <v>13250</v>
      </c>
      <c r="M4" s="37">
        <f t="shared" si="1"/>
        <v>13250</v>
      </c>
      <c r="N4" s="37">
        <f t="shared" si="1"/>
        <v>13250</v>
      </c>
      <c r="O4" s="37">
        <f t="shared" si="1"/>
        <v>13250</v>
      </c>
      <c r="P4" s="37">
        <f t="shared" si="1"/>
        <v>13250</v>
      </c>
      <c r="Q4" s="37">
        <f t="shared" si="2"/>
        <v>13250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45000</v>
      </c>
      <c r="E5" s="37" t="s">
        <v>525</v>
      </c>
      <c r="F5" s="37">
        <f t="shared" si="1"/>
        <v>3750</v>
      </c>
      <c r="G5" s="37">
        <f t="shared" si="1"/>
        <v>3750</v>
      </c>
      <c r="H5" s="37">
        <f t="shared" si="1"/>
        <v>3750</v>
      </c>
      <c r="I5" s="37">
        <f t="shared" si="1"/>
        <v>3750</v>
      </c>
      <c r="J5" s="37">
        <f t="shared" si="1"/>
        <v>3750</v>
      </c>
      <c r="K5" s="37">
        <f t="shared" si="1"/>
        <v>3750</v>
      </c>
      <c r="L5" s="37">
        <f t="shared" si="1"/>
        <v>3750</v>
      </c>
      <c r="M5" s="37">
        <f t="shared" si="1"/>
        <v>3750</v>
      </c>
      <c r="N5" s="37">
        <f t="shared" si="1"/>
        <v>3750</v>
      </c>
      <c r="O5" s="37">
        <f t="shared" si="1"/>
        <v>3750</v>
      </c>
      <c r="P5" s="37">
        <f t="shared" si="1"/>
        <v>3750</v>
      </c>
      <c r="Q5" s="37">
        <f t="shared" si="2"/>
        <v>3750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175000</v>
      </c>
      <c r="E6" s="37" t="s">
        <v>525</v>
      </c>
      <c r="F6" s="37">
        <f t="shared" si="1"/>
        <v>14583</v>
      </c>
      <c r="G6" s="37">
        <f t="shared" si="1"/>
        <v>14583</v>
      </c>
      <c r="H6" s="37">
        <f t="shared" si="1"/>
        <v>14583</v>
      </c>
      <c r="I6" s="37">
        <f t="shared" si="1"/>
        <v>14583</v>
      </c>
      <c r="J6" s="37">
        <f t="shared" si="1"/>
        <v>14583</v>
      </c>
      <c r="K6" s="37">
        <f t="shared" si="1"/>
        <v>14583</v>
      </c>
      <c r="L6" s="37">
        <f t="shared" si="1"/>
        <v>14583</v>
      </c>
      <c r="M6" s="37">
        <f t="shared" si="1"/>
        <v>14583</v>
      </c>
      <c r="N6" s="37">
        <f t="shared" si="1"/>
        <v>14583</v>
      </c>
      <c r="O6" s="37">
        <f t="shared" si="1"/>
        <v>14583</v>
      </c>
      <c r="P6" s="37">
        <f t="shared" si="1"/>
        <v>14583</v>
      </c>
      <c r="Q6" s="37">
        <f t="shared" si="2"/>
        <v>14587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74000</v>
      </c>
      <c r="E7" s="37" t="s">
        <v>525</v>
      </c>
      <c r="F7" s="37">
        <f t="shared" si="1"/>
        <v>6167</v>
      </c>
      <c r="G7" s="37">
        <f t="shared" si="1"/>
        <v>6167</v>
      </c>
      <c r="H7" s="37">
        <f t="shared" si="1"/>
        <v>6167</v>
      </c>
      <c r="I7" s="37">
        <f t="shared" si="1"/>
        <v>6167</v>
      </c>
      <c r="J7" s="37">
        <f t="shared" si="1"/>
        <v>6167</v>
      </c>
      <c r="K7" s="37">
        <f t="shared" si="1"/>
        <v>6167</v>
      </c>
      <c r="L7" s="37">
        <f t="shared" si="1"/>
        <v>6167</v>
      </c>
      <c r="M7" s="37">
        <f t="shared" si="1"/>
        <v>6167</v>
      </c>
      <c r="N7" s="37">
        <f t="shared" si="1"/>
        <v>6167</v>
      </c>
      <c r="O7" s="37">
        <f t="shared" si="1"/>
        <v>6167</v>
      </c>
      <c r="P7" s="37">
        <f t="shared" si="1"/>
        <v>6167</v>
      </c>
      <c r="Q7" s="37">
        <f t="shared" si="2"/>
        <v>6163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30000</v>
      </c>
      <c r="E8" s="37" t="s">
        <v>525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3000</v>
      </c>
      <c r="E9" s="37" t="s">
        <v>525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102000</v>
      </c>
      <c r="E10" s="37" t="s">
        <v>525</v>
      </c>
      <c r="F10" s="37">
        <f t="shared" si="1"/>
        <v>8500</v>
      </c>
      <c r="G10" s="37">
        <f t="shared" si="1"/>
        <v>8500</v>
      </c>
      <c r="H10" s="37">
        <f t="shared" si="1"/>
        <v>8500</v>
      </c>
      <c r="I10" s="37">
        <f t="shared" si="1"/>
        <v>8500</v>
      </c>
      <c r="J10" s="37">
        <f t="shared" si="1"/>
        <v>8500</v>
      </c>
      <c r="K10" s="37">
        <f t="shared" si="1"/>
        <v>8500</v>
      </c>
      <c r="L10" s="37">
        <f t="shared" si="1"/>
        <v>8500</v>
      </c>
      <c r="M10" s="37">
        <f t="shared" si="1"/>
        <v>8500</v>
      </c>
      <c r="N10" s="37">
        <f t="shared" si="1"/>
        <v>8500</v>
      </c>
      <c r="O10" s="37">
        <f t="shared" si="1"/>
        <v>8500</v>
      </c>
      <c r="P10" s="37">
        <f t="shared" si="1"/>
        <v>8500</v>
      </c>
      <c r="Q10" s="37">
        <f t="shared" si="2"/>
        <v>8500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27000</v>
      </c>
      <c r="E11" s="37" t="s">
        <v>195</v>
      </c>
      <c r="F11" s="37">
        <f>D11</f>
        <v>27000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769000</v>
      </c>
      <c r="E12" s="113" t="s">
        <v>202</v>
      </c>
      <c r="F12" s="37">
        <f>ROUND($D12/12*3,-3)</f>
        <v>192000</v>
      </c>
      <c r="G12" s="37">
        <f>ROUND($D12/12,-3)</f>
        <v>64000</v>
      </c>
      <c r="H12" s="37">
        <f t="shared" ref="H12:N12" si="4">ROUND($D12/12,-3)</f>
        <v>64000</v>
      </c>
      <c r="I12" s="37">
        <f t="shared" si="4"/>
        <v>64000</v>
      </c>
      <c r="J12" s="37">
        <f t="shared" si="4"/>
        <v>64000</v>
      </c>
      <c r="K12" s="37">
        <f t="shared" si="4"/>
        <v>64000</v>
      </c>
      <c r="L12" s="37">
        <f t="shared" si="4"/>
        <v>64000</v>
      </c>
      <c r="M12" s="37">
        <f t="shared" si="4"/>
        <v>64000</v>
      </c>
      <c r="N12" s="37">
        <f t="shared" si="4"/>
        <v>64000</v>
      </c>
      <c r="O12" s="37">
        <f>D12-SUM(F12:N12)</f>
        <v>65000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329000</v>
      </c>
      <c r="E13" s="37" t="s">
        <v>525</v>
      </c>
      <c r="F13" s="37">
        <f>ROUND($D13/12,0)</f>
        <v>27417</v>
      </c>
      <c r="G13" s="37">
        <f t="shared" si="1"/>
        <v>27417</v>
      </c>
      <c r="H13" s="37">
        <f t="shared" si="1"/>
        <v>27417</v>
      </c>
      <c r="I13" s="37">
        <f t="shared" si="1"/>
        <v>27417</v>
      </c>
      <c r="J13" s="37">
        <f t="shared" si="1"/>
        <v>27417</v>
      </c>
      <c r="K13" s="37">
        <f t="shared" si="1"/>
        <v>27417</v>
      </c>
      <c r="L13" s="37">
        <f t="shared" si="1"/>
        <v>27417</v>
      </c>
      <c r="M13" s="37">
        <f t="shared" si="1"/>
        <v>27417</v>
      </c>
      <c r="N13" s="37">
        <f t="shared" si="1"/>
        <v>27417</v>
      </c>
      <c r="O13" s="37">
        <f t="shared" si="1"/>
        <v>27417</v>
      </c>
      <c r="P13" s="37">
        <f t="shared" si="1"/>
        <v>27417</v>
      </c>
      <c r="Q13" s="37">
        <f>D13-SUM(F13:P13)</f>
        <v>27413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80000</v>
      </c>
      <c r="E14" s="37" t="s">
        <v>525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108000</v>
      </c>
      <c r="E15" s="37" t="s">
        <v>193</v>
      </c>
      <c r="F15" s="37">
        <f>ROUND($D15/2,-3)</f>
        <v>54000</v>
      </c>
      <c r="G15" s="37"/>
      <c r="H15" s="37"/>
      <c r="I15" s="37"/>
      <c r="J15" s="37"/>
      <c r="K15" s="37"/>
      <c r="L15" s="37">
        <f>D15-F15</f>
        <v>54000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0</v>
      </c>
      <c r="E16" s="37" t="s">
        <v>525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72000</v>
      </c>
      <c r="E17" s="37" t="s">
        <v>525</v>
      </c>
      <c r="F17" s="37">
        <f>ROUND($D17/12,0)</f>
        <v>6000</v>
      </c>
      <c r="G17" s="37">
        <f t="shared" si="1"/>
        <v>6000</v>
      </c>
      <c r="H17" s="37">
        <f t="shared" si="1"/>
        <v>6000</v>
      </c>
      <c r="I17" s="37">
        <f t="shared" si="1"/>
        <v>6000</v>
      </c>
      <c r="J17" s="37">
        <f t="shared" si="1"/>
        <v>6000</v>
      </c>
      <c r="K17" s="37">
        <f t="shared" si="1"/>
        <v>6000</v>
      </c>
      <c r="L17" s="37">
        <f t="shared" si="1"/>
        <v>6000</v>
      </c>
      <c r="M17" s="37">
        <f t="shared" si="1"/>
        <v>6000</v>
      </c>
      <c r="N17" s="37">
        <f t="shared" si="1"/>
        <v>6000</v>
      </c>
      <c r="O17" s="37">
        <f t="shared" si="1"/>
        <v>6000</v>
      </c>
      <c r="P17" s="37">
        <f t="shared" si="1"/>
        <v>6000</v>
      </c>
      <c r="Q17" s="37">
        <f>D17-SUM(F17:P17)</f>
        <v>6000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390000</v>
      </c>
      <c r="E24" s="37" t="s">
        <v>193</v>
      </c>
      <c r="F24" s="37">
        <f>ROUND($D24/2,-3)</f>
        <v>195000</v>
      </c>
      <c r="G24" s="37"/>
      <c r="H24" s="37"/>
      <c r="I24" s="37"/>
      <c r="J24" s="37"/>
      <c r="K24" s="37"/>
      <c r="L24" s="37">
        <f>D24-F24</f>
        <v>195000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2735000</v>
      </c>
      <c r="E25" s="108"/>
      <c r="F25" s="108">
        <f>ROUND(SUM(F3:F24),-3)</f>
        <v>588000</v>
      </c>
      <c r="G25" s="108">
        <f t="shared" ref="G25:P25" si="5">ROUND(SUM(G3:G24),-3)</f>
        <v>184000</v>
      </c>
      <c r="H25" s="108">
        <f t="shared" si="5"/>
        <v>184000</v>
      </c>
      <c r="I25" s="108">
        <f t="shared" si="5"/>
        <v>184000</v>
      </c>
      <c r="J25" s="108">
        <f t="shared" si="5"/>
        <v>184000</v>
      </c>
      <c r="K25" s="108">
        <f t="shared" si="5"/>
        <v>184000</v>
      </c>
      <c r="L25" s="108">
        <f t="shared" si="5"/>
        <v>433000</v>
      </c>
      <c r="M25" s="108">
        <f t="shared" si="5"/>
        <v>184000</v>
      </c>
      <c r="N25" s="108">
        <f t="shared" si="5"/>
        <v>184000</v>
      </c>
      <c r="O25" s="108">
        <f t="shared" si="5"/>
        <v>185000</v>
      </c>
      <c r="P25" s="108">
        <f t="shared" si="5"/>
        <v>120000</v>
      </c>
      <c r="Q25" s="108">
        <f t="shared" ref="Q25:Q33" si="6">D25-SUM(F25:P25)</f>
        <v>121000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173000</v>
      </c>
      <c r="E26" s="114" t="s">
        <v>204</v>
      </c>
      <c r="F26" s="37">
        <f>ROUND($D26/10,-3)</f>
        <v>17000</v>
      </c>
      <c r="G26" s="37"/>
      <c r="H26" s="37">
        <f>ROUND($D26/10,-3)</f>
        <v>17000</v>
      </c>
      <c r="I26" s="37">
        <f>ROUND($D26/10,-3)</f>
        <v>17000</v>
      </c>
      <c r="J26" s="37">
        <f>ROUND($D26/10,-3)</f>
        <v>17000</v>
      </c>
      <c r="K26" s="37">
        <f>ROUND($D26/10,-3)</f>
        <v>17000</v>
      </c>
      <c r="L26" s="37"/>
      <c r="M26" s="37">
        <f>ROUND($D26/10,-3)</f>
        <v>17000</v>
      </c>
      <c r="N26" s="37">
        <f>ROUND($D26/10,-3)</f>
        <v>17000</v>
      </c>
      <c r="O26" s="37">
        <f>ROUND($D26/10,-3)</f>
        <v>17000</v>
      </c>
      <c r="P26" s="37">
        <f>ROUND($D26/10,-3)</f>
        <v>17000</v>
      </c>
      <c r="Q26" s="37">
        <f t="shared" si="6"/>
        <v>20000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461000</v>
      </c>
      <c r="E27" s="37" t="s">
        <v>525</v>
      </c>
      <c r="F27" s="37">
        <f t="shared" ref="F27:P33" si="8">ROUND($D27/12,0)</f>
        <v>38417</v>
      </c>
      <c r="G27" s="37">
        <f t="shared" si="8"/>
        <v>38417</v>
      </c>
      <c r="H27" s="37">
        <f t="shared" si="8"/>
        <v>38417</v>
      </c>
      <c r="I27" s="37">
        <f t="shared" si="8"/>
        <v>38417</v>
      </c>
      <c r="J27" s="37">
        <f t="shared" si="8"/>
        <v>38417</v>
      </c>
      <c r="K27" s="37">
        <f t="shared" si="8"/>
        <v>38417</v>
      </c>
      <c r="L27" s="37">
        <f t="shared" si="8"/>
        <v>38417</v>
      </c>
      <c r="M27" s="37">
        <f t="shared" si="8"/>
        <v>38417</v>
      </c>
      <c r="N27" s="37">
        <f t="shared" si="8"/>
        <v>38417</v>
      </c>
      <c r="O27" s="37">
        <f t="shared" si="8"/>
        <v>38417</v>
      </c>
      <c r="P27" s="37">
        <f t="shared" si="8"/>
        <v>38417</v>
      </c>
      <c r="Q27" s="37">
        <f t="shared" si="6"/>
        <v>38413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16000</v>
      </c>
      <c r="E28" s="37" t="s">
        <v>525</v>
      </c>
      <c r="F28" s="37">
        <f t="shared" si="8"/>
        <v>1333</v>
      </c>
      <c r="G28" s="37">
        <f t="shared" si="8"/>
        <v>1333</v>
      </c>
      <c r="H28" s="37">
        <f t="shared" si="8"/>
        <v>1333</v>
      </c>
      <c r="I28" s="37">
        <f t="shared" si="8"/>
        <v>1333</v>
      </c>
      <c r="J28" s="37">
        <f t="shared" si="8"/>
        <v>1333</v>
      </c>
      <c r="K28" s="37">
        <f t="shared" si="8"/>
        <v>1333</v>
      </c>
      <c r="L28" s="37">
        <f t="shared" si="8"/>
        <v>1333</v>
      </c>
      <c r="M28" s="37">
        <f t="shared" si="8"/>
        <v>1333</v>
      </c>
      <c r="N28" s="37">
        <f t="shared" si="8"/>
        <v>1333</v>
      </c>
      <c r="O28" s="37">
        <f t="shared" si="8"/>
        <v>1333</v>
      </c>
      <c r="P28" s="37">
        <f t="shared" si="8"/>
        <v>1333</v>
      </c>
      <c r="Q28" s="37">
        <f t="shared" si="6"/>
        <v>1337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37000</v>
      </c>
      <c r="E29" s="37" t="s">
        <v>525</v>
      </c>
      <c r="F29" s="37">
        <f t="shared" si="8"/>
        <v>3083</v>
      </c>
      <c r="G29" s="37">
        <f t="shared" si="8"/>
        <v>3083</v>
      </c>
      <c r="H29" s="37">
        <f t="shared" si="8"/>
        <v>3083</v>
      </c>
      <c r="I29" s="37">
        <f t="shared" si="8"/>
        <v>3083</v>
      </c>
      <c r="J29" s="37">
        <f t="shared" si="8"/>
        <v>3083</v>
      </c>
      <c r="K29" s="37">
        <f t="shared" si="8"/>
        <v>3083</v>
      </c>
      <c r="L29" s="37">
        <f t="shared" si="8"/>
        <v>3083</v>
      </c>
      <c r="M29" s="37">
        <f t="shared" si="8"/>
        <v>3083</v>
      </c>
      <c r="N29" s="37">
        <f t="shared" si="8"/>
        <v>3083</v>
      </c>
      <c r="O29" s="37">
        <f t="shared" si="8"/>
        <v>3083</v>
      </c>
      <c r="P29" s="37">
        <f t="shared" si="8"/>
        <v>3083</v>
      </c>
      <c r="Q29" s="37">
        <f t="shared" si="6"/>
        <v>3087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62000</v>
      </c>
      <c r="E30" s="37" t="s">
        <v>525</v>
      </c>
      <c r="F30" s="37">
        <f t="shared" si="8"/>
        <v>5167</v>
      </c>
      <c r="G30" s="37">
        <f t="shared" si="8"/>
        <v>5167</v>
      </c>
      <c r="H30" s="37">
        <f t="shared" si="8"/>
        <v>5167</v>
      </c>
      <c r="I30" s="37">
        <f t="shared" si="8"/>
        <v>5167</v>
      </c>
      <c r="J30" s="37">
        <f t="shared" si="8"/>
        <v>5167</v>
      </c>
      <c r="K30" s="37">
        <f t="shared" si="8"/>
        <v>5167</v>
      </c>
      <c r="L30" s="37">
        <f t="shared" si="8"/>
        <v>5167</v>
      </c>
      <c r="M30" s="37">
        <f t="shared" si="8"/>
        <v>5167</v>
      </c>
      <c r="N30" s="37">
        <f t="shared" si="8"/>
        <v>5167</v>
      </c>
      <c r="O30" s="37">
        <f t="shared" si="8"/>
        <v>5167</v>
      </c>
      <c r="P30" s="37">
        <f t="shared" si="8"/>
        <v>5167</v>
      </c>
      <c r="Q30" s="37">
        <f t="shared" si="6"/>
        <v>5163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31000</v>
      </c>
      <c r="E31" s="37" t="s">
        <v>525</v>
      </c>
      <c r="F31" s="37">
        <f t="shared" si="8"/>
        <v>2583</v>
      </c>
      <c r="G31" s="37">
        <f t="shared" si="8"/>
        <v>2583</v>
      </c>
      <c r="H31" s="37">
        <f t="shared" si="8"/>
        <v>2583</v>
      </c>
      <c r="I31" s="37">
        <f t="shared" si="8"/>
        <v>2583</v>
      </c>
      <c r="J31" s="37">
        <f t="shared" si="8"/>
        <v>2583</v>
      </c>
      <c r="K31" s="37">
        <f t="shared" si="8"/>
        <v>2583</v>
      </c>
      <c r="L31" s="37">
        <f t="shared" si="8"/>
        <v>2583</v>
      </c>
      <c r="M31" s="37">
        <f t="shared" si="8"/>
        <v>2583</v>
      </c>
      <c r="N31" s="37">
        <f t="shared" si="8"/>
        <v>2583</v>
      </c>
      <c r="O31" s="37">
        <f t="shared" si="8"/>
        <v>2583</v>
      </c>
      <c r="P31" s="37">
        <f t="shared" si="8"/>
        <v>2583</v>
      </c>
      <c r="Q31" s="37">
        <f t="shared" si="6"/>
        <v>2587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96000</v>
      </c>
      <c r="E32" s="37" t="s">
        <v>525</v>
      </c>
      <c r="F32" s="37">
        <f t="shared" si="8"/>
        <v>8000</v>
      </c>
      <c r="G32" s="37">
        <f t="shared" si="8"/>
        <v>8000</v>
      </c>
      <c r="H32" s="37">
        <f t="shared" si="8"/>
        <v>8000</v>
      </c>
      <c r="I32" s="37">
        <f t="shared" si="8"/>
        <v>8000</v>
      </c>
      <c r="J32" s="37">
        <f t="shared" si="8"/>
        <v>8000</v>
      </c>
      <c r="K32" s="37">
        <f t="shared" si="8"/>
        <v>8000</v>
      </c>
      <c r="L32" s="37">
        <f t="shared" si="8"/>
        <v>8000</v>
      </c>
      <c r="M32" s="37">
        <f t="shared" si="8"/>
        <v>8000</v>
      </c>
      <c r="N32" s="37">
        <f t="shared" si="8"/>
        <v>8000</v>
      </c>
      <c r="O32" s="37">
        <f t="shared" si="8"/>
        <v>8000</v>
      </c>
      <c r="P32" s="37">
        <f t="shared" si="8"/>
        <v>8000</v>
      </c>
      <c r="Q32" s="37">
        <f t="shared" si="6"/>
        <v>8000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58000</v>
      </c>
      <c r="E33" s="37" t="s">
        <v>525</v>
      </c>
      <c r="F33" s="37">
        <f t="shared" si="8"/>
        <v>4833</v>
      </c>
      <c r="G33" s="37">
        <f t="shared" si="8"/>
        <v>4833</v>
      </c>
      <c r="H33" s="37">
        <f t="shared" si="8"/>
        <v>4833</v>
      </c>
      <c r="I33" s="37">
        <f t="shared" si="8"/>
        <v>4833</v>
      </c>
      <c r="J33" s="37">
        <f t="shared" si="8"/>
        <v>4833</v>
      </c>
      <c r="K33" s="37">
        <f t="shared" si="8"/>
        <v>4833</v>
      </c>
      <c r="L33" s="37">
        <f t="shared" si="8"/>
        <v>4833</v>
      </c>
      <c r="M33" s="37">
        <f t="shared" si="8"/>
        <v>4833</v>
      </c>
      <c r="N33" s="37">
        <f t="shared" si="8"/>
        <v>4833</v>
      </c>
      <c r="O33" s="37">
        <f t="shared" si="8"/>
        <v>4833</v>
      </c>
      <c r="P33" s="37">
        <f t="shared" si="8"/>
        <v>4833</v>
      </c>
      <c r="Q33" s="37">
        <f t="shared" si="6"/>
        <v>4837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80000</v>
      </c>
      <c r="E36" s="37" t="s">
        <v>193</v>
      </c>
      <c r="F36" s="37">
        <f>ROUND($D36/2,-3)</f>
        <v>40000</v>
      </c>
      <c r="G36" s="37"/>
      <c r="H36" s="37"/>
      <c r="I36" s="37"/>
      <c r="J36" s="37"/>
      <c r="K36" s="37"/>
      <c r="L36" s="37">
        <f>D36-F36</f>
        <v>40000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1014000</v>
      </c>
      <c r="E37" s="108"/>
      <c r="F37" s="108">
        <f t="shared" ref="F37:P37" si="9">ROUND(SUM(F26:F36),-3)</f>
        <v>120000</v>
      </c>
      <c r="G37" s="108">
        <f t="shared" si="9"/>
        <v>63000</v>
      </c>
      <c r="H37" s="108">
        <f t="shared" si="9"/>
        <v>80000</v>
      </c>
      <c r="I37" s="108">
        <f t="shared" si="9"/>
        <v>80000</v>
      </c>
      <c r="J37" s="108">
        <f t="shared" si="9"/>
        <v>80000</v>
      </c>
      <c r="K37" s="108">
        <f t="shared" si="9"/>
        <v>80000</v>
      </c>
      <c r="L37" s="108">
        <f t="shared" si="9"/>
        <v>103000</v>
      </c>
      <c r="M37" s="108">
        <f t="shared" si="9"/>
        <v>80000</v>
      </c>
      <c r="N37" s="108">
        <f t="shared" si="9"/>
        <v>80000</v>
      </c>
      <c r="O37" s="108">
        <f t="shared" si="9"/>
        <v>80000</v>
      </c>
      <c r="P37" s="108">
        <f t="shared" si="9"/>
        <v>80000</v>
      </c>
      <c r="Q37" s="108">
        <f>D37-SUM(F37:P37)</f>
        <v>88000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18000</v>
      </c>
      <c r="E42" s="37" t="s">
        <v>199</v>
      </c>
      <c r="F42" s="37"/>
      <c r="G42" s="37"/>
      <c r="H42" s="37"/>
      <c r="I42" s="37">
        <f>D42</f>
        <v>18000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2000</v>
      </c>
      <c r="E43" s="37" t="s">
        <v>195</v>
      </c>
      <c r="F43" s="37">
        <f>D43</f>
        <v>2000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11000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11000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31000</v>
      </c>
      <c r="E45" s="108"/>
      <c r="F45" s="108">
        <f t="shared" ref="F45:P45" si="12">ROUND(SUM(F42:F44),-3)</f>
        <v>2000</v>
      </c>
      <c r="G45" s="108">
        <f t="shared" si="12"/>
        <v>0</v>
      </c>
      <c r="H45" s="108">
        <f t="shared" si="12"/>
        <v>0</v>
      </c>
      <c r="I45" s="108">
        <f t="shared" si="12"/>
        <v>18000</v>
      </c>
      <c r="J45" s="108">
        <f t="shared" si="12"/>
        <v>0</v>
      </c>
      <c r="K45" s="108">
        <f t="shared" si="12"/>
        <v>0</v>
      </c>
      <c r="L45" s="108">
        <f t="shared" si="12"/>
        <v>11000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18000</v>
      </c>
      <c r="E46" s="37" t="s">
        <v>194</v>
      </c>
      <c r="F46" s="37">
        <f>ROUND($D46/3,0)</f>
        <v>6000</v>
      </c>
      <c r="G46" s="37"/>
      <c r="H46" s="37"/>
      <c r="I46" s="37"/>
      <c r="J46" s="37"/>
      <c r="K46" s="37">
        <f>ROUND($D46/3,0)</f>
        <v>6000</v>
      </c>
      <c r="L46" s="37"/>
      <c r="M46" s="37"/>
      <c r="N46" s="37">
        <f>ROUND($D46/3,0)</f>
        <v>6000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18000</v>
      </c>
      <c r="E47" s="108"/>
      <c r="F47" s="108">
        <f t="shared" ref="F47:P47" si="13">ROUND(SUM(F46),-3)</f>
        <v>6000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6000</v>
      </c>
      <c r="L47" s="108">
        <f t="shared" si="13"/>
        <v>0</v>
      </c>
      <c r="M47" s="108">
        <f t="shared" si="13"/>
        <v>0</v>
      </c>
      <c r="N47" s="108">
        <f t="shared" si="13"/>
        <v>6000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3798000</v>
      </c>
      <c r="E48" s="37"/>
      <c r="F48" s="115">
        <f>F25+F37+F45+F47</f>
        <v>716000</v>
      </c>
      <c r="G48" s="115">
        <f t="shared" ref="G48:R48" si="14">G25+G37+G45+G47</f>
        <v>247000</v>
      </c>
      <c r="H48" s="115">
        <f t="shared" si="14"/>
        <v>264000</v>
      </c>
      <c r="I48" s="115">
        <f t="shared" si="14"/>
        <v>282000</v>
      </c>
      <c r="J48" s="115">
        <f t="shared" si="14"/>
        <v>264000</v>
      </c>
      <c r="K48" s="115">
        <f t="shared" si="14"/>
        <v>270000</v>
      </c>
      <c r="L48" s="115">
        <f t="shared" si="14"/>
        <v>547000</v>
      </c>
      <c r="M48" s="115">
        <f t="shared" si="14"/>
        <v>264000</v>
      </c>
      <c r="N48" s="115">
        <f t="shared" si="14"/>
        <v>270000</v>
      </c>
      <c r="O48" s="115">
        <f t="shared" si="14"/>
        <v>265000</v>
      </c>
      <c r="P48" s="115">
        <f t="shared" si="14"/>
        <v>200000</v>
      </c>
      <c r="Q48" s="115">
        <f t="shared" si="14"/>
        <v>209000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42217000</v>
      </c>
      <c r="E49" s="114" t="s">
        <v>202</v>
      </c>
      <c r="F49" s="37">
        <f>ROUND($D49/12*3,-3)</f>
        <v>10554000</v>
      </c>
      <c r="G49" s="37">
        <f>ROUND($D49/12,-3)</f>
        <v>3518000</v>
      </c>
      <c r="H49" s="37">
        <f t="shared" ref="H49:N53" si="15">ROUND($D49/12,-3)</f>
        <v>3518000</v>
      </c>
      <c r="I49" s="37">
        <f t="shared" si="15"/>
        <v>3518000</v>
      </c>
      <c r="J49" s="37">
        <f t="shared" si="15"/>
        <v>3518000</v>
      </c>
      <c r="K49" s="37">
        <f t="shared" si="15"/>
        <v>3518000</v>
      </c>
      <c r="L49" s="37">
        <f t="shared" si="15"/>
        <v>3518000</v>
      </c>
      <c r="M49" s="37">
        <f t="shared" si="15"/>
        <v>3518000</v>
      </c>
      <c r="N49" s="37">
        <f t="shared" si="15"/>
        <v>3518000</v>
      </c>
      <c r="O49" s="37">
        <f>D49-SUM(F49:N49)</f>
        <v>3519000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406000</v>
      </c>
      <c r="E50" s="114" t="s">
        <v>202</v>
      </c>
      <c r="F50" s="37">
        <f t="shared" ref="F50:F53" si="16">ROUND($D50/12*3,-3)</f>
        <v>102000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si="15"/>
        <v>34000</v>
      </c>
      <c r="N50" s="37">
        <f t="shared" si="15"/>
        <v>34000</v>
      </c>
      <c r="O50" s="37">
        <f t="shared" ref="O50:O53" si="18">D50-SUM(F50:N50)</f>
        <v>32000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1349000</v>
      </c>
      <c r="E51" s="114" t="s">
        <v>202</v>
      </c>
      <c r="F51" s="37">
        <f t="shared" si="16"/>
        <v>337000</v>
      </c>
      <c r="G51" s="37">
        <f t="shared" si="17"/>
        <v>112000</v>
      </c>
      <c r="H51" s="37">
        <f t="shared" si="15"/>
        <v>112000</v>
      </c>
      <c r="I51" s="37">
        <f t="shared" si="15"/>
        <v>112000</v>
      </c>
      <c r="J51" s="37">
        <f t="shared" si="15"/>
        <v>112000</v>
      </c>
      <c r="K51" s="37">
        <f t="shared" si="15"/>
        <v>112000</v>
      </c>
      <c r="L51" s="37">
        <f t="shared" si="15"/>
        <v>112000</v>
      </c>
      <c r="M51" s="37">
        <f t="shared" si="15"/>
        <v>112000</v>
      </c>
      <c r="N51" s="37">
        <f t="shared" si="15"/>
        <v>112000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399000</v>
      </c>
      <c r="E52" s="114" t="s">
        <v>202</v>
      </c>
      <c r="F52" s="37">
        <f t="shared" si="16"/>
        <v>100000</v>
      </c>
      <c r="G52" s="37">
        <f t="shared" si="17"/>
        <v>33000</v>
      </c>
      <c r="H52" s="37">
        <f t="shared" si="15"/>
        <v>33000</v>
      </c>
      <c r="I52" s="37">
        <f t="shared" si="15"/>
        <v>33000</v>
      </c>
      <c r="J52" s="37">
        <f t="shared" si="15"/>
        <v>33000</v>
      </c>
      <c r="K52" s="37">
        <f t="shared" si="15"/>
        <v>33000</v>
      </c>
      <c r="L52" s="37">
        <f t="shared" si="15"/>
        <v>33000</v>
      </c>
      <c r="M52" s="37">
        <f t="shared" si="15"/>
        <v>33000</v>
      </c>
      <c r="N52" s="37">
        <f t="shared" si="15"/>
        <v>33000</v>
      </c>
      <c r="O52" s="37">
        <f t="shared" si="18"/>
        <v>35000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108000</v>
      </c>
      <c r="E54" s="37" t="s">
        <v>525</v>
      </c>
      <c r="F54" s="37">
        <f t="shared" ref="F54:P61" si="19">ROUND($D54/12,0)</f>
        <v>9000</v>
      </c>
      <c r="G54" s="37">
        <f t="shared" si="19"/>
        <v>9000</v>
      </c>
      <c r="H54" s="37">
        <f t="shared" si="19"/>
        <v>9000</v>
      </c>
      <c r="I54" s="37">
        <f t="shared" si="19"/>
        <v>9000</v>
      </c>
      <c r="J54" s="37">
        <f t="shared" si="19"/>
        <v>9000</v>
      </c>
      <c r="K54" s="37">
        <f t="shared" si="19"/>
        <v>9000</v>
      </c>
      <c r="L54" s="37">
        <f t="shared" si="19"/>
        <v>9000</v>
      </c>
      <c r="M54" s="37">
        <f t="shared" si="19"/>
        <v>9000</v>
      </c>
      <c r="N54" s="37">
        <f t="shared" si="19"/>
        <v>9000</v>
      </c>
      <c r="O54" s="37">
        <f t="shared" si="19"/>
        <v>9000</v>
      </c>
      <c r="P54" s="37">
        <f t="shared" si="19"/>
        <v>9000</v>
      </c>
      <c r="Q54" s="37">
        <f t="shared" ref="Q54:Q61" si="20">D54-SUM(F54:P54)</f>
        <v>9000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138000</v>
      </c>
      <c r="E55" s="37" t="s">
        <v>525</v>
      </c>
      <c r="F55" s="37">
        <f t="shared" si="19"/>
        <v>11500</v>
      </c>
      <c r="G55" s="37">
        <f t="shared" si="19"/>
        <v>11500</v>
      </c>
      <c r="H55" s="37">
        <f t="shared" si="19"/>
        <v>11500</v>
      </c>
      <c r="I55" s="37">
        <f t="shared" si="19"/>
        <v>11500</v>
      </c>
      <c r="J55" s="37">
        <f t="shared" si="19"/>
        <v>11500</v>
      </c>
      <c r="K55" s="37">
        <f t="shared" si="19"/>
        <v>11500</v>
      </c>
      <c r="L55" s="37">
        <f t="shared" si="19"/>
        <v>11500</v>
      </c>
      <c r="M55" s="37">
        <f t="shared" si="19"/>
        <v>11500</v>
      </c>
      <c r="N55" s="37">
        <f t="shared" si="19"/>
        <v>11500</v>
      </c>
      <c r="O55" s="37">
        <f t="shared" si="19"/>
        <v>11500</v>
      </c>
      <c r="P55" s="37">
        <f t="shared" si="19"/>
        <v>11500</v>
      </c>
      <c r="Q55" s="37">
        <f t="shared" si="20"/>
        <v>11500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72000</v>
      </c>
      <c r="E56" s="37" t="s">
        <v>525</v>
      </c>
      <c r="F56" s="37">
        <f t="shared" si="19"/>
        <v>6000</v>
      </c>
      <c r="G56" s="37">
        <f t="shared" si="19"/>
        <v>6000</v>
      </c>
      <c r="H56" s="37">
        <f t="shared" si="19"/>
        <v>6000</v>
      </c>
      <c r="I56" s="37">
        <f t="shared" si="19"/>
        <v>6000</v>
      </c>
      <c r="J56" s="37">
        <f t="shared" si="19"/>
        <v>6000</v>
      </c>
      <c r="K56" s="37">
        <f t="shared" si="19"/>
        <v>6000</v>
      </c>
      <c r="L56" s="37">
        <f t="shared" si="19"/>
        <v>6000</v>
      </c>
      <c r="M56" s="37">
        <f t="shared" si="19"/>
        <v>6000</v>
      </c>
      <c r="N56" s="37">
        <f t="shared" si="19"/>
        <v>6000</v>
      </c>
      <c r="O56" s="37">
        <f t="shared" si="19"/>
        <v>6000</v>
      </c>
      <c r="P56" s="37">
        <f t="shared" si="19"/>
        <v>6000</v>
      </c>
      <c r="Q56" s="37">
        <f t="shared" si="20"/>
        <v>6000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66000</v>
      </c>
      <c r="E57" s="37" t="s">
        <v>525</v>
      </c>
      <c r="F57" s="37">
        <f t="shared" si="19"/>
        <v>5500</v>
      </c>
      <c r="G57" s="37">
        <f t="shared" si="19"/>
        <v>5500</v>
      </c>
      <c r="H57" s="37">
        <f t="shared" si="19"/>
        <v>5500</v>
      </c>
      <c r="I57" s="37">
        <f t="shared" si="19"/>
        <v>5500</v>
      </c>
      <c r="J57" s="37">
        <f t="shared" si="19"/>
        <v>5500</v>
      </c>
      <c r="K57" s="37">
        <f t="shared" si="19"/>
        <v>5500</v>
      </c>
      <c r="L57" s="37">
        <f t="shared" si="19"/>
        <v>5500</v>
      </c>
      <c r="M57" s="37">
        <f t="shared" si="19"/>
        <v>5500</v>
      </c>
      <c r="N57" s="37">
        <f t="shared" si="19"/>
        <v>5500</v>
      </c>
      <c r="O57" s="37">
        <f t="shared" si="19"/>
        <v>5500</v>
      </c>
      <c r="P57" s="37">
        <f t="shared" si="19"/>
        <v>5500</v>
      </c>
      <c r="Q57" s="37">
        <f t="shared" si="20"/>
        <v>5500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108000</v>
      </c>
      <c r="E58" s="37" t="s">
        <v>525</v>
      </c>
      <c r="F58" s="37">
        <f t="shared" si="19"/>
        <v>9000</v>
      </c>
      <c r="G58" s="37">
        <f t="shared" si="19"/>
        <v>9000</v>
      </c>
      <c r="H58" s="37">
        <f t="shared" si="19"/>
        <v>9000</v>
      </c>
      <c r="I58" s="37">
        <f t="shared" si="19"/>
        <v>9000</v>
      </c>
      <c r="J58" s="37">
        <f t="shared" si="19"/>
        <v>9000</v>
      </c>
      <c r="K58" s="37">
        <f t="shared" si="19"/>
        <v>9000</v>
      </c>
      <c r="L58" s="37">
        <f t="shared" si="19"/>
        <v>9000</v>
      </c>
      <c r="M58" s="37">
        <f t="shared" si="19"/>
        <v>9000</v>
      </c>
      <c r="N58" s="37">
        <f t="shared" si="19"/>
        <v>9000</v>
      </c>
      <c r="O58" s="37">
        <f t="shared" si="19"/>
        <v>9000</v>
      </c>
      <c r="P58" s="37">
        <f t="shared" si="19"/>
        <v>9000</v>
      </c>
      <c r="Q58" s="37">
        <f t="shared" si="20"/>
        <v>9000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0</v>
      </c>
      <c r="E59" s="37" t="s">
        <v>525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1075000</v>
      </c>
      <c r="E60" s="37" t="s">
        <v>195</v>
      </c>
      <c r="F60" s="37">
        <f>D60</f>
        <v>1075000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4496000</v>
      </c>
      <c r="E62" s="37" t="s">
        <v>197</v>
      </c>
      <c r="F62" s="37"/>
      <c r="G62" s="37"/>
      <c r="H62" s="37"/>
      <c r="I62" s="37">
        <f>ROUND($D62/5,-3)</f>
        <v>899000</v>
      </c>
      <c r="J62" s="37"/>
      <c r="K62" s="37"/>
      <c r="L62" s="37"/>
      <c r="M62" s="37"/>
      <c r="N62" s="37">
        <f>D62-I62</f>
        <v>3597000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5154000</v>
      </c>
      <c r="E63" s="37" t="s">
        <v>195</v>
      </c>
      <c r="F63" s="37">
        <f>D63</f>
        <v>5154000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4390000</v>
      </c>
      <c r="E64" s="114" t="s">
        <v>202</v>
      </c>
      <c r="F64" s="37">
        <f>ROUND($D64/12*3,-3)</f>
        <v>1098000</v>
      </c>
      <c r="G64" s="37">
        <f>ROUND($D64/12,-3)</f>
        <v>366000</v>
      </c>
      <c r="H64" s="37">
        <f t="shared" ref="H64:N66" si="21">ROUND($D64/12,-3)</f>
        <v>366000</v>
      </c>
      <c r="I64" s="37">
        <f t="shared" si="21"/>
        <v>366000</v>
      </c>
      <c r="J64" s="37">
        <f t="shared" si="21"/>
        <v>366000</v>
      </c>
      <c r="K64" s="37">
        <f t="shared" si="21"/>
        <v>366000</v>
      </c>
      <c r="L64" s="37">
        <f t="shared" si="21"/>
        <v>366000</v>
      </c>
      <c r="M64" s="37">
        <f t="shared" si="21"/>
        <v>366000</v>
      </c>
      <c r="N64" s="37">
        <f t="shared" si="21"/>
        <v>366000</v>
      </c>
      <c r="O64" s="37">
        <f>D64-SUM(F64:N64)</f>
        <v>364000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1052000</v>
      </c>
      <c r="E65" s="114" t="s">
        <v>202</v>
      </c>
      <c r="F65" s="37">
        <f t="shared" ref="F65:F66" si="22">ROUND($D65/12*3,-3)</f>
        <v>263000</v>
      </c>
      <c r="G65" s="37">
        <f t="shared" ref="G65:G66" si="23">ROUND($D65/12,-3)</f>
        <v>88000</v>
      </c>
      <c r="H65" s="37">
        <f t="shared" si="21"/>
        <v>88000</v>
      </c>
      <c r="I65" s="37">
        <f t="shared" si="21"/>
        <v>88000</v>
      </c>
      <c r="J65" s="37">
        <f t="shared" si="21"/>
        <v>88000</v>
      </c>
      <c r="K65" s="37">
        <f t="shared" si="21"/>
        <v>88000</v>
      </c>
      <c r="L65" s="37">
        <f t="shared" si="21"/>
        <v>88000</v>
      </c>
      <c r="M65" s="37">
        <f t="shared" si="21"/>
        <v>88000</v>
      </c>
      <c r="N65" s="37">
        <f t="shared" si="21"/>
        <v>88000</v>
      </c>
      <c r="O65" s="37">
        <f t="shared" ref="O65:O66" si="24">D65-SUM(F65:N65)</f>
        <v>85000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2983000</v>
      </c>
      <c r="E66" s="114" t="s">
        <v>202</v>
      </c>
      <c r="F66" s="37">
        <f t="shared" si="22"/>
        <v>746000</v>
      </c>
      <c r="G66" s="37">
        <f t="shared" si="23"/>
        <v>249000</v>
      </c>
      <c r="H66" s="37">
        <f t="shared" si="21"/>
        <v>249000</v>
      </c>
      <c r="I66" s="37">
        <f t="shared" si="21"/>
        <v>249000</v>
      </c>
      <c r="J66" s="37">
        <f t="shared" si="21"/>
        <v>249000</v>
      </c>
      <c r="K66" s="37">
        <f t="shared" si="21"/>
        <v>249000</v>
      </c>
      <c r="L66" s="37">
        <f t="shared" si="21"/>
        <v>249000</v>
      </c>
      <c r="M66" s="37">
        <f t="shared" si="21"/>
        <v>249000</v>
      </c>
      <c r="N66" s="37">
        <f t="shared" si="21"/>
        <v>249000</v>
      </c>
      <c r="O66" s="37">
        <f t="shared" si="24"/>
        <v>245000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76000</v>
      </c>
      <c r="E67" s="37" t="s">
        <v>196</v>
      </c>
      <c r="F67" s="37"/>
      <c r="G67" s="37"/>
      <c r="H67" s="37">
        <f>D67</f>
        <v>76000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336000</v>
      </c>
      <c r="E68" s="37" t="s">
        <v>195</v>
      </c>
      <c r="F68" s="37">
        <f>D68</f>
        <v>336000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10000</v>
      </c>
      <c r="E69" s="37" t="s">
        <v>193</v>
      </c>
      <c r="F69" s="37">
        <f>ROUND($D69/2,-3)</f>
        <v>5000</v>
      </c>
      <c r="G69" s="37"/>
      <c r="H69" s="37"/>
      <c r="I69" s="37"/>
      <c r="J69" s="37"/>
      <c r="K69" s="37"/>
      <c r="L69" s="37">
        <f>D69-F69</f>
        <v>5000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64435000</v>
      </c>
      <c r="E70" s="108"/>
      <c r="F70" s="108">
        <f t="shared" ref="F70:P70" si="25">ROUND(SUM(F49:F69),-3)</f>
        <v>19811000</v>
      </c>
      <c r="G70" s="108">
        <f t="shared" si="25"/>
        <v>4441000</v>
      </c>
      <c r="H70" s="108">
        <f t="shared" si="25"/>
        <v>4517000</v>
      </c>
      <c r="I70" s="108">
        <f t="shared" si="25"/>
        <v>5340000</v>
      </c>
      <c r="J70" s="108">
        <f t="shared" si="25"/>
        <v>4441000</v>
      </c>
      <c r="K70" s="108">
        <f t="shared" si="25"/>
        <v>4441000</v>
      </c>
      <c r="L70" s="108">
        <f t="shared" si="25"/>
        <v>4446000</v>
      </c>
      <c r="M70" s="108">
        <f t="shared" si="25"/>
        <v>4441000</v>
      </c>
      <c r="N70" s="108">
        <f t="shared" si="25"/>
        <v>8038000</v>
      </c>
      <c r="O70" s="108">
        <f t="shared" si="25"/>
        <v>4437000</v>
      </c>
      <c r="P70" s="108">
        <f t="shared" si="25"/>
        <v>41000</v>
      </c>
      <c r="Q70" s="108">
        <f>D70-SUM(F70:P70)</f>
        <v>41000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9001000</v>
      </c>
      <c r="E72" s="114" t="s">
        <v>202</v>
      </c>
      <c r="F72" s="37">
        <f>ROUND($D72/12*3,-3)</f>
        <v>2250000</v>
      </c>
      <c r="G72" s="37">
        <f>ROUND($D72/12,-3)</f>
        <v>750000</v>
      </c>
      <c r="H72" s="37">
        <f t="shared" ref="H72:N75" si="26">ROUND($D72/12,-3)</f>
        <v>750000</v>
      </c>
      <c r="I72" s="37">
        <f t="shared" si="26"/>
        <v>750000</v>
      </c>
      <c r="J72" s="37">
        <f t="shared" si="26"/>
        <v>750000</v>
      </c>
      <c r="K72" s="37">
        <f t="shared" si="26"/>
        <v>750000</v>
      </c>
      <c r="L72" s="37">
        <f t="shared" si="26"/>
        <v>750000</v>
      </c>
      <c r="M72" s="37">
        <f t="shared" si="26"/>
        <v>750000</v>
      </c>
      <c r="N72" s="37">
        <f t="shared" si="26"/>
        <v>750000</v>
      </c>
      <c r="O72" s="37">
        <f>D72-SUM(F72:N72)</f>
        <v>751000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748000</v>
      </c>
      <c r="E75" s="114" t="s">
        <v>202</v>
      </c>
      <c r="F75" s="37">
        <f>ROUND($D75/12*3,-3)</f>
        <v>187000</v>
      </c>
      <c r="G75" s="37">
        <f>ROUND($D75/12,-3)</f>
        <v>62000</v>
      </c>
      <c r="H75" s="37">
        <f t="shared" si="26"/>
        <v>62000</v>
      </c>
      <c r="I75" s="37">
        <f t="shared" si="26"/>
        <v>62000</v>
      </c>
      <c r="J75" s="37">
        <f t="shared" si="26"/>
        <v>62000</v>
      </c>
      <c r="K75" s="37">
        <f t="shared" si="26"/>
        <v>62000</v>
      </c>
      <c r="L75" s="37">
        <f t="shared" si="26"/>
        <v>62000</v>
      </c>
      <c r="M75" s="37">
        <f t="shared" si="26"/>
        <v>62000</v>
      </c>
      <c r="N75" s="37">
        <f t="shared" si="26"/>
        <v>62000</v>
      </c>
      <c r="O75" s="37">
        <f>D75-SUM(F75:N75)</f>
        <v>65000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9749000</v>
      </c>
      <c r="E76" s="108"/>
      <c r="F76" s="108">
        <f>ROUND(SUM(F71:F75),-3)</f>
        <v>2437000</v>
      </c>
      <c r="G76" s="108">
        <f t="shared" ref="G76:N76" si="27">ROUND(SUM(G71:G75),-3)</f>
        <v>812000</v>
      </c>
      <c r="H76" s="108">
        <f t="shared" si="27"/>
        <v>812000</v>
      </c>
      <c r="I76" s="108">
        <f t="shared" si="27"/>
        <v>812000</v>
      </c>
      <c r="J76" s="108">
        <f t="shared" si="27"/>
        <v>812000</v>
      </c>
      <c r="K76" s="108">
        <f t="shared" si="27"/>
        <v>812000</v>
      </c>
      <c r="L76" s="108">
        <f t="shared" si="27"/>
        <v>812000</v>
      </c>
      <c r="M76" s="108">
        <f t="shared" si="27"/>
        <v>812000</v>
      </c>
      <c r="N76" s="108">
        <f t="shared" si="27"/>
        <v>812000</v>
      </c>
      <c r="O76" s="108">
        <f>D76-SUM(F76:N76)</f>
        <v>816000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674000</v>
      </c>
      <c r="E77" s="37" t="s">
        <v>681</v>
      </c>
      <c r="F77" s="224"/>
      <c r="G77" s="224"/>
      <c r="H77" s="224">
        <f>ROUND($D77/2,-3)</f>
        <v>337000</v>
      </c>
      <c r="I77" s="224"/>
      <c r="J77" s="224"/>
      <c r="K77" s="224"/>
      <c r="L77" s="224"/>
      <c r="M77" s="224"/>
      <c r="N77" s="224">
        <f>D77-H77</f>
        <v>337000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74858000</v>
      </c>
      <c r="E78" s="227"/>
      <c r="F78" s="227">
        <f>F76+F70+F77</f>
        <v>22248000</v>
      </c>
      <c r="G78" s="227">
        <f t="shared" ref="G78:Q78" si="29">G76+G70+G77</f>
        <v>5253000</v>
      </c>
      <c r="H78" s="227">
        <f t="shared" si="29"/>
        <v>5666000</v>
      </c>
      <c r="I78" s="227">
        <f t="shared" si="29"/>
        <v>6152000</v>
      </c>
      <c r="J78" s="227">
        <f t="shared" si="29"/>
        <v>5253000</v>
      </c>
      <c r="K78" s="227">
        <f t="shared" si="29"/>
        <v>5253000</v>
      </c>
      <c r="L78" s="227">
        <f t="shared" si="29"/>
        <v>5258000</v>
      </c>
      <c r="M78" s="227">
        <f t="shared" si="29"/>
        <v>5253000</v>
      </c>
      <c r="N78" s="227">
        <f t="shared" si="29"/>
        <v>9187000</v>
      </c>
      <c r="O78" s="227">
        <f t="shared" si="29"/>
        <v>5253000</v>
      </c>
      <c r="P78" s="227">
        <f t="shared" si="29"/>
        <v>41000</v>
      </c>
      <c r="Q78" s="227">
        <f t="shared" si="29"/>
        <v>41000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78656000</v>
      </c>
      <c r="E87" s="37"/>
      <c r="F87" s="37">
        <f>F88+F89+F90+F91</f>
        <v>22964000</v>
      </c>
      <c r="G87" s="37">
        <f t="shared" ref="G87:Q87" si="32">G88+G89+G90+G91</f>
        <v>5500000</v>
      </c>
      <c r="H87" s="37">
        <f t="shared" si="32"/>
        <v>5930000</v>
      </c>
      <c r="I87" s="37">
        <f t="shared" si="32"/>
        <v>6434000</v>
      </c>
      <c r="J87" s="37">
        <f t="shared" si="32"/>
        <v>5517000</v>
      </c>
      <c r="K87" s="37">
        <f t="shared" si="32"/>
        <v>5523000</v>
      </c>
      <c r="L87" s="37">
        <f t="shared" si="32"/>
        <v>5805000</v>
      </c>
      <c r="M87" s="37">
        <f t="shared" si="32"/>
        <v>5517000</v>
      </c>
      <c r="N87" s="37">
        <f t="shared" si="32"/>
        <v>9457000</v>
      </c>
      <c r="O87" s="37">
        <f t="shared" si="32"/>
        <v>5518000</v>
      </c>
      <c r="P87" s="37">
        <f t="shared" si="32"/>
        <v>241000</v>
      </c>
      <c r="Q87" s="37">
        <f t="shared" si="32"/>
        <v>250000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482000</v>
      </c>
      <c r="E88" s="108" t="s">
        <v>193</v>
      </c>
      <c r="F88" s="108">
        <f>ROUND($D88/2,-3)</f>
        <v>241000</v>
      </c>
      <c r="G88" s="108"/>
      <c r="H88" s="108"/>
      <c r="I88" s="108"/>
      <c r="J88" s="108"/>
      <c r="K88" s="108"/>
      <c r="L88" s="108">
        <f>D88-F88</f>
        <v>241000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5000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2000</v>
      </c>
      <c r="M90" s="108"/>
      <c r="N90" s="108"/>
      <c r="O90" s="108"/>
      <c r="P90" s="108"/>
      <c r="Q90" s="108">
        <f>ROUND($D90/2,-3)</f>
        <v>3000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78169000</v>
      </c>
      <c r="E91" s="108"/>
      <c r="F91" s="108">
        <f>F92+F93+F94+F95</f>
        <v>22723000</v>
      </c>
      <c r="G91" s="108">
        <f t="shared" ref="G91:Q91" si="34">G92+G93+G94+G95</f>
        <v>5500000</v>
      </c>
      <c r="H91" s="108">
        <f t="shared" si="34"/>
        <v>5930000</v>
      </c>
      <c r="I91" s="108">
        <f t="shared" si="34"/>
        <v>6434000</v>
      </c>
      <c r="J91" s="108">
        <f t="shared" si="34"/>
        <v>5517000</v>
      </c>
      <c r="K91" s="108">
        <f t="shared" si="34"/>
        <v>5523000</v>
      </c>
      <c r="L91" s="108">
        <f t="shared" si="34"/>
        <v>5562000</v>
      </c>
      <c r="M91" s="108">
        <f t="shared" si="34"/>
        <v>5517000</v>
      </c>
      <c r="N91" s="108">
        <f t="shared" si="34"/>
        <v>9457000</v>
      </c>
      <c r="O91" s="108">
        <f t="shared" si="34"/>
        <v>5518000</v>
      </c>
      <c r="P91" s="108">
        <f t="shared" si="34"/>
        <v>241000</v>
      </c>
      <c r="Q91" s="108">
        <f t="shared" si="34"/>
        <v>247000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4049000</v>
      </c>
      <c r="E92" s="114" t="s">
        <v>537</v>
      </c>
      <c r="F92" s="37">
        <f>ROUND($D92/12*5,-3)</f>
        <v>1687000</v>
      </c>
      <c r="G92" s="37">
        <f>ROUND($D92/12,-3)</f>
        <v>337000</v>
      </c>
      <c r="H92" s="37">
        <f t="shared" ref="H92:L92" si="35">ROUND($D92/12,-3)</f>
        <v>337000</v>
      </c>
      <c r="I92" s="37">
        <f t="shared" si="35"/>
        <v>337000</v>
      </c>
      <c r="J92" s="37">
        <f t="shared" si="35"/>
        <v>337000</v>
      </c>
      <c r="K92" s="37">
        <f t="shared" si="35"/>
        <v>337000</v>
      </c>
      <c r="L92" s="37">
        <f t="shared" si="35"/>
        <v>337000</v>
      </c>
      <c r="M92" s="37">
        <f>D92-SUM(F92:L92)</f>
        <v>340000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439000</v>
      </c>
      <c r="E93" s="189" t="s">
        <v>227</v>
      </c>
      <c r="F93" s="37">
        <f>ROUND($D93/12,-3)</f>
        <v>37000</v>
      </c>
      <c r="G93" s="37">
        <f t="shared" ref="G93:P93" si="36">ROUND($D93/12,-3)</f>
        <v>37000</v>
      </c>
      <c r="H93" s="37">
        <f t="shared" si="36"/>
        <v>37000</v>
      </c>
      <c r="I93" s="37">
        <f t="shared" si="36"/>
        <v>37000</v>
      </c>
      <c r="J93" s="37">
        <f t="shared" si="36"/>
        <v>37000</v>
      </c>
      <c r="K93" s="37">
        <f t="shared" si="36"/>
        <v>37000</v>
      </c>
      <c r="L93" s="37">
        <f t="shared" si="36"/>
        <v>37000</v>
      </c>
      <c r="M93" s="37">
        <f t="shared" si="36"/>
        <v>37000</v>
      </c>
      <c r="N93" s="37">
        <f t="shared" si="36"/>
        <v>37000</v>
      </c>
      <c r="O93" s="37">
        <f t="shared" si="36"/>
        <v>37000</v>
      </c>
      <c r="P93" s="37">
        <f t="shared" si="36"/>
        <v>37000</v>
      </c>
      <c r="Q93" s="37">
        <f>D93-SUM(F93:P93)</f>
        <v>32000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532000</v>
      </c>
      <c r="E94" s="190" t="s">
        <v>229</v>
      </c>
      <c r="F94" s="37"/>
      <c r="G94" s="37"/>
      <c r="H94" s="37">
        <f>ROUND($D94/2,-3)</f>
        <v>266000</v>
      </c>
      <c r="I94" s="37"/>
      <c r="J94" s="37"/>
      <c r="K94" s="37"/>
      <c r="L94" s="37"/>
      <c r="M94" s="37"/>
      <c r="N94" s="37"/>
      <c r="O94" s="37">
        <f>D94-H94</f>
        <v>266000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73149000</v>
      </c>
      <c r="E95" s="37"/>
      <c r="F95" s="37">
        <f>F2+F86-F88-F89-F90-F92-F93-F94</f>
        <v>20999000</v>
      </c>
      <c r="G95" s="37">
        <f t="shared" ref="G95:Q95" si="37">G2-G88-G89-G90-G92-G93-G94</f>
        <v>5126000</v>
      </c>
      <c r="H95" s="37">
        <f t="shared" si="37"/>
        <v>5290000</v>
      </c>
      <c r="I95" s="37">
        <f t="shared" si="37"/>
        <v>6060000</v>
      </c>
      <c r="J95" s="37">
        <f t="shared" si="37"/>
        <v>5143000</v>
      </c>
      <c r="K95" s="37">
        <f t="shared" si="37"/>
        <v>5149000</v>
      </c>
      <c r="L95" s="37">
        <f t="shared" si="37"/>
        <v>5188000</v>
      </c>
      <c r="M95" s="37">
        <f t="shared" si="37"/>
        <v>5140000</v>
      </c>
      <c r="N95" s="37">
        <f t="shared" si="37"/>
        <v>9420000</v>
      </c>
      <c r="O95" s="37">
        <f t="shared" si="37"/>
        <v>5215000</v>
      </c>
      <c r="P95" s="37">
        <f t="shared" si="37"/>
        <v>204000</v>
      </c>
      <c r="Q95" s="37">
        <f t="shared" si="37"/>
        <v>215000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800000</v>
      </c>
    </row>
    <row r="99" spans="2:17" ht="32.4">
      <c r="B99" s="72" t="s">
        <v>235</v>
      </c>
      <c r="D99" s="30">
        <f>HLOOKUP(D1,[1]縣庫撥款收入明細表!H:DD,5,FALSE)</f>
        <v>1450000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1149000</v>
      </c>
    </row>
    <row r="102" spans="2:17" ht="32.4">
      <c r="B102" s="71" t="s">
        <v>238</v>
      </c>
      <c r="D102" s="30">
        <f>HLOOKUP(D1,[1]縣庫撥款收入明細表!H:DD,16,FALSE)</f>
        <v>419000</v>
      </c>
    </row>
    <row r="103" spans="2:17" ht="32.4">
      <c r="B103" s="72" t="s">
        <v>239</v>
      </c>
      <c r="D103" s="30">
        <f>HLOOKUP(D1,[1]縣庫撥款收入明細表!H:DD,17,FALSE)</f>
        <v>0</v>
      </c>
    </row>
    <row r="104" spans="2:17" ht="32.4">
      <c r="B104" s="76" t="s">
        <v>240</v>
      </c>
      <c r="D104" s="30">
        <f>HLOOKUP(D1,[1]縣庫撥款收入明細表!H:DD,18,FALSE)</f>
        <v>532000</v>
      </c>
    </row>
    <row r="105" spans="2:17" ht="32.4">
      <c r="B105" s="72" t="s">
        <v>380</v>
      </c>
      <c r="D105" s="30">
        <f>HLOOKUP(D1,[1]縣庫撥款收入明細表!H:DD,19,FALSE)</f>
        <v>650000</v>
      </c>
    </row>
    <row r="106" spans="2:17" ht="32.4">
      <c r="B106" s="71" t="s">
        <v>241</v>
      </c>
      <c r="D106" s="30">
        <f>HLOOKUP(D1,[1]縣庫撥款收入明細表!H:DD,20,FALSE)</f>
        <v>20000</v>
      </c>
    </row>
    <row r="107" spans="2:17" ht="32.4">
      <c r="B107" s="77" t="s">
        <v>242</v>
      </c>
      <c r="D107" s="30">
        <f>HLOOKUP(D1,[1]縣庫撥款收入明細表!H:DD,21,FALSE)</f>
        <v>73149000</v>
      </c>
    </row>
    <row r="108" spans="2:17" ht="16.5" customHeight="1"/>
    <row r="109" spans="2:17" ht="16.5" customHeight="1">
      <c r="B109" s="4" t="s">
        <v>682</v>
      </c>
      <c r="D109" s="30">
        <f>D91-D76</f>
        <v>68420000</v>
      </c>
      <c r="F109" s="30">
        <f>F91-F76</f>
        <v>20286000</v>
      </c>
      <c r="G109" s="30">
        <f t="shared" ref="G109:Q109" si="38">G91-G76</f>
        <v>4688000</v>
      </c>
      <c r="H109" s="30">
        <f t="shared" si="38"/>
        <v>5118000</v>
      </c>
      <c r="I109" s="30">
        <f t="shared" si="38"/>
        <v>5622000</v>
      </c>
      <c r="J109" s="30">
        <f t="shared" si="38"/>
        <v>4705000</v>
      </c>
      <c r="K109" s="30">
        <f t="shared" si="38"/>
        <v>4711000</v>
      </c>
      <c r="L109" s="30">
        <f t="shared" si="38"/>
        <v>4750000</v>
      </c>
      <c r="M109" s="30">
        <f t="shared" si="38"/>
        <v>4705000</v>
      </c>
      <c r="N109" s="30">
        <f t="shared" si="38"/>
        <v>8645000</v>
      </c>
      <c r="O109" s="30">
        <f t="shared" si="38"/>
        <v>4702000</v>
      </c>
      <c r="P109" s="30">
        <f t="shared" si="38"/>
        <v>241000</v>
      </c>
      <c r="Q109" s="30">
        <f t="shared" si="38"/>
        <v>247000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9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activeCell="J121" sqref="J121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659</v>
      </c>
      <c r="D1" s="28" t="str">
        <f>VLOOKUP(C1,[1]學校編號!A:B,2,FALSE)</f>
        <v>659源城國小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26376000</v>
      </c>
      <c r="E2" s="37"/>
      <c r="F2" s="37">
        <f>F48+F70+F76+F77+F83</f>
        <v>7702000</v>
      </c>
      <c r="G2" s="37">
        <f t="shared" ref="G2:Q2" si="0">G48+G70+G76+G77+G83</f>
        <v>1908000</v>
      </c>
      <c r="H2" s="37">
        <f t="shared" si="0"/>
        <v>1986000</v>
      </c>
      <c r="I2" s="37">
        <f t="shared" si="0"/>
        <v>2152000</v>
      </c>
      <c r="J2" s="37">
        <f t="shared" si="0"/>
        <v>1908000</v>
      </c>
      <c r="K2" s="37">
        <f t="shared" si="0"/>
        <v>1908000</v>
      </c>
      <c r="L2" s="37">
        <f t="shared" si="0"/>
        <v>1928000</v>
      </c>
      <c r="M2" s="37">
        <f t="shared" si="0"/>
        <v>1908000</v>
      </c>
      <c r="N2" s="37">
        <f t="shared" si="0"/>
        <v>2932000</v>
      </c>
      <c r="O2" s="37">
        <f t="shared" si="0"/>
        <v>1918000</v>
      </c>
      <c r="P2" s="37">
        <f t="shared" si="0"/>
        <v>65000</v>
      </c>
      <c r="Q2" s="37">
        <f t="shared" si="0"/>
        <v>61000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108000</v>
      </c>
      <c r="E13" s="37" t="s">
        <v>525</v>
      </c>
      <c r="F13" s="37">
        <f>ROUND($D13/12,0)</f>
        <v>9000</v>
      </c>
      <c r="G13" s="37">
        <f t="shared" si="1"/>
        <v>9000</v>
      </c>
      <c r="H13" s="37">
        <f t="shared" si="1"/>
        <v>9000</v>
      </c>
      <c r="I13" s="37">
        <f t="shared" si="1"/>
        <v>9000</v>
      </c>
      <c r="J13" s="37">
        <f t="shared" si="1"/>
        <v>9000</v>
      </c>
      <c r="K13" s="37">
        <f t="shared" si="1"/>
        <v>9000</v>
      </c>
      <c r="L13" s="37">
        <f t="shared" si="1"/>
        <v>9000</v>
      </c>
      <c r="M13" s="37">
        <f t="shared" si="1"/>
        <v>9000</v>
      </c>
      <c r="N13" s="37">
        <f t="shared" si="1"/>
        <v>9000</v>
      </c>
      <c r="O13" s="37">
        <f t="shared" si="1"/>
        <v>9000</v>
      </c>
      <c r="P13" s="37">
        <f t="shared" si="1"/>
        <v>9000</v>
      </c>
      <c r="Q13" s="37">
        <f>D13-SUM(F13:P13)</f>
        <v>9000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34000</v>
      </c>
      <c r="E15" s="37" t="s">
        <v>193</v>
      </c>
      <c r="F15" s="37">
        <f>ROUND($D15/2,-3)</f>
        <v>17000</v>
      </c>
      <c r="G15" s="37"/>
      <c r="H15" s="37"/>
      <c r="I15" s="37"/>
      <c r="J15" s="37"/>
      <c r="K15" s="37"/>
      <c r="L15" s="37">
        <f>D15-F15</f>
        <v>17000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57000</v>
      </c>
      <c r="E16" s="37" t="s">
        <v>525</v>
      </c>
      <c r="F16" s="37">
        <f>ROUND($D16/12,0)</f>
        <v>4750</v>
      </c>
      <c r="G16" s="37">
        <f t="shared" si="1"/>
        <v>4750</v>
      </c>
      <c r="H16" s="37">
        <f t="shared" si="1"/>
        <v>4750</v>
      </c>
      <c r="I16" s="37">
        <f t="shared" si="1"/>
        <v>4750</v>
      </c>
      <c r="J16" s="37">
        <f t="shared" si="1"/>
        <v>4750</v>
      </c>
      <c r="K16" s="37">
        <f t="shared" si="1"/>
        <v>4750</v>
      </c>
      <c r="L16" s="37">
        <f t="shared" si="1"/>
        <v>4750</v>
      </c>
      <c r="M16" s="37">
        <f t="shared" si="1"/>
        <v>4750</v>
      </c>
      <c r="N16" s="37">
        <f t="shared" si="1"/>
        <v>4750</v>
      </c>
      <c r="O16" s="37">
        <f t="shared" si="1"/>
        <v>4750</v>
      </c>
      <c r="P16" s="37">
        <f t="shared" si="1"/>
        <v>4750</v>
      </c>
      <c r="Q16" s="37">
        <f>D16-SUM(F16:P16)</f>
        <v>4750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501000</v>
      </c>
      <c r="E25" s="108"/>
      <c r="F25" s="108">
        <f>ROUND(SUM(F3:F24),-3)</f>
        <v>56000</v>
      </c>
      <c r="G25" s="108">
        <f t="shared" ref="G25:P25" si="5">ROUND(SUM(G3:G24),-3)</f>
        <v>39000</v>
      </c>
      <c r="H25" s="108">
        <f t="shared" si="5"/>
        <v>39000</v>
      </c>
      <c r="I25" s="108">
        <f t="shared" si="5"/>
        <v>39000</v>
      </c>
      <c r="J25" s="108">
        <f t="shared" si="5"/>
        <v>39000</v>
      </c>
      <c r="K25" s="108">
        <f t="shared" si="5"/>
        <v>39000</v>
      </c>
      <c r="L25" s="108">
        <f t="shared" si="5"/>
        <v>56000</v>
      </c>
      <c r="M25" s="108">
        <f t="shared" si="5"/>
        <v>39000</v>
      </c>
      <c r="N25" s="108">
        <f t="shared" si="5"/>
        <v>39000</v>
      </c>
      <c r="O25" s="108">
        <f t="shared" si="5"/>
        <v>39000</v>
      </c>
      <c r="P25" s="108">
        <f t="shared" si="5"/>
        <v>39000</v>
      </c>
      <c r="Q25" s="108">
        <f t="shared" ref="Q25:Q33" si="6">D25-SUM(F25:P25)</f>
        <v>38000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20000</v>
      </c>
      <c r="E29" s="37" t="s">
        <v>525</v>
      </c>
      <c r="F29" s="37">
        <f t="shared" si="8"/>
        <v>1667</v>
      </c>
      <c r="G29" s="37">
        <f t="shared" si="8"/>
        <v>1667</v>
      </c>
      <c r="H29" s="37">
        <f t="shared" si="8"/>
        <v>1667</v>
      </c>
      <c r="I29" s="37">
        <f t="shared" si="8"/>
        <v>1667</v>
      </c>
      <c r="J29" s="37">
        <f t="shared" si="8"/>
        <v>1667</v>
      </c>
      <c r="K29" s="37">
        <f t="shared" si="8"/>
        <v>1667</v>
      </c>
      <c r="L29" s="37">
        <f t="shared" si="8"/>
        <v>1667</v>
      </c>
      <c r="M29" s="37">
        <f t="shared" si="8"/>
        <v>1667</v>
      </c>
      <c r="N29" s="37">
        <f t="shared" si="8"/>
        <v>1667</v>
      </c>
      <c r="O29" s="37">
        <f t="shared" si="8"/>
        <v>1667</v>
      </c>
      <c r="P29" s="37">
        <f t="shared" si="8"/>
        <v>1667</v>
      </c>
      <c r="Q29" s="37">
        <f t="shared" si="6"/>
        <v>1663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7000</v>
      </c>
      <c r="E30" s="37" t="s">
        <v>525</v>
      </c>
      <c r="F30" s="37">
        <f t="shared" si="8"/>
        <v>583</v>
      </c>
      <c r="G30" s="37">
        <f t="shared" si="8"/>
        <v>583</v>
      </c>
      <c r="H30" s="37">
        <f t="shared" si="8"/>
        <v>583</v>
      </c>
      <c r="I30" s="37">
        <f t="shared" si="8"/>
        <v>583</v>
      </c>
      <c r="J30" s="37">
        <f t="shared" si="8"/>
        <v>583</v>
      </c>
      <c r="K30" s="37">
        <f t="shared" si="8"/>
        <v>583</v>
      </c>
      <c r="L30" s="37">
        <f t="shared" si="8"/>
        <v>583</v>
      </c>
      <c r="M30" s="37">
        <f t="shared" si="8"/>
        <v>583</v>
      </c>
      <c r="N30" s="37">
        <f t="shared" si="8"/>
        <v>583</v>
      </c>
      <c r="O30" s="37">
        <f t="shared" si="8"/>
        <v>583</v>
      </c>
      <c r="P30" s="37">
        <f t="shared" si="8"/>
        <v>583</v>
      </c>
      <c r="Q30" s="37">
        <f t="shared" si="6"/>
        <v>587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4000</v>
      </c>
      <c r="E31" s="37" t="s">
        <v>525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6000</v>
      </c>
      <c r="E36" s="37" t="s">
        <v>193</v>
      </c>
      <c r="F36" s="37">
        <f>ROUND($D36/2,-3)</f>
        <v>3000</v>
      </c>
      <c r="G36" s="37"/>
      <c r="H36" s="37"/>
      <c r="I36" s="37"/>
      <c r="J36" s="37"/>
      <c r="K36" s="37"/>
      <c r="L36" s="37">
        <f>D36-F36</f>
        <v>3000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284000</v>
      </c>
      <c r="E37" s="108"/>
      <c r="F37" s="108">
        <f t="shared" ref="F37:P37" si="9">ROUND(SUM(F26:F36),-3)</f>
        <v>26000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26000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25000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785000</v>
      </c>
      <c r="E48" s="37"/>
      <c r="F48" s="115">
        <f>F25+F37+F45+F47</f>
        <v>82000</v>
      </c>
      <c r="G48" s="115">
        <f t="shared" ref="G48:R48" si="14">G25+G37+G45+G47</f>
        <v>62000</v>
      </c>
      <c r="H48" s="115">
        <f t="shared" si="14"/>
        <v>62000</v>
      </c>
      <c r="I48" s="115">
        <f t="shared" si="14"/>
        <v>62000</v>
      </c>
      <c r="J48" s="115">
        <f t="shared" si="14"/>
        <v>62000</v>
      </c>
      <c r="K48" s="115">
        <f t="shared" si="14"/>
        <v>62000</v>
      </c>
      <c r="L48" s="115">
        <f t="shared" si="14"/>
        <v>82000</v>
      </c>
      <c r="M48" s="115">
        <f t="shared" si="14"/>
        <v>62000</v>
      </c>
      <c r="N48" s="115">
        <f t="shared" si="14"/>
        <v>62000</v>
      </c>
      <c r="O48" s="115">
        <f t="shared" si="14"/>
        <v>62000</v>
      </c>
      <c r="P48" s="115">
        <f t="shared" si="14"/>
        <v>62000</v>
      </c>
      <c r="Q48" s="115">
        <f t="shared" si="14"/>
        <v>63000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12099000</v>
      </c>
      <c r="E49" s="114" t="s">
        <v>202</v>
      </c>
      <c r="F49" s="37">
        <f>ROUND($D49/12*3,-3)</f>
        <v>3025000</v>
      </c>
      <c r="G49" s="37">
        <f>ROUND($D49/12,-3)</f>
        <v>1008000</v>
      </c>
      <c r="H49" s="37">
        <f t="shared" ref="H49:N53" si="15">ROUND($D49/12,-3)</f>
        <v>1008000</v>
      </c>
      <c r="I49" s="37">
        <f t="shared" si="15"/>
        <v>1008000</v>
      </c>
      <c r="J49" s="37">
        <f t="shared" si="15"/>
        <v>1008000</v>
      </c>
      <c r="K49" s="37">
        <f t="shared" si="15"/>
        <v>1008000</v>
      </c>
      <c r="L49" s="37">
        <f t="shared" si="15"/>
        <v>1008000</v>
      </c>
      <c r="M49" s="37">
        <f t="shared" si="15"/>
        <v>1008000</v>
      </c>
      <c r="N49" s="37">
        <f t="shared" si="15"/>
        <v>1008000</v>
      </c>
      <c r="O49" s="37">
        <f>D49-SUM(F49:N49)</f>
        <v>1010000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406000</v>
      </c>
      <c r="E50" s="114" t="s">
        <v>202</v>
      </c>
      <c r="F50" s="37">
        <f t="shared" ref="F50:F53" si="16">ROUND($D50/12*3,-3)</f>
        <v>102000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si="15"/>
        <v>34000</v>
      </c>
      <c r="N50" s="37">
        <f t="shared" si="15"/>
        <v>34000</v>
      </c>
      <c r="O50" s="37">
        <f t="shared" ref="O50:O53" si="18">D50-SUM(F50:N50)</f>
        <v>32000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1349000</v>
      </c>
      <c r="E51" s="114" t="s">
        <v>202</v>
      </c>
      <c r="F51" s="37">
        <f t="shared" si="16"/>
        <v>337000</v>
      </c>
      <c r="G51" s="37">
        <f t="shared" si="17"/>
        <v>112000</v>
      </c>
      <c r="H51" s="37">
        <f t="shared" si="15"/>
        <v>112000</v>
      </c>
      <c r="I51" s="37">
        <f t="shared" si="15"/>
        <v>112000</v>
      </c>
      <c r="J51" s="37">
        <f t="shared" si="15"/>
        <v>112000</v>
      </c>
      <c r="K51" s="37">
        <f t="shared" si="15"/>
        <v>112000</v>
      </c>
      <c r="L51" s="37">
        <f t="shared" si="15"/>
        <v>112000</v>
      </c>
      <c r="M51" s="37">
        <f t="shared" si="15"/>
        <v>112000</v>
      </c>
      <c r="N51" s="37">
        <f t="shared" si="15"/>
        <v>112000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0</v>
      </c>
      <c r="E59" s="37" t="s">
        <v>525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383000</v>
      </c>
      <c r="E60" s="37" t="s">
        <v>195</v>
      </c>
      <c r="F60" s="37">
        <f>D60</f>
        <v>383000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1218000</v>
      </c>
      <c r="E62" s="37" t="s">
        <v>197</v>
      </c>
      <c r="F62" s="37"/>
      <c r="G62" s="37"/>
      <c r="H62" s="37"/>
      <c r="I62" s="37">
        <f>ROUND($D62/5,-3)</f>
        <v>244000</v>
      </c>
      <c r="J62" s="37"/>
      <c r="K62" s="37"/>
      <c r="L62" s="37"/>
      <c r="M62" s="37"/>
      <c r="N62" s="37">
        <f>D62-I62</f>
        <v>974000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1557000</v>
      </c>
      <c r="E63" s="37" t="s">
        <v>195</v>
      </c>
      <c r="F63" s="37">
        <f>D63</f>
        <v>1557000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1207000</v>
      </c>
      <c r="E64" s="114" t="s">
        <v>202</v>
      </c>
      <c r="F64" s="37">
        <f>ROUND($D64/12*3,-3)</f>
        <v>302000</v>
      </c>
      <c r="G64" s="37">
        <f>ROUND($D64/12,-3)</f>
        <v>101000</v>
      </c>
      <c r="H64" s="37">
        <f t="shared" ref="H64:N66" si="21">ROUND($D64/12,-3)</f>
        <v>101000</v>
      </c>
      <c r="I64" s="37">
        <f t="shared" si="21"/>
        <v>101000</v>
      </c>
      <c r="J64" s="37">
        <f t="shared" si="21"/>
        <v>101000</v>
      </c>
      <c r="K64" s="37">
        <f t="shared" si="21"/>
        <v>101000</v>
      </c>
      <c r="L64" s="37">
        <f t="shared" si="21"/>
        <v>101000</v>
      </c>
      <c r="M64" s="37">
        <f t="shared" si="21"/>
        <v>101000</v>
      </c>
      <c r="N64" s="37">
        <f t="shared" si="21"/>
        <v>101000</v>
      </c>
      <c r="O64" s="37">
        <f>D64-SUM(F64:N64)</f>
        <v>97000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245000</v>
      </c>
      <c r="E65" s="114" t="s">
        <v>202</v>
      </c>
      <c r="F65" s="37">
        <f t="shared" ref="F65:F66" si="22">ROUND($D65/12*3,-3)</f>
        <v>61000</v>
      </c>
      <c r="G65" s="37">
        <f t="shared" ref="G65:G66" si="23">ROUND($D65/12,-3)</f>
        <v>20000</v>
      </c>
      <c r="H65" s="37">
        <f t="shared" si="21"/>
        <v>20000</v>
      </c>
      <c r="I65" s="37">
        <f t="shared" si="21"/>
        <v>20000</v>
      </c>
      <c r="J65" s="37">
        <f t="shared" si="21"/>
        <v>20000</v>
      </c>
      <c r="K65" s="37">
        <f t="shared" si="21"/>
        <v>20000</v>
      </c>
      <c r="L65" s="37">
        <f t="shared" si="21"/>
        <v>20000</v>
      </c>
      <c r="M65" s="37">
        <f t="shared" si="21"/>
        <v>20000</v>
      </c>
      <c r="N65" s="37">
        <f t="shared" si="21"/>
        <v>20000</v>
      </c>
      <c r="O65" s="37">
        <f t="shared" ref="O65:O66" si="24">D65-SUM(F65:N65)</f>
        <v>24000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1084000</v>
      </c>
      <c r="E66" s="114" t="s">
        <v>202</v>
      </c>
      <c r="F66" s="37">
        <f t="shared" si="22"/>
        <v>271000</v>
      </c>
      <c r="G66" s="37">
        <f t="shared" si="23"/>
        <v>90000</v>
      </c>
      <c r="H66" s="37">
        <f t="shared" si="21"/>
        <v>90000</v>
      </c>
      <c r="I66" s="37">
        <f t="shared" si="21"/>
        <v>90000</v>
      </c>
      <c r="J66" s="37">
        <f t="shared" si="21"/>
        <v>90000</v>
      </c>
      <c r="K66" s="37">
        <f t="shared" si="21"/>
        <v>90000</v>
      </c>
      <c r="L66" s="37">
        <f t="shared" si="21"/>
        <v>90000</v>
      </c>
      <c r="M66" s="37">
        <f t="shared" si="21"/>
        <v>90000</v>
      </c>
      <c r="N66" s="37">
        <f t="shared" si="21"/>
        <v>90000</v>
      </c>
      <c r="O66" s="37">
        <f t="shared" si="24"/>
        <v>93000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27000</v>
      </c>
      <c r="E67" s="37" t="s">
        <v>196</v>
      </c>
      <c r="F67" s="37"/>
      <c r="G67" s="37"/>
      <c r="H67" s="37">
        <f>D67</f>
        <v>27000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144000</v>
      </c>
      <c r="E68" s="37" t="s">
        <v>195</v>
      </c>
      <c r="F68" s="37">
        <f>D68</f>
        <v>144000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20015000</v>
      </c>
      <c r="E70" s="108"/>
      <c r="F70" s="108">
        <f t="shared" ref="F70:P70" si="25">ROUND(SUM(F49:F69),-3)</f>
        <v>6251000</v>
      </c>
      <c r="G70" s="108">
        <f t="shared" si="25"/>
        <v>1390000</v>
      </c>
      <c r="H70" s="108">
        <f t="shared" si="25"/>
        <v>1417000</v>
      </c>
      <c r="I70" s="108">
        <f t="shared" si="25"/>
        <v>1634000</v>
      </c>
      <c r="J70" s="108">
        <f t="shared" si="25"/>
        <v>1390000</v>
      </c>
      <c r="K70" s="108">
        <f t="shared" si="25"/>
        <v>1390000</v>
      </c>
      <c r="L70" s="108">
        <f t="shared" si="25"/>
        <v>1390000</v>
      </c>
      <c r="M70" s="108">
        <f t="shared" si="25"/>
        <v>1390000</v>
      </c>
      <c r="N70" s="108">
        <f t="shared" si="25"/>
        <v>2364000</v>
      </c>
      <c r="O70" s="108">
        <f t="shared" si="25"/>
        <v>1398000</v>
      </c>
      <c r="P70" s="108">
        <f t="shared" si="25"/>
        <v>3000</v>
      </c>
      <c r="Q70" s="108">
        <f>D70-SUM(F70:P70)</f>
        <v>-2000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4873000</v>
      </c>
      <c r="E72" s="114" t="s">
        <v>202</v>
      </c>
      <c r="F72" s="37">
        <f>ROUND($D72/12*3,-3)</f>
        <v>1218000</v>
      </c>
      <c r="G72" s="37">
        <f>ROUND($D72/12,-3)</f>
        <v>406000</v>
      </c>
      <c r="H72" s="37">
        <f t="shared" ref="H72:N75" si="26">ROUND($D72/12,-3)</f>
        <v>406000</v>
      </c>
      <c r="I72" s="37">
        <f t="shared" si="26"/>
        <v>406000</v>
      </c>
      <c r="J72" s="37">
        <f t="shared" si="26"/>
        <v>406000</v>
      </c>
      <c r="K72" s="37">
        <f t="shared" si="26"/>
        <v>406000</v>
      </c>
      <c r="L72" s="37">
        <f t="shared" si="26"/>
        <v>406000</v>
      </c>
      <c r="M72" s="37">
        <f t="shared" si="26"/>
        <v>406000</v>
      </c>
      <c r="N72" s="37">
        <f t="shared" si="26"/>
        <v>406000</v>
      </c>
      <c r="O72" s="37">
        <f>D72-SUM(F72:N72)</f>
        <v>407000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602000</v>
      </c>
      <c r="E75" s="114" t="s">
        <v>202</v>
      </c>
      <c r="F75" s="37">
        <f>ROUND($D75/12*3,-3)</f>
        <v>151000</v>
      </c>
      <c r="G75" s="37">
        <f>ROUND($D75/12,-3)</f>
        <v>50000</v>
      </c>
      <c r="H75" s="37">
        <f t="shared" si="26"/>
        <v>50000</v>
      </c>
      <c r="I75" s="37">
        <f t="shared" si="26"/>
        <v>50000</v>
      </c>
      <c r="J75" s="37">
        <f t="shared" si="26"/>
        <v>50000</v>
      </c>
      <c r="K75" s="37">
        <f t="shared" si="26"/>
        <v>50000</v>
      </c>
      <c r="L75" s="37">
        <f t="shared" si="26"/>
        <v>50000</v>
      </c>
      <c r="M75" s="37">
        <f t="shared" si="26"/>
        <v>50000</v>
      </c>
      <c r="N75" s="37">
        <f t="shared" si="26"/>
        <v>50000</v>
      </c>
      <c r="O75" s="37">
        <f>D75-SUM(F75:N75)</f>
        <v>51000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5475000</v>
      </c>
      <c r="E76" s="108"/>
      <c r="F76" s="108">
        <f>ROUND(SUM(F71:F75),-3)</f>
        <v>1369000</v>
      </c>
      <c r="G76" s="108">
        <f t="shared" ref="G76:N76" si="27">ROUND(SUM(G71:G75),-3)</f>
        <v>456000</v>
      </c>
      <c r="H76" s="108">
        <f t="shared" si="27"/>
        <v>456000</v>
      </c>
      <c r="I76" s="108">
        <f t="shared" si="27"/>
        <v>456000</v>
      </c>
      <c r="J76" s="108">
        <f t="shared" si="27"/>
        <v>456000</v>
      </c>
      <c r="K76" s="108">
        <f t="shared" si="27"/>
        <v>456000</v>
      </c>
      <c r="L76" s="108">
        <f t="shared" si="27"/>
        <v>456000</v>
      </c>
      <c r="M76" s="108">
        <f t="shared" si="27"/>
        <v>456000</v>
      </c>
      <c r="N76" s="108">
        <f t="shared" si="27"/>
        <v>456000</v>
      </c>
      <c r="O76" s="108">
        <f>D76-SUM(F76:N76)</f>
        <v>458000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101000</v>
      </c>
      <c r="E77" s="37" t="s">
        <v>681</v>
      </c>
      <c r="F77" s="224"/>
      <c r="G77" s="224"/>
      <c r="H77" s="224">
        <f>ROUND($D77/2,-3)</f>
        <v>51000</v>
      </c>
      <c r="I77" s="224"/>
      <c r="J77" s="224"/>
      <c r="K77" s="224"/>
      <c r="L77" s="224"/>
      <c r="M77" s="224"/>
      <c r="N77" s="224">
        <f>D77-H77</f>
        <v>50000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25591000</v>
      </c>
      <c r="E78" s="227"/>
      <c r="F78" s="227">
        <f>F76+F70+F77</f>
        <v>7620000</v>
      </c>
      <c r="G78" s="227">
        <f t="shared" ref="G78:Q78" si="29">G76+G70+G77</f>
        <v>1846000</v>
      </c>
      <c r="H78" s="227">
        <f t="shared" si="29"/>
        <v>1924000</v>
      </c>
      <c r="I78" s="227">
        <f t="shared" si="29"/>
        <v>2090000</v>
      </c>
      <c r="J78" s="227">
        <f t="shared" si="29"/>
        <v>1846000</v>
      </c>
      <c r="K78" s="227">
        <f t="shared" si="29"/>
        <v>1846000</v>
      </c>
      <c r="L78" s="227">
        <f t="shared" si="29"/>
        <v>1846000</v>
      </c>
      <c r="M78" s="227">
        <f t="shared" si="29"/>
        <v>1846000</v>
      </c>
      <c r="N78" s="227">
        <f t="shared" si="29"/>
        <v>2870000</v>
      </c>
      <c r="O78" s="227">
        <f t="shared" si="29"/>
        <v>1856000</v>
      </c>
      <c r="P78" s="227">
        <f t="shared" si="29"/>
        <v>3000</v>
      </c>
      <c r="Q78" s="227">
        <f t="shared" si="29"/>
        <v>-2000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26376000</v>
      </c>
      <c r="E87" s="37"/>
      <c r="F87" s="37">
        <f>F88+F89+F90+F91</f>
        <v>7702000</v>
      </c>
      <c r="G87" s="37">
        <f t="shared" ref="G87:Q87" si="32">G88+G89+G90+G91</f>
        <v>1908000</v>
      </c>
      <c r="H87" s="37">
        <f t="shared" si="32"/>
        <v>1986000</v>
      </c>
      <c r="I87" s="37">
        <f t="shared" si="32"/>
        <v>2152000</v>
      </c>
      <c r="J87" s="37">
        <f t="shared" si="32"/>
        <v>1908000</v>
      </c>
      <c r="K87" s="37">
        <f t="shared" si="32"/>
        <v>1908000</v>
      </c>
      <c r="L87" s="37">
        <f t="shared" si="32"/>
        <v>1928000</v>
      </c>
      <c r="M87" s="37">
        <f t="shared" si="32"/>
        <v>1908000</v>
      </c>
      <c r="N87" s="37">
        <f t="shared" si="32"/>
        <v>2932000</v>
      </c>
      <c r="O87" s="37">
        <f t="shared" si="32"/>
        <v>1918000</v>
      </c>
      <c r="P87" s="37">
        <f t="shared" si="32"/>
        <v>65000</v>
      </c>
      <c r="Q87" s="37">
        <f t="shared" si="32"/>
        <v>61000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6000</v>
      </c>
      <c r="E88" s="108" t="s">
        <v>193</v>
      </c>
      <c r="F88" s="108">
        <f>ROUND($D88/2,-3)</f>
        <v>3000</v>
      </c>
      <c r="G88" s="108"/>
      <c r="H88" s="108"/>
      <c r="I88" s="108"/>
      <c r="J88" s="108"/>
      <c r="K88" s="108"/>
      <c r="L88" s="108">
        <f>D88-F88</f>
        <v>3000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26369000</v>
      </c>
      <c r="E91" s="108"/>
      <c r="F91" s="108">
        <f>F92+F93+F94+F95</f>
        <v>7699000</v>
      </c>
      <c r="G91" s="108">
        <f t="shared" ref="G91:Q91" si="34">G92+G93+G94+G95</f>
        <v>1908000</v>
      </c>
      <c r="H91" s="108">
        <f t="shared" si="34"/>
        <v>1986000</v>
      </c>
      <c r="I91" s="108">
        <f t="shared" si="34"/>
        <v>2152000</v>
      </c>
      <c r="J91" s="108">
        <f t="shared" si="34"/>
        <v>1908000</v>
      </c>
      <c r="K91" s="108">
        <f t="shared" si="34"/>
        <v>1908000</v>
      </c>
      <c r="L91" s="108">
        <f t="shared" si="34"/>
        <v>1925000</v>
      </c>
      <c r="M91" s="108">
        <f t="shared" si="34"/>
        <v>1908000</v>
      </c>
      <c r="N91" s="108">
        <f t="shared" si="34"/>
        <v>2932000</v>
      </c>
      <c r="O91" s="108">
        <f t="shared" si="34"/>
        <v>1918000</v>
      </c>
      <c r="P91" s="108">
        <f t="shared" si="34"/>
        <v>65000</v>
      </c>
      <c r="Q91" s="108">
        <f t="shared" si="34"/>
        <v>60000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3905000</v>
      </c>
      <c r="E92" s="114" t="s">
        <v>537</v>
      </c>
      <c r="F92" s="37">
        <f>ROUND($D92/12*5,-3)</f>
        <v>1627000</v>
      </c>
      <c r="G92" s="37">
        <f>ROUND($D92/12,-3)</f>
        <v>325000</v>
      </c>
      <c r="H92" s="37">
        <f t="shared" ref="H92:L92" si="35">ROUND($D92/12,-3)</f>
        <v>325000</v>
      </c>
      <c r="I92" s="37">
        <f t="shared" si="35"/>
        <v>325000</v>
      </c>
      <c r="J92" s="37">
        <f t="shared" si="35"/>
        <v>325000</v>
      </c>
      <c r="K92" s="37">
        <f t="shared" si="35"/>
        <v>325000</v>
      </c>
      <c r="L92" s="37">
        <f t="shared" si="35"/>
        <v>325000</v>
      </c>
      <c r="M92" s="37">
        <f>D92-SUM(F92:L92)</f>
        <v>328000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22374000</v>
      </c>
      <c r="E95" s="37"/>
      <c r="F95" s="37">
        <f>F2+F86-F88-F89-F90-F92-F93-F94</f>
        <v>6064000</v>
      </c>
      <c r="G95" s="37">
        <f t="shared" ref="G95:Q95" si="37">G2-G88-G89-G90-G92-G93-G94</f>
        <v>1575000</v>
      </c>
      <c r="H95" s="37">
        <f t="shared" si="37"/>
        <v>1653000</v>
      </c>
      <c r="I95" s="37">
        <f t="shared" si="37"/>
        <v>1819000</v>
      </c>
      <c r="J95" s="37">
        <f t="shared" si="37"/>
        <v>1575000</v>
      </c>
      <c r="K95" s="37">
        <f t="shared" si="37"/>
        <v>1575000</v>
      </c>
      <c r="L95" s="37">
        <f t="shared" si="37"/>
        <v>1592000</v>
      </c>
      <c r="M95" s="37">
        <f t="shared" si="37"/>
        <v>1572000</v>
      </c>
      <c r="N95" s="37">
        <f t="shared" si="37"/>
        <v>2924000</v>
      </c>
      <c r="O95" s="37">
        <f t="shared" si="37"/>
        <v>1910000</v>
      </c>
      <c r="P95" s="37">
        <f t="shared" si="37"/>
        <v>57000</v>
      </c>
      <c r="Q95" s="37">
        <f t="shared" si="37"/>
        <v>58000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1590000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650000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22374000</v>
      </c>
    </row>
    <row r="108" spans="2:17" ht="16.5" customHeight="1"/>
    <row r="109" spans="2:17" ht="16.5" customHeight="1">
      <c r="B109" s="4" t="s">
        <v>682</v>
      </c>
      <c r="D109" s="30">
        <f>D91-D76</f>
        <v>20894000</v>
      </c>
      <c r="F109" s="30">
        <f>F91-F76</f>
        <v>6330000</v>
      </c>
      <c r="G109" s="30">
        <f t="shared" ref="G109:Q109" si="38">G91-G76</f>
        <v>1452000</v>
      </c>
      <c r="H109" s="30">
        <f t="shared" si="38"/>
        <v>1530000</v>
      </c>
      <c r="I109" s="30">
        <f t="shared" si="38"/>
        <v>1696000</v>
      </c>
      <c r="J109" s="30">
        <f t="shared" si="38"/>
        <v>1452000</v>
      </c>
      <c r="K109" s="30">
        <f t="shared" si="38"/>
        <v>1452000</v>
      </c>
      <c r="L109" s="30">
        <f t="shared" si="38"/>
        <v>1469000</v>
      </c>
      <c r="M109" s="30">
        <f t="shared" si="38"/>
        <v>1452000</v>
      </c>
      <c r="N109" s="30">
        <f t="shared" si="38"/>
        <v>2476000</v>
      </c>
      <c r="O109" s="30">
        <f t="shared" si="38"/>
        <v>1460000</v>
      </c>
      <c r="P109" s="30">
        <f t="shared" si="38"/>
        <v>65000</v>
      </c>
      <c r="Q109" s="30">
        <f t="shared" si="38"/>
        <v>60000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96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660</v>
      </c>
      <c r="D1" s="28" t="str">
        <f>VLOOKUP(C1,[1]學校編號!A:B,2,FALSE)</f>
        <v>660樂合國小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25603000</v>
      </c>
      <c r="E2" s="37"/>
      <c r="F2" s="37">
        <f>F48+F70+F76+F77+F83</f>
        <v>7646000</v>
      </c>
      <c r="G2" s="37">
        <f t="shared" ref="G2:Q2" si="0">G48+G70+G76+G77+G83</f>
        <v>1839000</v>
      </c>
      <c r="H2" s="37">
        <f t="shared" si="0"/>
        <v>1908000</v>
      </c>
      <c r="I2" s="37">
        <f t="shared" si="0"/>
        <v>2068000</v>
      </c>
      <c r="J2" s="37">
        <f t="shared" si="0"/>
        <v>1845000</v>
      </c>
      <c r="K2" s="37">
        <f t="shared" si="0"/>
        <v>1849000</v>
      </c>
      <c r="L2" s="37">
        <f t="shared" si="0"/>
        <v>1862000</v>
      </c>
      <c r="M2" s="37">
        <f t="shared" si="0"/>
        <v>1845000</v>
      </c>
      <c r="N2" s="37">
        <f t="shared" si="0"/>
        <v>2759000</v>
      </c>
      <c r="O2" s="37">
        <f t="shared" si="0"/>
        <v>1832000</v>
      </c>
      <c r="P2" s="37">
        <f t="shared" si="0"/>
        <v>80000</v>
      </c>
      <c r="Q2" s="37">
        <f t="shared" si="0"/>
        <v>70000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25000</v>
      </c>
      <c r="E10" s="37" t="s">
        <v>525</v>
      </c>
      <c r="F10" s="37">
        <f t="shared" si="1"/>
        <v>2083</v>
      </c>
      <c r="G10" s="37">
        <f t="shared" si="1"/>
        <v>2083</v>
      </c>
      <c r="H10" s="37">
        <f t="shared" si="1"/>
        <v>2083</v>
      </c>
      <c r="I10" s="37">
        <f t="shared" si="1"/>
        <v>2083</v>
      </c>
      <c r="J10" s="37">
        <f t="shared" si="1"/>
        <v>2083</v>
      </c>
      <c r="K10" s="37">
        <f t="shared" si="1"/>
        <v>2083</v>
      </c>
      <c r="L10" s="37">
        <f t="shared" si="1"/>
        <v>2083</v>
      </c>
      <c r="M10" s="37">
        <f t="shared" si="1"/>
        <v>2083</v>
      </c>
      <c r="N10" s="37">
        <f t="shared" si="1"/>
        <v>2083</v>
      </c>
      <c r="O10" s="37">
        <f t="shared" si="1"/>
        <v>2083</v>
      </c>
      <c r="P10" s="37">
        <f t="shared" si="1"/>
        <v>2083</v>
      </c>
      <c r="Q10" s="37">
        <f t="shared" si="2"/>
        <v>2087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23000</v>
      </c>
      <c r="E11" s="37" t="s">
        <v>195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515000</v>
      </c>
      <c r="E12" s="113" t="s">
        <v>202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42000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36000</v>
      </c>
      <c r="E15" s="37" t="s">
        <v>193</v>
      </c>
      <c r="F15" s="37">
        <f>ROUND($D15/2,-3)</f>
        <v>18000</v>
      </c>
      <c r="G15" s="37"/>
      <c r="H15" s="37"/>
      <c r="I15" s="37"/>
      <c r="J15" s="37"/>
      <c r="K15" s="37"/>
      <c r="L15" s="37">
        <f>D15-F15</f>
        <v>18000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1000</v>
      </c>
      <c r="E24" s="37" t="s">
        <v>193</v>
      </c>
      <c r="F24" s="37">
        <f>ROUND($D24/2,-3)</f>
        <v>1000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1126000</v>
      </c>
      <c r="E25" s="108"/>
      <c r="F25" s="108">
        <f>ROUND(SUM(F3:F24),-3)</f>
        <v>217000</v>
      </c>
      <c r="G25" s="108">
        <f t="shared" ref="G25:P25" si="5">ROUND(SUM(G3:G24),-3)</f>
        <v>89000</v>
      </c>
      <c r="H25" s="108">
        <f t="shared" si="5"/>
        <v>89000</v>
      </c>
      <c r="I25" s="108">
        <f t="shared" si="5"/>
        <v>89000</v>
      </c>
      <c r="J25" s="108">
        <f t="shared" si="5"/>
        <v>89000</v>
      </c>
      <c r="K25" s="108">
        <f t="shared" si="5"/>
        <v>89000</v>
      </c>
      <c r="L25" s="108">
        <f t="shared" si="5"/>
        <v>107000</v>
      </c>
      <c r="M25" s="108">
        <f t="shared" si="5"/>
        <v>89000</v>
      </c>
      <c r="N25" s="108">
        <f t="shared" si="5"/>
        <v>89000</v>
      </c>
      <c r="O25" s="108">
        <f t="shared" si="5"/>
        <v>88000</v>
      </c>
      <c r="P25" s="108">
        <f t="shared" si="5"/>
        <v>46000</v>
      </c>
      <c r="Q25" s="108">
        <f t="shared" ref="Q25:Q33" si="6">D25-SUM(F25:P25)</f>
        <v>45000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56000</v>
      </c>
      <c r="E26" s="114" t="s">
        <v>204</v>
      </c>
      <c r="F26" s="37">
        <f>ROUND($D26/10,-3)</f>
        <v>6000</v>
      </c>
      <c r="G26" s="37"/>
      <c r="H26" s="37">
        <f>ROUND($D26/10,-3)</f>
        <v>6000</v>
      </c>
      <c r="I26" s="37">
        <f>ROUND($D26/10,-3)</f>
        <v>6000</v>
      </c>
      <c r="J26" s="37">
        <f>ROUND($D26/10,-3)</f>
        <v>6000</v>
      </c>
      <c r="K26" s="37">
        <f>ROUND($D26/10,-3)</f>
        <v>6000</v>
      </c>
      <c r="L26" s="37"/>
      <c r="M26" s="37">
        <f>ROUND($D26/10,-3)</f>
        <v>6000</v>
      </c>
      <c r="N26" s="37">
        <f>ROUND($D26/10,-3)</f>
        <v>6000</v>
      </c>
      <c r="O26" s="37">
        <f>ROUND($D26/10,-3)</f>
        <v>6000</v>
      </c>
      <c r="P26" s="37">
        <f>ROUND($D26/10,-3)</f>
        <v>6000</v>
      </c>
      <c r="Q26" s="37">
        <f t="shared" si="6"/>
        <v>2000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7000</v>
      </c>
      <c r="E30" s="37" t="s">
        <v>525</v>
      </c>
      <c r="F30" s="37">
        <f t="shared" si="8"/>
        <v>583</v>
      </c>
      <c r="G30" s="37">
        <f t="shared" si="8"/>
        <v>583</v>
      </c>
      <c r="H30" s="37">
        <f t="shared" si="8"/>
        <v>583</v>
      </c>
      <c r="I30" s="37">
        <f t="shared" si="8"/>
        <v>583</v>
      </c>
      <c r="J30" s="37">
        <f t="shared" si="8"/>
        <v>583</v>
      </c>
      <c r="K30" s="37">
        <f t="shared" si="8"/>
        <v>583</v>
      </c>
      <c r="L30" s="37">
        <f t="shared" si="8"/>
        <v>583</v>
      </c>
      <c r="M30" s="37">
        <f t="shared" si="8"/>
        <v>583</v>
      </c>
      <c r="N30" s="37">
        <f t="shared" si="8"/>
        <v>583</v>
      </c>
      <c r="O30" s="37">
        <f t="shared" si="8"/>
        <v>583</v>
      </c>
      <c r="P30" s="37">
        <f t="shared" si="8"/>
        <v>583</v>
      </c>
      <c r="Q30" s="37">
        <f t="shared" si="6"/>
        <v>587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3000</v>
      </c>
      <c r="E31" s="37" t="s">
        <v>525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332000</v>
      </c>
      <c r="E37" s="108"/>
      <c r="F37" s="108">
        <f t="shared" ref="F37:P37" si="9">ROUND(SUM(F26:F36),-3)</f>
        <v>29000</v>
      </c>
      <c r="G37" s="108">
        <f t="shared" si="9"/>
        <v>23000</v>
      </c>
      <c r="H37" s="108">
        <f t="shared" si="9"/>
        <v>29000</v>
      </c>
      <c r="I37" s="108">
        <f t="shared" si="9"/>
        <v>29000</v>
      </c>
      <c r="J37" s="108">
        <f t="shared" si="9"/>
        <v>29000</v>
      </c>
      <c r="K37" s="108">
        <f t="shared" si="9"/>
        <v>29000</v>
      </c>
      <c r="L37" s="108">
        <f t="shared" si="9"/>
        <v>23000</v>
      </c>
      <c r="M37" s="108">
        <f t="shared" si="9"/>
        <v>29000</v>
      </c>
      <c r="N37" s="108">
        <f t="shared" si="9"/>
        <v>29000</v>
      </c>
      <c r="O37" s="108">
        <f t="shared" si="9"/>
        <v>29000</v>
      </c>
      <c r="P37" s="108">
        <f t="shared" si="9"/>
        <v>29000</v>
      </c>
      <c r="Q37" s="108">
        <f>D37-SUM(F37:P37)</f>
        <v>25000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5000</v>
      </c>
      <c r="E42" s="37" t="s">
        <v>199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5000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11000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5000</v>
      </c>
      <c r="J45" s="108">
        <f t="shared" si="12"/>
        <v>0</v>
      </c>
      <c r="K45" s="108">
        <f t="shared" si="12"/>
        <v>0</v>
      </c>
      <c r="L45" s="108">
        <f t="shared" si="12"/>
        <v>5000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1481000</v>
      </c>
      <c r="E48" s="37"/>
      <c r="F48" s="115">
        <f>F25+F37+F45+F47</f>
        <v>251000</v>
      </c>
      <c r="G48" s="115">
        <f t="shared" ref="G48:R48" si="14">G25+G37+G45+G47</f>
        <v>112000</v>
      </c>
      <c r="H48" s="115">
        <f t="shared" si="14"/>
        <v>118000</v>
      </c>
      <c r="I48" s="115">
        <f t="shared" si="14"/>
        <v>123000</v>
      </c>
      <c r="J48" s="115">
        <f t="shared" si="14"/>
        <v>118000</v>
      </c>
      <c r="K48" s="115">
        <f t="shared" si="14"/>
        <v>122000</v>
      </c>
      <c r="L48" s="115">
        <f t="shared" si="14"/>
        <v>135000</v>
      </c>
      <c r="M48" s="115">
        <f t="shared" si="14"/>
        <v>118000</v>
      </c>
      <c r="N48" s="115">
        <f t="shared" si="14"/>
        <v>122000</v>
      </c>
      <c r="O48" s="115">
        <f t="shared" si="14"/>
        <v>117000</v>
      </c>
      <c r="P48" s="115">
        <f t="shared" si="14"/>
        <v>75000</v>
      </c>
      <c r="Q48" s="115">
        <f t="shared" si="14"/>
        <v>70000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13410000</v>
      </c>
      <c r="E49" s="114" t="s">
        <v>202</v>
      </c>
      <c r="F49" s="37">
        <f>ROUND($D49/12*3,-3)</f>
        <v>3353000</v>
      </c>
      <c r="G49" s="37">
        <f>ROUND($D49/12,-3)</f>
        <v>1118000</v>
      </c>
      <c r="H49" s="37">
        <f t="shared" ref="H49:N53" si="15">ROUND($D49/12,-3)</f>
        <v>1118000</v>
      </c>
      <c r="I49" s="37">
        <f t="shared" si="15"/>
        <v>1118000</v>
      </c>
      <c r="J49" s="37">
        <f t="shared" si="15"/>
        <v>1118000</v>
      </c>
      <c r="K49" s="37">
        <f t="shared" si="15"/>
        <v>1118000</v>
      </c>
      <c r="L49" s="37">
        <f t="shared" si="15"/>
        <v>1118000</v>
      </c>
      <c r="M49" s="37">
        <f t="shared" si="15"/>
        <v>1118000</v>
      </c>
      <c r="N49" s="37">
        <f t="shared" si="15"/>
        <v>1118000</v>
      </c>
      <c r="O49" s="37">
        <f>D49-SUM(F49:N49)</f>
        <v>1113000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738000</v>
      </c>
      <c r="E51" s="114" t="s">
        <v>202</v>
      </c>
      <c r="F51" s="37">
        <f t="shared" si="16"/>
        <v>185000</v>
      </c>
      <c r="G51" s="37">
        <f t="shared" si="17"/>
        <v>62000</v>
      </c>
      <c r="H51" s="37">
        <f t="shared" si="15"/>
        <v>62000</v>
      </c>
      <c r="I51" s="37">
        <f t="shared" si="15"/>
        <v>62000</v>
      </c>
      <c r="J51" s="37">
        <f t="shared" si="15"/>
        <v>62000</v>
      </c>
      <c r="K51" s="37">
        <f t="shared" si="15"/>
        <v>62000</v>
      </c>
      <c r="L51" s="37">
        <f t="shared" si="15"/>
        <v>62000</v>
      </c>
      <c r="M51" s="37">
        <f t="shared" si="15"/>
        <v>62000</v>
      </c>
      <c r="N51" s="37">
        <f t="shared" si="15"/>
        <v>62000</v>
      </c>
      <c r="O51" s="37">
        <f t="shared" si="18"/>
        <v>57000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434000</v>
      </c>
      <c r="E60" s="37" t="s">
        <v>195</v>
      </c>
      <c r="F60" s="37">
        <f>D60</f>
        <v>434000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1088000</v>
      </c>
      <c r="E62" s="37" t="s">
        <v>197</v>
      </c>
      <c r="F62" s="37"/>
      <c r="G62" s="37"/>
      <c r="H62" s="37"/>
      <c r="I62" s="37">
        <f>ROUND($D62/5,-3)</f>
        <v>218000</v>
      </c>
      <c r="J62" s="37"/>
      <c r="K62" s="37"/>
      <c r="L62" s="37"/>
      <c r="M62" s="37"/>
      <c r="N62" s="37">
        <f>D62-I62</f>
        <v>870000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1662000</v>
      </c>
      <c r="E63" s="37" t="s">
        <v>195</v>
      </c>
      <c r="F63" s="37">
        <f>D63</f>
        <v>1662000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1296000</v>
      </c>
      <c r="E64" s="114" t="s">
        <v>202</v>
      </c>
      <c r="F64" s="37">
        <f>ROUND($D64/12*3,-3)</f>
        <v>324000</v>
      </c>
      <c r="G64" s="37">
        <f>ROUND($D64/12,-3)</f>
        <v>108000</v>
      </c>
      <c r="H64" s="37">
        <f t="shared" ref="H64:N66" si="21">ROUND($D64/12,-3)</f>
        <v>108000</v>
      </c>
      <c r="I64" s="37">
        <f t="shared" si="21"/>
        <v>108000</v>
      </c>
      <c r="J64" s="37">
        <f t="shared" si="21"/>
        <v>108000</v>
      </c>
      <c r="K64" s="37">
        <f t="shared" si="21"/>
        <v>108000</v>
      </c>
      <c r="L64" s="37">
        <f t="shared" si="21"/>
        <v>108000</v>
      </c>
      <c r="M64" s="37">
        <f t="shared" si="21"/>
        <v>108000</v>
      </c>
      <c r="N64" s="37">
        <f t="shared" si="21"/>
        <v>108000</v>
      </c>
      <c r="O64" s="37">
        <f>D64-SUM(F64:N64)</f>
        <v>108000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252000</v>
      </c>
      <c r="E65" s="114" t="s">
        <v>202</v>
      </c>
      <c r="F65" s="37">
        <f t="shared" ref="F65:F66" si="22">ROUND($D65/12*3,-3)</f>
        <v>63000</v>
      </c>
      <c r="G65" s="37">
        <f t="shared" ref="G65:G66" si="23">ROUND($D65/12,-3)</f>
        <v>21000</v>
      </c>
      <c r="H65" s="37">
        <f t="shared" si="21"/>
        <v>21000</v>
      </c>
      <c r="I65" s="37">
        <f t="shared" si="21"/>
        <v>21000</v>
      </c>
      <c r="J65" s="37">
        <f t="shared" si="21"/>
        <v>21000</v>
      </c>
      <c r="K65" s="37">
        <f t="shared" si="21"/>
        <v>21000</v>
      </c>
      <c r="L65" s="37">
        <f t="shared" si="21"/>
        <v>21000</v>
      </c>
      <c r="M65" s="37">
        <f t="shared" si="21"/>
        <v>21000</v>
      </c>
      <c r="N65" s="37">
        <f t="shared" si="21"/>
        <v>21000</v>
      </c>
      <c r="O65" s="37">
        <f t="shared" ref="O65:O66" si="24">D65-SUM(F65:N65)</f>
        <v>21000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1191000</v>
      </c>
      <c r="E66" s="114" t="s">
        <v>202</v>
      </c>
      <c r="F66" s="37">
        <f t="shared" si="22"/>
        <v>298000</v>
      </c>
      <c r="G66" s="37">
        <f t="shared" si="23"/>
        <v>99000</v>
      </c>
      <c r="H66" s="37">
        <f t="shared" si="21"/>
        <v>99000</v>
      </c>
      <c r="I66" s="37">
        <f t="shared" si="21"/>
        <v>99000</v>
      </c>
      <c r="J66" s="37">
        <f t="shared" si="21"/>
        <v>99000</v>
      </c>
      <c r="K66" s="37">
        <f t="shared" si="21"/>
        <v>99000</v>
      </c>
      <c r="L66" s="37">
        <f t="shared" si="21"/>
        <v>99000</v>
      </c>
      <c r="M66" s="37">
        <f t="shared" si="21"/>
        <v>99000</v>
      </c>
      <c r="N66" s="37">
        <f t="shared" si="21"/>
        <v>99000</v>
      </c>
      <c r="O66" s="37">
        <f t="shared" si="24"/>
        <v>101000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22000</v>
      </c>
      <c r="E67" s="37" t="s">
        <v>196</v>
      </c>
      <c r="F67" s="37"/>
      <c r="G67" s="37"/>
      <c r="H67" s="37">
        <f>D67</f>
        <v>22000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131000</v>
      </c>
      <c r="E68" s="37" t="s">
        <v>195</v>
      </c>
      <c r="F68" s="37">
        <f>D68</f>
        <v>131000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20544000</v>
      </c>
      <c r="E70" s="108"/>
      <c r="F70" s="108">
        <f t="shared" ref="F70:P70" si="25">ROUND(SUM(F49:F69),-3)</f>
        <v>6521000</v>
      </c>
      <c r="G70" s="108">
        <f t="shared" si="25"/>
        <v>1435000</v>
      </c>
      <c r="H70" s="108">
        <f t="shared" si="25"/>
        <v>1457000</v>
      </c>
      <c r="I70" s="108">
        <f t="shared" si="25"/>
        <v>1653000</v>
      </c>
      <c r="J70" s="108">
        <f t="shared" si="25"/>
        <v>1435000</v>
      </c>
      <c r="K70" s="108">
        <f t="shared" si="25"/>
        <v>1435000</v>
      </c>
      <c r="L70" s="108">
        <f t="shared" si="25"/>
        <v>1435000</v>
      </c>
      <c r="M70" s="108">
        <f t="shared" si="25"/>
        <v>1435000</v>
      </c>
      <c r="N70" s="108">
        <f t="shared" si="25"/>
        <v>2305000</v>
      </c>
      <c r="O70" s="108">
        <f t="shared" si="25"/>
        <v>1428000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3032000</v>
      </c>
      <c r="E72" s="114" t="s">
        <v>202</v>
      </c>
      <c r="F72" s="37">
        <f>ROUND($D72/12*3,-3)</f>
        <v>758000</v>
      </c>
      <c r="G72" s="37">
        <f>ROUND($D72/12,-3)</f>
        <v>253000</v>
      </c>
      <c r="H72" s="37">
        <f t="shared" ref="H72:N75" si="26">ROUND($D72/12,-3)</f>
        <v>253000</v>
      </c>
      <c r="I72" s="37">
        <f t="shared" si="26"/>
        <v>253000</v>
      </c>
      <c r="J72" s="37">
        <f t="shared" si="26"/>
        <v>253000</v>
      </c>
      <c r="K72" s="37">
        <f t="shared" si="26"/>
        <v>253000</v>
      </c>
      <c r="L72" s="37">
        <f t="shared" si="26"/>
        <v>253000</v>
      </c>
      <c r="M72" s="37">
        <f t="shared" si="26"/>
        <v>253000</v>
      </c>
      <c r="N72" s="37">
        <f t="shared" si="26"/>
        <v>253000</v>
      </c>
      <c r="O72" s="37">
        <f>D72-SUM(F72:N72)</f>
        <v>250000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465000</v>
      </c>
      <c r="E75" s="114" t="s">
        <v>202</v>
      </c>
      <c r="F75" s="37">
        <f>ROUND($D75/12*3,-3)</f>
        <v>116000</v>
      </c>
      <c r="G75" s="37">
        <f>ROUND($D75/12,-3)</f>
        <v>39000</v>
      </c>
      <c r="H75" s="37">
        <f t="shared" si="26"/>
        <v>39000</v>
      </c>
      <c r="I75" s="37">
        <f t="shared" si="26"/>
        <v>39000</v>
      </c>
      <c r="J75" s="37">
        <f t="shared" si="26"/>
        <v>39000</v>
      </c>
      <c r="K75" s="37">
        <f t="shared" si="26"/>
        <v>39000</v>
      </c>
      <c r="L75" s="37">
        <f t="shared" si="26"/>
        <v>39000</v>
      </c>
      <c r="M75" s="37">
        <f t="shared" si="26"/>
        <v>39000</v>
      </c>
      <c r="N75" s="37">
        <f t="shared" si="26"/>
        <v>39000</v>
      </c>
      <c r="O75" s="37">
        <f>D75-SUM(F75:N75)</f>
        <v>37000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3497000</v>
      </c>
      <c r="E76" s="108"/>
      <c r="F76" s="108">
        <f>ROUND(SUM(F71:F75),-3)</f>
        <v>874000</v>
      </c>
      <c r="G76" s="108">
        <f t="shared" ref="G76:N76" si="27">ROUND(SUM(G71:G75),-3)</f>
        <v>292000</v>
      </c>
      <c r="H76" s="108">
        <f t="shared" si="27"/>
        <v>292000</v>
      </c>
      <c r="I76" s="108">
        <f t="shared" si="27"/>
        <v>292000</v>
      </c>
      <c r="J76" s="108">
        <f t="shared" si="27"/>
        <v>292000</v>
      </c>
      <c r="K76" s="108">
        <f t="shared" si="27"/>
        <v>292000</v>
      </c>
      <c r="L76" s="108">
        <f t="shared" si="27"/>
        <v>292000</v>
      </c>
      <c r="M76" s="108">
        <f t="shared" si="27"/>
        <v>292000</v>
      </c>
      <c r="N76" s="108">
        <f t="shared" si="27"/>
        <v>292000</v>
      </c>
      <c r="O76" s="108">
        <f>D76-SUM(F76:N76)</f>
        <v>287000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81000</v>
      </c>
      <c r="E77" s="37" t="s">
        <v>681</v>
      </c>
      <c r="F77" s="224"/>
      <c r="G77" s="224"/>
      <c r="H77" s="224">
        <f>ROUND($D77/2,-3)</f>
        <v>41000</v>
      </c>
      <c r="I77" s="224"/>
      <c r="J77" s="224"/>
      <c r="K77" s="224"/>
      <c r="L77" s="224"/>
      <c r="M77" s="224"/>
      <c r="N77" s="224">
        <f>D77-H77</f>
        <v>40000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24122000</v>
      </c>
      <c r="E78" s="227"/>
      <c r="F78" s="227">
        <f>F76+F70+F77</f>
        <v>7395000</v>
      </c>
      <c r="G78" s="227">
        <f t="shared" ref="G78:Q78" si="29">G76+G70+G77</f>
        <v>1727000</v>
      </c>
      <c r="H78" s="227">
        <f t="shared" si="29"/>
        <v>1790000</v>
      </c>
      <c r="I78" s="227">
        <f t="shared" si="29"/>
        <v>1945000</v>
      </c>
      <c r="J78" s="227">
        <f t="shared" si="29"/>
        <v>1727000</v>
      </c>
      <c r="K78" s="227">
        <f t="shared" si="29"/>
        <v>1727000</v>
      </c>
      <c r="L78" s="227">
        <f t="shared" si="29"/>
        <v>1727000</v>
      </c>
      <c r="M78" s="227">
        <f t="shared" si="29"/>
        <v>1727000</v>
      </c>
      <c r="N78" s="227">
        <f t="shared" si="29"/>
        <v>2637000</v>
      </c>
      <c r="O78" s="227">
        <f t="shared" si="29"/>
        <v>1715000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25603000</v>
      </c>
      <c r="E87" s="37"/>
      <c r="F87" s="37">
        <f>F88+F89+F90+F91</f>
        <v>7646000</v>
      </c>
      <c r="G87" s="37">
        <f t="shared" ref="G87:Q87" si="32">G88+G89+G90+G91</f>
        <v>1839000</v>
      </c>
      <c r="H87" s="37">
        <f t="shared" si="32"/>
        <v>1908000</v>
      </c>
      <c r="I87" s="37">
        <f t="shared" si="32"/>
        <v>2068000</v>
      </c>
      <c r="J87" s="37">
        <f t="shared" si="32"/>
        <v>1845000</v>
      </c>
      <c r="K87" s="37">
        <f t="shared" si="32"/>
        <v>1849000</v>
      </c>
      <c r="L87" s="37">
        <f t="shared" si="32"/>
        <v>1862000</v>
      </c>
      <c r="M87" s="37">
        <f t="shared" si="32"/>
        <v>1845000</v>
      </c>
      <c r="N87" s="37">
        <f t="shared" si="32"/>
        <v>2759000</v>
      </c>
      <c r="O87" s="37">
        <f t="shared" si="32"/>
        <v>1832000</v>
      </c>
      <c r="P87" s="37">
        <f t="shared" si="32"/>
        <v>80000</v>
      </c>
      <c r="Q87" s="37">
        <f t="shared" si="32"/>
        <v>70000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1000</v>
      </c>
      <c r="E88" s="108" t="s">
        <v>193</v>
      </c>
      <c r="F88" s="108">
        <f>ROUND($D88/2,-3)</f>
        <v>1000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25601000</v>
      </c>
      <c r="E91" s="108"/>
      <c r="F91" s="108">
        <f>F92+F93+F94+F95</f>
        <v>7645000</v>
      </c>
      <c r="G91" s="108">
        <f t="shared" ref="G91:Q91" si="34">G92+G93+G94+G95</f>
        <v>1839000</v>
      </c>
      <c r="H91" s="108">
        <f t="shared" si="34"/>
        <v>1908000</v>
      </c>
      <c r="I91" s="108">
        <f t="shared" si="34"/>
        <v>2068000</v>
      </c>
      <c r="J91" s="108">
        <f t="shared" si="34"/>
        <v>1845000</v>
      </c>
      <c r="K91" s="108">
        <f t="shared" si="34"/>
        <v>1849000</v>
      </c>
      <c r="L91" s="108">
        <f t="shared" si="34"/>
        <v>1862000</v>
      </c>
      <c r="M91" s="108">
        <f t="shared" si="34"/>
        <v>1845000</v>
      </c>
      <c r="N91" s="108">
        <f t="shared" si="34"/>
        <v>2759000</v>
      </c>
      <c r="O91" s="108">
        <f t="shared" si="34"/>
        <v>1832000</v>
      </c>
      <c r="P91" s="108">
        <f t="shared" si="34"/>
        <v>80000</v>
      </c>
      <c r="Q91" s="108">
        <f t="shared" si="34"/>
        <v>69000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2304000</v>
      </c>
      <c r="E92" s="114" t="s">
        <v>537</v>
      </c>
      <c r="F92" s="37">
        <f>ROUND($D92/12*5,-3)</f>
        <v>960000</v>
      </c>
      <c r="G92" s="37">
        <f>ROUND($D92/12,-3)</f>
        <v>192000</v>
      </c>
      <c r="H92" s="37">
        <f t="shared" ref="H92:L92" si="35">ROUND($D92/12,-3)</f>
        <v>192000</v>
      </c>
      <c r="I92" s="37">
        <f t="shared" si="35"/>
        <v>192000</v>
      </c>
      <c r="J92" s="37">
        <f t="shared" si="35"/>
        <v>192000</v>
      </c>
      <c r="K92" s="37">
        <f t="shared" si="35"/>
        <v>192000</v>
      </c>
      <c r="L92" s="37">
        <f t="shared" si="35"/>
        <v>192000</v>
      </c>
      <c r="M92" s="37">
        <f>D92-SUM(F92:L92)</f>
        <v>192000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102000</v>
      </c>
      <c r="E93" s="189" t="s">
        <v>227</v>
      </c>
      <c r="F93" s="37">
        <f>ROUND($D93/12,-3)</f>
        <v>9000</v>
      </c>
      <c r="G93" s="37">
        <f t="shared" ref="G93:P93" si="36">ROUND($D93/12,-3)</f>
        <v>9000</v>
      </c>
      <c r="H93" s="37">
        <f t="shared" si="36"/>
        <v>9000</v>
      </c>
      <c r="I93" s="37">
        <f t="shared" si="36"/>
        <v>9000</v>
      </c>
      <c r="J93" s="37">
        <f t="shared" si="36"/>
        <v>9000</v>
      </c>
      <c r="K93" s="37">
        <f t="shared" si="36"/>
        <v>9000</v>
      </c>
      <c r="L93" s="37">
        <f t="shared" si="36"/>
        <v>9000</v>
      </c>
      <c r="M93" s="37">
        <f t="shared" si="36"/>
        <v>9000</v>
      </c>
      <c r="N93" s="37">
        <f t="shared" si="36"/>
        <v>9000</v>
      </c>
      <c r="O93" s="37">
        <f t="shared" si="36"/>
        <v>9000</v>
      </c>
      <c r="P93" s="37">
        <f t="shared" si="36"/>
        <v>9000</v>
      </c>
      <c r="Q93" s="37">
        <f>D93-SUM(F93:P93)</f>
        <v>3000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378000</v>
      </c>
      <c r="E94" s="190" t="s">
        <v>229</v>
      </c>
      <c r="F94" s="37"/>
      <c r="G94" s="37"/>
      <c r="H94" s="37">
        <f>ROUND($D94/2,-3)</f>
        <v>189000</v>
      </c>
      <c r="I94" s="37"/>
      <c r="J94" s="37"/>
      <c r="K94" s="37"/>
      <c r="L94" s="37"/>
      <c r="M94" s="37"/>
      <c r="N94" s="37"/>
      <c r="O94" s="37">
        <f>D94-H94</f>
        <v>189000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22817000</v>
      </c>
      <c r="E95" s="37"/>
      <c r="F95" s="37">
        <f>F2+F86-F88-F89-F90-F92-F93-F94</f>
        <v>6676000</v>
      </c>
      <c r="G95" s="37">
        <f t="shared" ref="G95:Q95" si="37">G2-G88-G89-G90-G92-G93-G94</f>
        <v>1638000</v>
      </c>
      <c r="H95" s="37">
        <f t="shared" si="37"/>
        <v>1518000</v>
      </c>
      <c r="I95" s="37">
        <f t="shared" si="37"/>
        <v>1867000</v>
      </c>
      <c r="J95" s="37">
        <f t="shared" si="37"/>
        <v>1644000</v>
      </c>
      <c r="K95" s="37">
        <f t="shared" si="37"/>
        <v>1648000</v>
      </c>
      <c r="L95" s="37">
        <f t="shared" si="37"/>
        <v>1661000</v>
      </c>
      <c r="M95" s="37">
        <f t="shared" si="37"/>
        <v>1644000</v>
      </c>
      <c r="N95" s="37">
        <f t="shared" si="37"/>
        <v>2750000</v>
      </c>
      <c r="O95" s="37">
        <f t="shared" si="37"/>
        <v>1634000</v>
      </c>
      <c r="P95" s="37">
        <f t="shared" si="37"/>
        <v>71000</v>
      </c>
      <c r="Q95" s="37">
        <f t="shared" si="37"/>
        <v>66000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1004000</v>
      </c>
    </row>
    <row r="102" spans="2:17" ht="32.4">
      <c r="B102" s="71" t="s">
        <v>238</v>
      </c>
      <c r="D102" s="30">
        <f>HLOOKUP(D1,[1]縣庫撥款收入明細表!H:DD,16,FALSE)</f>
        <v>96000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378000</v>
      </c>
    </row>
    <row r="105" spans="2:17" ht="32.4">
      <c r="B105" s="72" t="s">
        <v>380</v>
      </c>
      <c r="D105" s="30">
        <f>HLOOKUP(D1,[1]縣庫撥款收入明細表!H:DD,19,FALSE)</f>
        <v>650000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22817000</v>
      </c>
    </row>
    <row r="108" spans="2:17" ht="16.5" customHeight="1"/>
    <row r="109" spans="2:17" ht="16.5" customHeight="1">
      <c r="B109" s="4" t="s">
        <v>682</v>
      </c>
      <c r="D109" s="30">
        <f>D91-D76</f>
        <v>22104000</v>
      </c>
      <c r="F109" s="30">
        <f>F91-F76</f>
        <v>6771000</v>
      </c>
      <c r="G109" s="30">
        <f t="shared" ref="G109:Q109" si="38">G91-G76</f>
        <v>1547000</v>
      </c>
      <c r="H109" s="30">
        <f t="shared" si="38"/>
        <v>1616000</v>
      </c>
      <c r="I109" s="30">
        <f t="shared" si="38"/>
        <v>1776000</v>
      </c>
      <c r="J109" s="30">
        <f t="shared" si="38"/>
        <v>1553000</v>
      </c>
      <c r="K109" s="30">
        <f t="shared" si="38"/>
        <v>1557000</v>
      </c>
      <c r="L109" s="30">
        <f t="shared" si="38"/>
        <v>1570000</v>
      </c>
      <c r="M109" s="30">
        <f t="shared" si="38"/>
        <v>1553000</v>
      </c>
      <c r="N109" s="30">
        <f t="shared" si="38"/>
        <v>2467000</v>
      </c>
      <c r="O109" s="30">
        <f t="shared" si="38"/>
        <v>1545000</v>
      </c>
      <c r="P109" s="30">
        <f t="shared" si="38"/>
        <v>80000</v>
      </c>
      <c r="Q109" s="30">
        <f t="shared" si="38"/>
        <v>69000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94" priority="1" operator="lessThan">
      <formula>0</formula>
    </cfRule>
  </conditionalFormatting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661</v>
      </c>
      <c r="D1" s="28" t="str">
        <f>VLOOKUP(C1,[1]學校編號!A:B,2,FALSE)</f>
        <v>661觀音國小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17094000</v>
      </c>
      <c r="E2" s="37"/>
      <c r="F2" s="37">
        <f>F48+F70+F76+F77+F83</f>
        <v>5053000</v>
      </c>
      <c r="G2" s="37">
        <f t="shared" ref="G2:Q2" si="0">G48+G70+G76+G77+G83</f>
        <v>1204000</v>
      </c>
      <c r="H2" s="37">
        <f t="shared" si="0"/>
        <v>1231000</v>
      </c>
      <c r="I2" s="37">
        <f t="shared" si="0"/>
        <v>1398000</v>
      </c>
      <c r="J2" s="37">
        <f t="shared" si="0"/>
        <v>1204000</v>
      </c>
      <c r="K2" s="37">
        <f t="shared" si="0"/>
        <v>1204000</v>
      </c>
      <c r="L2" s="37">
        <f t="shared" si="0"/>
        <v>1257000</v>
      </c>
      <c r="M2" s="37">
        <f t="shared" si="0"/>
        <v>1204000</v>
      </c>
      <c r="N2" s="37">
        <f t="shared" si="0"/>
        <v>1995000</v>
      </c>
      <c r="O2" s="37">
        <f t="shared" si="0"/>
        <v>1199000</v>
      </c>
      <c r="P2" s="37">
        <f t="shared" si="0"/>
        <v>69000</v>
      </c>
      <c r="Q2" s="37">
        <f t="shared" si="0"/>
        <v>76000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120000</v>
      </c>
      <c r="E3" s="37" t="s">
        <v>525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51000</v>
      </c>
      <c r="E4" s="37" t="s">
        <v>525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63000</v>
      </c>
      <c r="E7" s="37" t="s">
        <v>525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80000</v>
      </c>
      <c r="E14" s="37" t="s">
        <v>525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26000</v>
      </c>
      <c r="E15" s="37" t="s">
        <v>193</v>
      </c>
      <c r="F15" s="37">
        <f>ROUND($D15/2,-3)</f>
        <v>13000</v>
      </c>
      <c r="G15" s="37"/>
      <c r="H15" s="37"/>
      <c r="I15" s="37"/>
      <c r="J15" s="37"/>
      <c r="K15" s="37"/>
      <c r="L15" s="37">
        <f>D15-F15</f>
        <v>13000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42000</v>
      </c>
      <c r="E17" s="37" t="s">
        <v>525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80000</v>
      </c>
      <c r="E24" s="37" t="s">
        <v>193</v>
      </c>
      <c r="F24" s="37">
        <f>ROUND($D24/2,-3)</f>
        <v>40000</v>
      </c>
      <c r="G24" s="37"/>
      <c r="H24" s="37"/>
      <c r="I24" s="37"/>
      <c r="J24" s="37"/>
      <c r="K24" s="37"/>
      <c r="L24" s="37">
        <f>D24-F24</f>
        <v>40000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626000</v>
      </c>
      <c r="E25" s="108"/>
      <c r="F25" s="108">
        <f>ROUND(SUM(F3:F24),-3)</f>
        <v>96000</v>
      </c>
      <c r="G25" s="108">
        <f t="shared" ref="G25:P25" si="5">ROUND(SUM(G3:G24),-3)</f>
        <v>43000</v>
      </c>
      <c r="H25" s="108">
        <f t="shared" si="5"/>
        <v>43000</v>
      </c>
      <c r="I25" s="108">
        <f t="shared" si="5"/>
        <v>43000</v>
      </c>
      <c r="J25" s="108">
        <f t="shared" si="5"/>
        <v>43000</v>
      </c>
      <c r="K25" s="108">
        <f t="shared" si="5"/>
        <v>43000</v>
      </c>
      <c r="L25" s="108">
        <f t="shared" si="5"/>
        <v>96000</v>
      </c>
      <c r="M25" s="108">
        <f t="shared" si="5"/>
        <v>43000</v>
      </c>
      <c r="N25" s="108">
        <f t="shared" si="5"/>
        <v>43000</v>
      </c>
      <c r="O25" s="108">
        <f t="shared" si="5"/>
        <v>43000</v>
      </c>
      <c r="P25" s="108">
        <f t="shared" si="5"/>
        <v>43000</v>
      </c>
      <c r="Q25" s="108">
        <f t="shared" ref="Q25:Q33" si="6">D25-SUM(F25:P25)</f>
        <v>47000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241000</v>
      </c>
      <c r="E27" s="37" t="s">
        <v>525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18000</v>
      </c>
      <c r="E29" s="37" t="s">
        <v>525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4000</v>
      </c>
      <c r="E30" s="37" t="s">
        <v>525</v>
      </c>
      <c r="F30" s="37">
        <f t="shared" si="8"/>
        <v>333</v>
      </c>
      <c r="G30" s="37">
        <f t="shared" si="8"/>
        <v>333</v>
      </c>
      <c r="H30" s="37">
        <f t="shared" si="8"/>
        <v>333</v>
      </c>
      <c r="I30" s="37">
        <f t="shared" si="8"/>
        <v>333</v>
      </c>
      <c r="J30" s="37">
        <f t="shared" si="8"/>
        <v>333</v>
      </c>
      <c r="K30" s="37">
        <f t="shared" si="8"/>
        <v>333</v>
      </c>
      <c r="L30" s="37">
        <f t="shared" si="8"/>
        <v>333</v>
      </c>
      <c r="M30" s="37">
        <f t="shared" si="8"/>
        <v>333</v>
      </c>
      <c r="N30" s="37">
        <f t="shared" si="8"/>
        <v>333</v>
      </c>
      <c r="O30" s="37">
        <f t="shared" si="8"/>
        <v>333</v>
      </c>
      <c r="P30" s="37">
        <f t="shared" si="8"/>
        <v>333</v>
      </c>
      <c r="Q30" s="37">
        <f t="shared" si="6"/>
        <v>337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2000</v>
      </c>
      <c r="E31" s="37" t="s">
        <v>525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265000</v>
      </c>
      <c r="E37" s="108"/>
      <c r="F37" s="108">
        <f t="shared" ref="F37:P37" si="9">ROUND(SUM(F26:F36),-3)</f>
        <v>22000</v>
      </c>
      <c r="G37" s="108">
        <f t="shared" si="9"/>
        <v>22000</v>
      </c>
      <c r="H37" s="108">
        <f t="shared" si="9"/>
        <v>22000</v>
      </c>
      <c r="I37" s="108">
        <f t="shared" si="9"/>
        <v>22000</v>
      </c>
      <c r="J37" s="108">
        <f t="shared" si="9"/>
        <v>22000</v>
      </c>
      <c r="K37" s="108">
        <f t="shared" si="9"/>
        <v>22000</v>
      </c>
      <c r="L37" s="108">
        <f t="shared" si="9"/>
        <v>22000</v>
      </c>
      <c r="M37" s="108">
        <f t="shared" si="9"/>
        <v>22000</v>
      </c>
      <c r="N37" s="108">
        <f t="shared" si="9"/>
        <v>22000</v>
      </c>
      <c r="O37" s="108">
        <f t="shared" si="9"/>
        <v>22000</v>
      </c>
      <c r="P37" s="108">
        <f t="shared" si="9"/>
        <v>22000</v>
      </c>
      <c r="Q37" s="108">
        <f>D37-SUM(F37:P37)</f>
        <v>23000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891000</v>
      </c>
      <c r="E48" s="37"/>
      <c r="F48" s="115">
        <f>F25+F37+F45+F47</f>
        <v>118000</v>
      </c>
      <c r="G48" s="115">
        <f t="shared" ref="G48:R48" si="14">G25+G37+G45+G47</f>
        <v>65000</v>
      </c>
      <c r="H48" s="115">
        <f t="shared" si="14"/>
        <v>65000</v>
      </c>
      <c r="I48" s="115">
        <f t="shared" si="14"/>
        <v>65000</v>
      </c>
      <c r="J48" s="115">
        <f t="shared" si="14"/>
        <v>65000</v>
      </c>
      <c r="K48" s="115">
        <f t="shared" si="14"/>
        <v>65000</v>
      </c>
      <c r="L48" s="115">
        <f t="shared" si="14"/>
        <v>118000</v>
      </c>
      <c r="M48" s="115">
        <f t="shared" si="14"/>
        <v>65000</v>
      </c>
      <c r="N48" s="115">
        <f t="shared" si="14"/>
        <v>65000</v>
      </c>
      <c r="O48" s="115">
        <f t="shared" si="14"/>
        <v>65000</v>
      </c>
      <c r="P48" s="115">
        <f t="shared" si="14"/>
        <v>65000</v>
      </c>
      <c r="Q48" s="115">
        <f t="shared" si="14"/>
        <v>70000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10316000</v>
      </c>
      <c r="E49" s="114" t="s">
        <v>202</v>
      </c>
      <c r="F49" s="37">
        <f>ROUND($D49/12*3,-3)</f>
        <v>2579000</v>
      </c>
      <c r="G49" s="37">
        <f>ROUND($D49/12,-3)</f>
        <v>860000</v>
      </c>
      <c r="H49" s="37">
        <f t="shared" ref="H49:N53" si="15">ROUND($D49/12,-3)</f>
        <v>860000</v>
      </c>
      <c r="I49" s="37">
        <f t="shared" si="15"/>
        <v>860000</v>
      </c>
      <c r="J49" s="37">
        <f t="shared" si="15"/>
        <v>860000</v>
      </c>
      <c r="K49" s="37">
        <f t="shared" si="15"/>
        <v>860000</v>
      </c>
      <c r="L49" s="37">
        <f t="shared" si="15"/>
        <v>860000</v>
      </c>
      <c r="M49" s="37">
        <f t="shared" si="15"/>
        <v>860000</v>
      </c>
      <c r="N49" s="37">
        <f t="shared" si="15"/>
        <v>860000</v>
      </c>
      <c r="O49" s="37">
        <f>D49-SUM(F49:N49)</f>
        <v>857000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0</v>
      </c>
      <c r="E51" s="114" t="s">
        <v>202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5"/>
        <v>0</v>
      </c>
      <c r="N51" s="37">
        <f t="shared" si="15"/>
        <v>0</v>
      </c>
      <c r="O51" s="37">
        <f t="shared" si="18"/>
        <v>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0</v>
      </c>
      <c r="E52" s="114" t="s">
        <v>202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5"/>
        <v>0</v>
      </c>
      <c r="N52" s="37">
        <f t="shared" si="15"/>
        <v>0</v>
      </c>
      <c r="O52" s="37">
        <f t="shared" si="18"/>
        <v>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26000</v>
      </c>
      <c r="E54" s="37" t="s">
        <v>525</v>
      </c>
      <c r="F54" s="37">
        <f t="shared" ref="F54:P61" si="19">ROUND($D54/12,0)</f>
        <v>2167</v>
      </c>
      <c r="G54" s="37">
        <f t="shared" si="19"/>
        <v>2167</v>
      </c>
      <c r="H54" s="37">
        <f t="shared" si="19"/>
        <v>2167</v>
      </c>
      <c r="I54" s="37">
        <f t="shared" si="19"/>
        <v>2167</v>
      </c>
      <c r="J54" s="37">
        <f t="shared" si="19"/>
        <v>2167</v>
      </c>
      <c r="K54" s="37">
        <f t="shared" si="19"/>
        <v>2167</v>
      </c>
      <c r="L54" s="37">
        <f t="shared" si="19"/>
        <v>2167</v>
      </c>
      <c r="M54" s="37">
        <f t="shared" si="19"/>
        <v>2167</v>
      </c>
      <c r="N54" s="37">
        <f t="shared" si="19"/>
        <v>2167</v>
      </c>
      <c r="O54" s="37">
        <f t="shared" si="19"/>
        <v>2167</v>
      </c>
      <c r="P54" s="37">
        <f t="shared" si="19"/>
        <v>2167</v>
      </c>
      <c r="Q54" s="37">
        <f t="shared" ref="Q54:Q61" si="20">D54-SUM(F54:P54)</f>
        <v>2163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159000</v>
      </c>
      <c r="E60" s="37" t="s">
        <v>195</v>
      </c>
      <c r="F60" s="37">
        <f>D60</f>
        <v>159000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972000</v>
      </c>
      <c r="E62" s="37" t="s">
        <v>197</v>
      </c>
      <c r="F62" s="37"/>
      <c r="G62" s="37"/>
      <c r="H62" s="37"/>
      <c r="I62" s="37">
        <f>ROUND($D62/5,-3)</f>
        <v>194000</v>
      </c>
      <c r="J62" s="37"/>
      <c r="K62" s="37"/>
      <c r="L62" s="37"/>
      <c r="M62" s="37"/>
      <c r="N62" s="37">
        <f>D62-I62</f>
        <v>778000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1265000</v>
      </c>
      <c r="E63" s="37" t="s">
        <v>195</v>
      </c>
      <c r="F63" s="37">
        <f>D63</f>
        <v>1265000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1046000</v>
      </c>
      <c r="E64" s="114" t="s">
        <v>202</v>
      </c>
      <c r="F64" s="37">
        <f>ROUND($D64/12*3,-3)</f>
        <v>262000</v>
      </c>
      <c r="G64" s="37">
        <f>ROUND($D64/12,-3)</f>
        <v>87000</v>
      </c>
      <c r="H64" s="37">
        <f t="shared" ref="H64:N66" si="21">ROUND($D64/12,-3)</f>
        <v>87000</v>
      </c>
      <c r="I64" s="37">
        <f t="shared" si="21"/>
        <v>87000</v>
      </c>
      <c r="J64" s="37">
        <f t="shared" si="21"/>
        <v>87000</v>
      </c>
      <c r="K64" s="37">
        <f t="shared" si="21"/>
        <v>87000</v>
      </c>
      <c r="L64" s="37">
        <f t="shared" si="21"/>
        <v>87000</v>
      </c>
      <c r="M64" s="37">
        <f t="shared" si="21"/>
        <v>87000</v>
      </c>
      <c r="N64" s="37">
        <f t="shared" si="21"/>
        <v>87000</v>
      </c>
      <c r="O64" s="37">
        <f>D64-SUM(F64:N64)</f>
        <v>88000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241000</v>
      </c>
      <c r="E65" s="114" t="s">
        <v>202</v>
      </c>
      <c r="F65" s="37">
        <f t="shared" ref="F65:F66" si="22">ROUND($D65/12*3,-3)</f>
        <v>60000</v>
      </c>
      <c r="G65" s="37">
        <f t="shared" ref="G65:G66" si="23">ROUND($D65/12,-3)</f>
        <v>20000</v>
      </c>
      <c r="H65" s="37">
        <f t="shared" si="21"/>
        <v>20000</v>
      </c>
      <c r="I65" s="37">
        <f t="shared" si="21"/>
        <v>20000</v>
      </c>
      <c r="J65" s="37">
        <f t="shared" si="21"/>
        <v>20000</v>
      </c>
      <c r="K65" s="37">
        <f t="shared" si="21"/>
        <v>20000</v>
      </c>
      <c r="L65" s="37">
        <f t="shared" si="21"/>
        <v>20000</v>
      </c>
      <c r="M65" s="37">
        <f t="shared" si="21"/>
        <v>20000</v>
      </c>
      <c r="N65" s="37">
        <f t="shared" si="21"/>
        <v>20000</v>
      </c>
      <c r="O65" s="37">
        <f t="shared" ref="O65:O66" si="24">D65-SUM(F65:N65)</f>
        <v>21000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742000</v>
      </c>
      <c r="E66" s="114" t="s">
        <v>202</v>
      </c>
      <c r="F66" s="37">
        <f t="shared" si="22"/>
        <v>186000</v>
      </c>
      <c r="G66" s="37">
        <f t="shared" si="23"/>
        <v>62000</v>
      </c>
      <c r="H66" s="37">
        <f t="shared" si="21"/>
        <v>62000</v>
      </c>
      <c r="I66" s="37">
        <f t="shared" si="21"/>
        <v>62000</v>
      </c>
      <c r="J66" s="37">
        <f t="shared" si="21"/>
        <v>62000</v>
      </c>
      <c r="K66" s="37">
        <f t="shared" si="21"/>
        <v>62000</v>
      </c>
      <c r="L66" s="37">
        <f t="shared" si="21"/>
        <v>62000</v>
      </c>
      <c r="M66" s="37">
        <f t="shared" si="21"/>
        <v>62000</v>
      </c>
      <c r="N66" s="37">
        <f t="shared" si="21"/>
        <v>62000</v>
      </c>
      <c r="O66" s="37">
        <f t="shared" si="24"/>
        <v>60000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13000</v>
      </c>
      <c r="E67" s="37" t="s">
        <v>196</v>
      </c>
      <c r="F67" s="37"/>
      <c r="G67" s="37"/>
      <c r="H67" s="37">
        <f>D67</f>
        <v>13000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102000</v>
      </c>
      <c r="E68" s="37" t="s">
        <v>195</v>
      </c>
      <c r="F68" s="37">
        <f>D68</f>
        <v>102000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14906000</v>
      </c>
      <c r="E70" s="108"/>
      <c r="F70" s="108">
        <f t="shared" ref="F70:P70" si="25">ROUND(SUM(F49:F69),-3)</f>
        <v>4617000</v>
      </c>
      <c r="G70" s="108">
        <f t="shared" si="25"/>
        <v>1033000</v>
      </c>
      <c r="H70" s="108">
        <f t="shared" si="25"/>
        <v>1046000</v>
      </c>
      <c r="I70" s="108">
        <f t="shared" si="25"/>
        <v>1227000</v>
      </c>
      <c r="J70" s="108">
        <f t="shared" si="25"/>
        <v>1033000</v>
      </c>
      <c r="K70" s="108">
        <f t="shared" si="25"/>
        <v>1033000</v>
      </c>
      <c r="L70" s="108">
        <f t="shared" si="25"/>
        <v>1033000</v>
      </c>
      <c r="M70" s="108">
        <f t="shared" si="25"/>
        <v>1033000</v>
      </c>
      <c r="N70" s="108">
        <f t="shared" si="25"/>
        <v>1811000</v>
      </c>
      <c r="O70" s="108">
        <f t="shared" si="25"/>
        <v>1030000</v>
      </c>
      <c r="P70" s="108">
        <f t="shared" si="25"/>
        <v>4000</v>
      </c>
      <c r="Q70" s="108">
        <f>D70-SUM(F70:P70)</f>
        <v>6000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1139000</v>
      </c>
      <c r="E72" s="114" t="s">
        <v>202</v>
      </c>
      <c r="F72" s="37">
        <f>ROUND($D72/12*3,-3)</f>
        <v>285000</v>
      </c>
      <c r="G72" s="37">
        <f>ROUND($D72/12,-3)</f>
        <v>95000</v>
      </c>
      <c r="H72" s="37">
        <f t="shared" ref="H72:N75" si="26">ROUND($D72/12,-3)</f>
        <v>95000</v>
      </c>
      <c r="I72" s="37">
        <f t="shared" si="26"/>
        <v>95000</v>
      </c>
      <c r="J72" s="37">
        <f t="shared" si="26"/>
        <v>95000</v>
      </c>
      <c r="K72" s="37">
        <f t="shared" si="26"/>
        <v>95000</v>
      </c>
      <c r="L72" s="37">
        <f t="shared" si="26"/>
        <v>95000</v>
      </c>
      <c r="M72" s="37">
        <f t="shared" si="26"/>
        <v>95000</v>
      </c>
      <c r="N72" s="37">
        <f t="shared" si="26"/>
        <v>95000</v>
      </c>
      <c r="O72" s="37">
        <f>D72-SUM(F72:N72)</f>
        <v>94000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131000</v>
      </c>
      <c r="E75" s="114" t="s">
        <v>202</v>
      </c>
      <c r="F75" s="37">
        <f>ROUND($D75/12*3,-3)</f>
        <v>33000</v>
      </c>
      <c r="G75" s="37">
        <f>ROUND($D75/12,-3)</f>
        <v>11000</v>
      </c>
      <c r="H75" s="37">
        <f t="shared" si="26"/>
        <v>11000</v>
      </c>
      <c r="I75" s="37">
        <f t="shared" si="26"/>
        <v>11000</v>
      </c>
      <c r="J75" s="37">
        <f t="shared" si="26"/>
        <v>11000</v>
      </c>
      <c r="K75" s="37">
        <f t="shared" si="26"/>
        <v>11000</v>
      </c>
      <c r="L75" s="37">
        <f t="shared" si="26"/>
        <v>11000</v>
      </c>
      <c r="M75" s="37">
        <f t="shared" si="26"/>
        <v>11000</v>
      </c>
      <c r="N75" s="37">
        <f t="shared" si="26"/>
        <v>11000</v>
      </c>
      <c r="O75" s="37">
        <f>D75-SUM(F75:N75)</f>
        <v>10000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1270000</v>
      </c>
      <c r="E76" s="108"/>
      <c r="F76" s="108">
        <f>ROUND(SUM(F71:F75),-3)</f>
        <v>318000</v>
      </c>
      <c r="G76" s="108">
        <f t="shared" ref="G76:N76" si="27">ROUND(SUM(G71:G75),-3)</f>
        <v>106000</v>
      </c>
      <c r="H76" s="108">
        <f t="shared" si="27"/>
        <v>106000</v>
      </c>
      <c r="I76" s="108">
        <f t="shared" si="27"/>
        <v>106000</v>
      </c>
      <c r="J76" s="108">
        <f t="shared" si="27"/>
        <v>106000</v>
      </c>
      <c r="K76" s="108">
        <f t="shared" si="27"/>
        <v>106000</v>
      </c>
      <c r="L76" s="108">
        <f t="shared" si="27"/>
        <v>106000</v>
      </c>
      <c r="M76" s="108">
        <f t="shared" si="27"/>
        <v>106000</v>
      </c>
      <c r="N76" s="108">
        <f t="shared" si="27"/>
        <v>106000</v>
      </c>
      <c r="O76" s="108">
        <f>D76-SUM(F76:N76)</f>
        <v>104000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27000</v>
      </c>
      <c r="E77" s="37" t="s">
        <v>681</v>
      </c>
      <c r="F77" s="224"/>
      <c r="G77" s="224"/>
      <c r="H77" s="224">
        <f>ROUND($D77/2,-3)</f>
        <v>14000</v>
      </c>
      <c r="I77" s="224"/>
      <c r="J77" s="224"/>
      <c r="K77" s="224"/>
      <c r="L77" s="224"/>
      <c r="M77" s="224"/>
      <c r="N77" s="224">
        <f>D77-H77</f>
        <v>13000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16203000</v>
      </c>
      <c r="E78" s="227"/>
      <c r="F78" s="227">
        <f>F76+F70+F77</f>
        <v>4935000</v>
      </c>
      <c r="G78" s="227">
        <f t="shared" ref="G78:Q78" si="29">G76+G70+G77</f>
        <v>1139000</v>
      </c>
      <c r="H78" s="227">
        <f t="shared" si="29"/>
        <v>1166000</v>
      </c>
      <c r="I78" s="227">
        <f t="shared" si="29"/>
        <v>1333000</v>
      </c>
      <c r="J78" s="227">
        <f t="shared" si="29"/>
        <v>1139000</v>
      </c>
      <c r="K78" s="227">
        <f t="shared" si="29"/>
        <v>1139000</v>
      </c>
      <c r="L78" s="227">
        <f t="shared" si="29"/>
        <v>1139000</v>
      </c>
      <c r="M78" s="227">
        <f t="shared" si="29"/>
        <v>1139000</v>
      </c>
      <c r="N78" s="227">
        <f t="shared" si="29"/>
        <v>1930000</v>
      </c>
      <c r="O78" s="227">
        <f t="shared" si="29"/>
        <v>1134000</v>
      </c>
      <c r="P78" s="227">
        <f t="shared" si="29"/>
        <v>4000</v>
      </c>
      <c r="Q78" s="227">
        <f t="shared" si="29"/>
        <v>6000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-80000</v>
      </c>
      <c r="E86" s="37"/>
      <c r="F86" s="37">
        <f>D86</f>
        <v>-80000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17014000</v>
      </c>
      <c r="E87" s="37"/>
      <c r="F87" s="37">
        <f>F88+F89+F90+F91</f>
        <v>4973000</v>
      </c>
      <c r="G87" s="37">
        <f t="shared" ref="G87:Q87" si="32">G88+G89+G90+G91</f>
        <v>1204000</v>
      </c>
      <c r="H87" s="37">
        <f t="shared" si="32"/>
        <v>1231000</v>
      </c>
      <c r="I87" s="37">
        <f t="shared" si="32"/>
        <v>1398000</v>
      </c>
      <c r="J87" s="37">
        <f t="shared" si="32"/>
        <v>1204000</v>
      </c>
      <c r="K87" s="37">
        <f t="shared" si="32"/>
        <v>1204000</v>
      </c>
      <c r="L87" s="37">
        <f t="shared" si="32"/>
        <v>1257000</v>
      </c>
      <c r="M87" s="37">
        <f t="shared" si="32"/>
        <v>1204000</v>
      </c>
      <c r="N87" s="37">
        <f t="shared" si="32"/>
        <v>1995000</v>
      </c>
      <c r="O87" s="37">
        <f t="shared" si="32"/>
        <v>1199000</v>
      </c>
      <c r="P87" s="37">
        <f t="shared" si="32"/>
        <v>69000</v>
      </c>
      <c r="Q87" s="37">
        <f t="shared" si="32"/>
        <v>76000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0</v>
      </c>
      <c r="E88" s="108" t="s">
        <v>193</v>
      </c>
      <c r="F88" s="108">
        <f>ROUND($D88/2,-3)</f>
        <v>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17013000</v>
      </c>
      <c r="E91" s="108"/>
      <c r="F91" s="108">
        <f>F92+F93+F94+F95</f>
        <v>4973000</v>
      </c>
      <c r="G91" s="108">
        <f t="shared" ref="G91:Q91" si="34">G92+G93+G94+G95</f>
        <v>1204000</v>
      </c>
      <c r="H91" s="108">
        <f t="shared" si="34"/>
        <v>1231000</v>
      </c>
      <c r="I91" s="108">
        <f t="shared" si="34"/>
        <v>1398000</v>
      </c>
      <c r="J91" s="108">
        <f t="shared" si="34"/>
        <v>1204000</v>
      </c>
      <c r="K91" s="108">
        <f t="shared" si="34"/>
        <v>1204000</v>
      </c>
      <c r="L91" s="108">
        <f t="shared" si="34"/>
        <v>1257000</v>
      </c>
      <c r="M91" s="108">
        <f t="shared" si="34"/>
        <v>1204000</v>
      </c>
      <c r="N91" s="108">
        <f t="shared" si="34"/>
        <v>1995000</v>
      </c>
      <c r="O91" s="108">
        <f t="shared" si="34"/>
        <v>1199000</v>
      </c>
      <c r="P91" s="108">
        <f t="shared" si="34"/>
        <v>69000</v>
      </c>
      <c r="Q91" s="108">
        <f t="shared" si="34"/>
        <v>75000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650000</v>
      </c>
      <c r="E92" s="114" t="s">
        <v>537</v>
      </c>
      <c r="F92" s="37">
        <f>ROUND($D92/12*5,-3)</f>
        <v>271000</v>
      </c>
      <c r="G92" s="37">
        <f>ROUND($D92/12,-3)</f>
        <v>54000</v>
      </c>
      <c r="H92" s="37">
        <f t="shared" ref="H92:L92" si="35">ROUND($D92/12,-3)</f>
        <v>54000</v>
      </c>
      <c r="I92" s="37">
        <f t="shared" si="35"/>
        <v>54000</v>
      </c>
      <c r="J92" s="37">
        <f t="shared" si="35"/>
        <v>54000</v>
      </c>
      <c r="K92" s="37">
        <f t="shared" si="35"/>
        <v>54000</v>
      </c>
      <c r="L92" s="37">
        <f t="shared" si="35"/>
        <v>54000</v>
      </c>
      <c r="M92" s="37">
        <f>D92-SUM(F92:L92)</f>
        <v>55000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77000</v>
      </c>
      <c r="E93" s="189" t="s">
        <v>227</v>
      </c>
      <c r="F93" s="37">
        <f>ROUND($D93/12,-3)</f>
        <v>6000</v>
      </c>
      <c r="G93" s="37">
        <f t="shared" ref="G93:P93" si="36">ROUND($D93/12,-3)</f>
        <v>6000</v>
      </c>
      <c r="H93" s="37">
        <f t="shared" si="36"/>
        <v>6000</v>
      </c>
      <c r="I93" s="37">
        <f t="shared" si="36"/>
        <v>6000</v>
      </c>
      <c r="J93" s="37">
        <f t="shared" si="36"/>
        <v>6000</v>
      </c>
      <c r="K93" s="37">
        <f t="shared" si="36"/>
        <v>6000</v>
      </c>
      <c r="L93" s="37">
        <f t="shared" si="36"/>
        <v>6000</v>
      </c>
      <c r="M93" s="37">
        <f t="shared" si="36"/>
        <v>6000</v>
      </c>
      <c r="N93" s="37">
        <f t="shared" si="36"/>
        <v>6000</v>
      </c>
      <c r="O93" s="37">
        <f t="shared" si="36"/>
        <v>6000</v>
      </c>
      <c r="P93" s="37">
        <f t="shared" si="36"/>
        <v>6000</v>
      </c>
      <c r="Q93" s="37">
        <f>D93-SUM(F93:P93)</f>
        <v>11000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16286000</v>
      </c>
      <c r="E95" s="37"/>
      <c r="F95" s="37">
        <f>F2+F86-F88-F89-F90-F92-F93-F94</f>
        <v>4696000</v>
      </c>
      <c r="G95" s="37">
        <f t="shared" ref="G95:Q95" si="37">G2-G88-G89-G90-G92-G93-G94</f>
        <v>1144000</v>
      </c>
      <c r="H95" s="37">
        <f t="shared" si="37"/>
        <v>1171000</v>
      </c>
      <c r="I95" s="37">
        <f t="shared" si="37"/>
        <v>1338000</v>
      </c>
      <c r="J95" s="37">
        <f t="shared" si="37"/>
        <v>1144000</v>
      </c>
      <c r="K95" s="37">
        <f t="shared" si="37"/>
        <v>1144000</v>
      </c>
      <c r="L95" s="37">
        <f t="shared" si="37"/>
        <v>1197000</v>
      </c>
      <c r="M95" s="37">
        <f t="shared" si="37"/>
        <v>1143000</v>
      </c>
      <c r="N95" s="37">
        <f t="shared" si="37"/>
        <v>1989000</v>
      </c>
      <c r="O95" s="37">
        <f t="shared" si="37"/>
        <v>1193000</v>
      </c>
      <c r="P95" s="37">
        <f t="shared" si="37"/>
        <v>63000</v>
      </c>
      <c r="Q95" s="37">
        <f t="shared" si="37"/>
        <v>64000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0</v>
      </c>
    </row>
    <row r="102" spans="2:17" ht="32.4">
      <c r="B102" s="71" t="s">
        <v>238</v>
      </c>
      <c r="D102" s="30">
        <f>HLOOKUP(D1,[1]縣庫撥款收入明細表!H:DD,16,FALSE)</f>
        <v>72000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0</v>
      </c>
    </row>
    <row r="106" spans="2:17" ht="32.4">
      <c r="B106" s="71" t="s">
        <v>241</v>
      </c>
      <c r="D106" s="30">
        <f>HLOOKUP(D1,[1]縣庫撥款收入明細表!H:DD,20,FALSE)</f>
        <v>5000</v>
      </c>
    </row>
    <row r="107" spans="2:17" ht="32.4">
      <c r="B107" s="77" t="s">
        <v>242</v>
      </c>
      <c r="D107" s="30">
        <f>HLOOKUP(D1,[1]縣庫撥款收入明細表!H:DD,21,FALSE)</f>
        <v>16286000</v>
      </c>
    </row>
    <row r="108" spans="2:17" ht="16.5" customHeight="1"/>
    <row r="109" spans="2:17" ht="16.5" customHeight="1">
      <c r="B109" s="4" t="s">
        <v>682</v>
      </c>
      <c r="D109" s="30">
        <f>D91-D76</f>
        <v>15743000</v>
      </c>
      <c r="F109" s="30">
        <f>F91-F76</f>
        <v>4655000</v>
      </c>
      <c r="G109" s="30">
        <f t="shared" ref="G109:Q109" si="38">G91-G76</f>
        <v>1098000</v>
      </c>
      <c r="H109" s="30">
        <f t="shared" si="38"/>
        <v>1125000</v>
      </c>
      <c r="I109" s="30">
        <f t="shared" si="38"/>
        <v>1292000</v>
      </c>
      <c r="J109" s="30">
        <f t="shared" si="38"/>
        <v>1098000</v>
      </c>
      <c r="K109" s="30">
        <f t="shared" si="38"/>
        <v>1098000</v>
      </c>
      <c r="L109" s="30">
        <f t="shared" si="38"/>
        <v>1151000</v>
      </c>
      <c r="M109" s="30">
        <f t="shared" si="38"/>
        <v>1098000</v>
      </c>
      <c r="N109" s="30">
        <f t="shared" si="38"/>
        <v>1889000</v>
      </c>
      <c r="O109" s="30">
        <f t="shared" si="38"/>
        <v>1095000</v>
      </c>
      <c r="P109" s="30">
        <f t="shared" si="38"/>
        <v>69000</v>
      </c>
      <c r="Q109" s="30">
        <f t="shared" si="38"/>
        <v>75000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92" priority="1" operator="lessThan">
      <formula>0</formula>
    </cfRule>
  </conditionalFormatting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topLeftCell="A98" zoomScale="89" zoomScaleNormal="89"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662</v>
      </c>
      <c r="D1" s="28" t="str">
        <f>VLOOKUP(C1,[1]學校編號!A:B,2,FALSE)</f>
        <v>662三民國小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17949000</v>
      </c>
      <c r="E2" s="37"/>
      <c r="F2" s="37">
        <f>F48+F70+F76+F77+F83</f>
        <v>5396000</v>
      </c>
      <c r="G2" s="37">
        <f t="shared" ref="G2:Q2" si="0">G48+G70+G76+G77+G83</f>
        <v>1338000</v>
      </c>
      <c r="H2" s="37">
        <f t="shared" si="0"/>
        <v>1354000</v>
      </c>
      <c r="I2" s="37">
        <f t="shared" si="0"/>
        <v>1408000</v>
      </c>
      <c r="J2" s="37">
        <f t="shared" si="0"/>
        <v>1338000</v>
      </c>
      <c r="K2" s="37">
        <f t="shared" si="0"/>
        <v>1340000</v>
      </c>
      <c r="L2" s="37">
        <f t="shared" si="0"/>
        <v>1355000</v>
      </c>
      <c r="M2" s="37">
        <f t="shared" si="0"/>
        <v>1338000</v>
      </c>
      <c r="N2" s="37">
        <f t="shared" si="0"/>
        <v>1622000</v>
      </c>
      <c r="O2" s="37">
        <f t="shared" si="0"/>
        <v>1336000</v>
      </c>
      <c r="P2" s="37">
        <f t="shared" si="0"/>
        <v>65000</v>
      </c>
      <c r="Q2" s="37">
        <f t="shared" si="0"/>
        <v>59000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0</v>
      </c>
      <c r="E13" s="37" t="s">
        <v>525</v>
      </c>
      <c r="F13" s="37">
        <f>ROUND($D13/12,0)</f>
        <v>0</v>
      </c>
      <c r="G13" s="37">
        <f t="shared" si="1"/>
        <v>0</v>
      </c>
      <c r="H13" s="37">
        <f t="shared" si="1"/>
        <v>0</v>
      </c>
      <c r="I13" s="37">
        <f t="shared" si="1"/>
        <v>0</v>
      </c>
      <c r="J13" s="37">
        <f t="shared" si="1"/>
        <v>0</v>
      </c>
      <c r="K13" s="37">
        <f t="shared" si="1"/>
        <v>0</v>
      </c>
      <c r="L13" s="37">
        <f t="shared" si="1"/>
        <v>0</v>
      </c>
      <c r="M13" s="37">
        <f t="shared" si="1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>D13-SUM(F13:P13)</f>
        <v>0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32000</v>
      </c>
      <c r="E15" s="37" t="s">
        <v>193</v>
      </c>
      <c r="F15" s="37">
        <f>ROUND($D15/2,-3)</f>
        <v>16000</v>
      </c>
      <c r="G15" s="37"/>
      <c r="H15" s="37"/>
      <c r="I15" s="37"/>
      <c r="J15" s="37"/>
      <c r="K15" s="37"/>
      <c r="L15" s="37">
        <f>D15-F15</f>
        <v>16000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3000</v>
      </c>
      <c r="E24" s="37" t="s">
        <v>193</v>
      </c>
      <c r="F24" s="37">
        <f>ROUND($D24/2,-3)</f>
        <v>2000</v>
      </c>
      <c r="G24" s="37"/>
      <c r="H24" s="37"/>
      <c r="I24" s="37"/>
      <c r="J24" s="37"/>
      <c r="K24" s="37"/>
      <c r="L24" s="37">
        <f>D24-F24</f>
        <v>1000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493000</v>
      </c>
      <c r="E25" s="108"/>
      <c r="F25" s="108">
        <f>ROUND(SUM(F3:F24),-3)</f>
        <v>56000</v>
      </c>
      <c r="G25" s="108">
        <f t="shared" ref="G25:P25" si="5">ROUND(SUM(G3:G24),-3)</f>
        <v>38000</v>
      </c>
      <c r="H25" s="108">
        <f t="shared" si="5"/>
        <v>38000</v>
      </c>
      <c r="I25" s="108">
        <f t="shared" si="5"/>
        <v>38000</v>
      </c>
      <c r="J25" s="108">
        <f t="shared" si="5"/>
        <v>38000</v>
      </c>
      <c r="K25" s="108">
        <f t="shared" si="5"/>
        <v>38000</v>
      </c>
      <c r="L25" s="108">
        <f t="shared" si="5"/>
        <v>55000</v>
      </c>
      <c r="M25" s="108">
        <f t="shared" si="5"/>
        <v>38000</v>
      </c>
      <c r="N25" s="108">
        <f t="shared" si="5"/>
        <v>38000</v>
      </c>
      <c r="O25" s="108">
        <f t="shared" si="5"/>
        <v>38000</v>
      </c>
      <c r="P25" s="108">
        <f t="shared" si="5"/>
        <v>38000</v>
      </c>
      <c r="Q25" s="108">
        <f t="shared" ref="Q25:Q33" si="6">D25-SUM(F25:P25)</f>
        <v>40000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20000</v>
      </c>
      <c r="E29" s="37" t="s">
        <v>525</v>
      </c>
      <c r="F29" s="37">
        <f t="shared" si="8"/>
        <v>1667</v>
      </c>
      <c r="G29" s="37">
        <f t="shared" si="8"/>
        <v>1667</v>
      </c>
      <c r="H29" s="37">
        <f t="shared" si="8"/>
        <v>1667</v>
      </c>
      <c r="I29" s="37">
        <f t="shared" si="8"/>
        <v>1667</v>
      </c>
      <c r="J29" s="37">
        <f t="shared" si="8"/>
        <v>1667</v>
      </c>
      <c r="K29" s="37">
        <f t="shared" si="8"/>
        <v>1667</v>
      </c>
      <c r="L29" s="37">
        <f t="shared" si="8"/>
        <v>1667</v>
      </c>
      <c r="M29" s="37">
        <f t="shared" si="8"/>
        <v>1667</v>
      </c>
      <c r="N29" s="37">
        <f t="shared" si="8"/>
        <v>1667</v>
      </c>
      <c r="O29" s="37">
        <f t="shared" si="8"/>
        <v>1667</v>
      </c>
      <c r="P29" s="37">
        <f t="shared" si="8"/>
        <v>1667</v>
      </c>
      <c r="Q29" s="37">
        <f t="shared" si="6"/>
        <v>1663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12000</v>
      </c>
      <c r="E30" s="37" t="s">
        <v>525</v>
      </c>
      <c r="F30" s="37">
        <f t="shared" si="8"/>
        <v>1000</v>
      </c>
      <c r="G30" s="37">
        <f t="shared" si="8"/>
        <v>1000</v>
      </c>
      <c r="H30" s="37">
        <f t="shared" si="8"/>
        <v>1000</v>
      </c>
      <c r="I30" s="37">
        <f t="shared" si="8"/>
        <v>1000</v>
      </c>
      <c r="J30" s="37">
        <f t="shared" si="8"/>
        <v>1000</v>
      </c>
      <c r="K30" s="37">
        <f t="shared" si="8"/>
        <v>1000</v>
      </c>
      <c r="L30" s="37">
        <f t="shared" si="8"/>
        <v>1000</v>
      </c>
      <c r="M30" s="37">
        <f t="shared" si="8"/>
        <v>1000</v>
      </c>
      <c r="N30" s="37">
        <f t="shared" si="8"/>
        <v>1000</v>
      </c>
      <c r="O30" s="37">
        <f t="shared" si="8"/>
        <v>1000</v>
      </c>
      <c r="P30" s="37">
        <f t="shared" si="8"/>
        <v>1000</v>
      </c>
      <c r="Q30" s="37">
        <f t="shared" si="6"/>
        <v>1000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6000</v>
      </c>
      <c r="E31" s="37" t="s">
        <v>525</v>
      </c>
      <c r="F31" s="37">
        <f t="shared" si="8"/>
        <v>500</v>
      </c>
      <c r="G31" s="37">
        <f t="shared" si="8"/>
        <v>500</v>
      </c>
      <c r="H31" s="37">
        <f t="shared" si="8"/>
        <v>500</v>
      </c>
      <c r="I31" s="37">
        <f t="shared" si="8"/>
        <v>500</v>
      </c>
      <c r="J31" s="37">
        <f t="shared" si="8"/>
        <v>500</v>
      </c>
      <c r="K31" s="37">
        <f t="shared" si="8"/>
        <v>500</v>
      </c>
      <c r="L31" s="37">
        <f t="shared" si="8"/>
        <v>500</v>
      </c>
      <c r="M31" s="37">
        <f t="shared" si="8"/>
        <v>500</v>
      </c>
      <c r="N31" s="37">
        <f t="shared" si="8"/>
        <v>500</v>
      </c>
      <c r="O31" s="37">
        <f t="shared" si="8"/>
        <v>500</v>
      </c>
      <c r="P31" s="37">
        <f t="shared" si="8"/>
        <v>500</v>
      </c>
      <c r="Q31" s="37">
        <f t="shared" si="6"/>
        <v>500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285000</v>
      </c>
      <c r="E37" s="108"/>
      <c r="F37" s="108">
        <f t="shared" ref="F37:P37" si="9">ROUND(SUM(F26:F36),-3)</f>
        <v>24000</v>
      </c>
      <c r="G37" s="108">
        <f t="shared" si="9"/>
        <v>24000</v>
      </c>
      <c r="H37" s="108">
        <f t="shared" si="9"/>
        <v>24000</v>
      </c>
      <c r="I37" s="108">
        <f t="shared" si="9"/>
        <v>24000</v>
      </c>
      <c r="J37" s="108">
        <f t="shared" si="9"/>
        <v>24000</v>
      </c>
      <c r="K37" s="108">
        <f t="shared" si="9"/>
        <v>24000</v>
      </c>
      <c r="L37" s="108">
        <f t="shared" si="9"/>
        <v>24000</v>
      </c>
      <c r="M37" s="108">
        <f t="shared" si="9"/>
        <v>24000</v>
      </c>
      <c r="N37" s="108">
        <f t="shared" si="9"/>
        <v>24000</v>
      </c>
      <c r="O37" s="108">
        <f t="shared" si="9"/>
        <v>24000</v>
      </c>
      <c r="P37" s="108">
        <f t="shared" si="9"/>
        <v>24000</v>
      </c>
      <c r="Q37" s="108">
        <f>D37-SUM(F37:P37)</f>
        <v>21000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784000</v>
      </c>
      <c r="E48" s="37"/>
      <c r="F48" s="115">
        <f>F25+F37+F45+F47</f>
        <v>82000</v>
      </c>
      <c r="G48" s="115">
        <f t="shared" ref="G48:R48" si="14">G25+G37+G45+G47</f>
        <v>62000</v>
      </c>
      <c r="H48" s="115">
        <f t="shared" si="14"/>
        <v>62000</v>
      </c>
      <c r="I48" s="115">
        <f t="shared" si="14"/>
        <v>62000</v>
      </c>
      <c r="J48" s="115">
        <f t="shared" si="14"/>
        <v>62000</v>
      </c>
      <c r="K48" s="115">
        <f t="shared" si="14"/>
        <v>64000</v>
      </c>
      <c r="L48" s="115">
        <f t="shared" si="14"/>
        <v>79000</v>
      </c>
      <c r="M48" s="115">
        <f t="shared" si="14"/>
        <v>62000</v>
      </c>
      <c r="N48" s="115">
        <f t="shared" si="14"/>
        <v>64000</v>
      </c>
      <c r="O48" s="115">
        <f t="shared" si="14"/>
        <v>62000</v>
      </c>
      <c r="P48" s="115">
        <f t="shared" si="14"/>
        <v>62000</v>
      </c>
      <c r="Q48" s="115">
        <f t="shared" si="14"/>
        <v>61000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9754000</v>
      </c>
      <c r="E49" s="114" t="s">
        <v>202</v>
      </c>
      <c r="F49" s="37">
        <f>ROUND($D49/12*3,-3)</f>
        <v>2439000</v>
      </c>
      <c r="G49" s="37">
        <f>ROUND($D49/12,-3)</f>
        <v>813000</v>
      </c>
      <c r="H49" s="37">
        <f t="shared" ref="H49:N53" si="15">ROUND($D49/12,-3)</f>
        <v>813000</v>
      </c>
      <c r="I49" s="37">
        <f t="shared" si="15"/>
        <v>813000</v>
      </c>
      <c r="J49" s="37">
        <f t="shared" si="15"/>
        <v>813000</v>
      </c>
      <c r="K49" s="37">
        <f t="shared" si="15"/>
        <v>813000</v>
      </c>
      <c r="L49" s="37">
        <f t="shared" si="15"/>
        <v>813000</v>
      </c>
      <c r="M49" s="37">
        <f t="shared" si="15"/>
        <v>813000</v>
      </c>
      <c r="N49" s="37">
        <f t="shared" si="15"/>
        <v>813000</v>
      </c>
      <c r="O49" s="37">
        <f>D49-SUM(F49:N49)</f>
        <v>811000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1349000</v>
      </c>
      <c r="E51" s="114" t="s">
        <v>202</v>
      </c>
      <c r="F51" s="37">
        <f t="shared" si="16"/>
        <v>337000</v>
      </c>
      <c r="G51" s="37">
        <f t="shared" si="17"/>
        <v>112000</v>
      </c>
      <c r="H51" s="37">
        <f t="shared" si="15"/>
        <v>112000</v>
      </c>
      <c r="I51" s="37">
        <f t="shared" si="15"/>
        <v>112000</v>
      </c>
      <c r="J51" s="37">
        <f t="shared" si="15"/>
        <v>112000</v>
      </c>
      <c r="K51" s="37">
        <f t="shared" si="15"/>
        <v>112000</v>
      </c>
      <c r="L51" s="37">
        <f t="shared" si="15"/>
        <v>112000</v>
      </c>
      <c r="M51" s="37">
        <f t="shared" si="15"/>
        <v>112000</v>
      </c>
      <c r="N51" s="37">
        <f t="shared" si="15"/>
        <v>112000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0</v>
      </c>
      <c r="E59" s="37" t="s">
        <v>525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162000</v>
      </c>
      <c r="E60" s="37" t="s">
        <v>195</v>
      </c>
      <c r="F60" s="37">
        <f>D60</f>
        <v>162000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351000</v>
      </c>
      <c r="E62" s="37" t="s">
        <v>197</v>
      </c>
      <c r="F62" s="37"/>
      <c r="G62" s="37"/>
      <c r="H62" s="37"/>
      <c r="I62" s="37">
        <f>ROUND($D62/5,-3)</f>
        <v>70000</v>
      </c>
      <c r="J62" s="37"/>
      <c r="K62" s="37"/>
      <c r="L62" s="37"/>
      <c r="M62" s="37"/>
      <c r="N62" s="37">
        <f>D62-I62</f>
        <v>281000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1223000</v>
      </c>
      <c r="E63" s="37" t="s">
        <v>195</v>
      </c>
      <c r="F63" s="37">
        <f>D63</f>
        <v>1223000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815000</v>
      </c>
      <c r="E64" s="114" t="s">
        <v>202</v>
      </c>
      <c r="F64" s="37">
        <f>ROUND($D64/12*3,-3)</f>
        <v>204000</v>
      </c>
      <c r="G64" s="37">
        <f>ROUND($D64/12,-3)</f>
        <v>68000</v>
      </c>
      <c r="H64" s="37">
        <f t="shared" ref="H64:N66" si="21">ROUND($D64/12,-3)</f>
        <v>68000</v>
      </c>
      <c r="I64" s="37">
        <f t="shared" si="21"/>
        <v>68000</v>
      </c>
      <c r="J64" s="37">
        <f t="shared" si="21"/>
        <v>68000</v>
      </c>
      <c r="K64" s="37">
        <f t="shared" si="21"/>
        <v>68000</v>
      </c>
      <c r="L64" s="37">
        <f t="shared" si="21"/>
        <v>68000</v>
      </c>
      <c r="M64" s="37">
        <f t="shared" si="21"/>
        <v>68000</v>
      </c>
      <c r="N64" s="37">
        <f t="shared" si="21"/>
        <v>68000</v>
      </c>
      <c r="O64" s="37">
        <f>D64-SUM(F64:N64)</f>
        <v>67000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96000</v>
      </c>
      <c r="E65" s="114" t="s">
        <v>202</v>
      </c>
      <c r="F65" s="37">
        <f t="shared" ref="F65:F66" si="22">ROUND($D65/12*3,-3)</f>
        <v>24000</v>
      </c>
      <c r="G65" s="37">
        <f t="shared" ref="G65:G66" si="23">ROUND($D65/12,-3)</f>
        <v>8000</v>
      </c>
      <c r="H65" s="37">
        <f t="shared" si="21"/>
        <v>8000</v>
      </c>
      <c r="I65" s="37">
        <f t="shared" si="21"/>
        <v>8000</v>
      </c>
      <c r="J65" s="37">
        <f t="shared" si="21"/>
        <v>8000</v>
      </c>
      <c r="K65" s="37">
        <f t="shared" si="21"/>
        <v>8000</v>
      </c>
      <c r="L65" s="37">
        <f t="shared" si="21"/>
        <v>8000</v>
      </c>
      <c r="M65" s="37">
        <f t="shared" si="21"/>
        <v>8000</v>
      </c>
      <c r="N65" s="37">
        <f t="shared" si="21"/>
        <v>8000</v>
      </c>
      <c r="O65" s="37">
        <f t="shared" ref="O65:O66" si="24">D65-SUM(F65:N65)</f>
        <v>8000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1098000</v>
      </c>
      <c r="E66" s="114" t="s">
        <v>202</v>
      </c>
      <c r="F66" s="37">
        <f t="shared" si="22"/>
        <v>275000</v>
      </c>
      <c r="G66" s="37">
        <f t="shared" si="23"/>
        <v>92000</v>
      </c>
      <c r="H66" s="37">
        <f t="shared" si="21"/>
        <v>92000</v>
      </c>
      <c r="I66" s="37">
        <f t="shared" si="21"/>
        <v>92000</v>
      </c>
      <c r="J66" s="37">
        <f t="shared" si="21"/>
        <v>92000</v>
      </c>
      <c r="K66" s="37">
        <f t="shared" si="21"/>
        <v>92000</v>
      </c>
      <c r="L66" s="37">
        <f t="shared" si="21"/>
        <v>92000</v>
      </c>
      <c r="M66" s="37">
        <f t="shared" si="21"/>
        <v>92000</v>
      </c>
      <c r="N66" s="37">
        <f t="shared" si="21"/>
        <v>92000</v>
      </c>
      <c r="O66" s="37">
        <f t="shared" si="24"/>
        <v>87000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14000</v>
      </c>
      <c r="E67" s="37" t="s">
        <v>196</v>
      </c>
      <c r="F67" s="37"/>
      <c r="G67" s="37"/>
      <c r="H67" s="37">
        <f>D67</f>
        <v>14000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107000</v>
      </c>
      <c r="E68" s="37" t="s">
        <v>195</v>
      </c>
      <c r="F68" s="37">
        <f>D68</f>
        <v>107000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15265000</v>
      </c>
      <c r="E70" s="108"/>
      <c r="F70" s="108">
        <f t="shared" ref="F70:P70" si="25">ROUND(SUM(F49:F69),-3)</f>
        <v>4840000</v>
      </c>
      <c r="G70" s="108">
        <f t="shared" si="25"/>
        <v>1118000</v>
      </c>
      <c r="H70" s="108">
        <f t="shared" si="25"/>
        <v>1132000</v>
      </c>
      <c r="I70" s="108">
        <f t="shared" si="25"/>
        <v>1188000</v>
      </c>
      <c r="J70" s="108">
        <f t="shared" si="25"/>
        <v>1118000</v>
      </c>
      <c r="K70" s="108">
        <f t="shared" si="25"/>
        <v>1118000</v>
      </c>
      <c r="L70" s="108">
        <f t="shared" si="25"/>
        <v>1118000</v>
      </c>
      <c r="M70" s="108">
        <f t="shared" si="25"/>
        <v>1118000</v>
      </c>
      <c r="N70" s="108">
        <f t="shared" si="25"/>
        <v>1399000</v>
      </c>
      <c r="O70" s="108">
        <f t="shared" si="25"/>
        <v>1115000</v>
      </c>
      <c r="P70" s="108">
        <f t="shared" si="25"/>
        <v>3000</v>
      </c>
      <c r="Q70" s="108">
        <f>D70-SUM(F70:P70)</f>
        <v>-2000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1897000</v>
      </c>
      <c r="E72" s="114" t="s">
        <v>202</v>
      </c>
      <c r="F72" s="37">
        <f>ROUND($D72/12*3,-3)</f>
        <v>474000</v>
      </c>
      <c r="G72" s="37">
        <f>ROUND($D72/12,-3)</f>
        <v>158000</v>
      </c>
      <c r="H72" s="37">
        <f t="shared" ref="H72:N75" si="26">ROUND($D72/12,-3)</f>
        <v>158000</v>
      </c>
      <c r="I72" s="37">
        <f t="shared" si="26"/>
        <v>158000</v>
      </c>
      <c r="J72" s="37">
        <f t="shared" si="26"/>
        <v>158000</v>
      </c>
      <c r="K72" s="37">
        <f t="shared" si="26"/>
        <v>158000</v>
      </c>
      <c r="L72" s="37">
        <f t="shared" si="26"/>
        <v>158000</v>
      </c>
      <c r="M72" s="37">
        <f t="shared" si="26"/>
        <v>158000</v>
      </c>
      <c r="N72" s="37">
        <f t="shared" si="26"/>
        <v>158000</v>
      </c>
      <c r="O72" s="37">
        <f>D72-SUM(F72:N72)</f>
        <v>159000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1897000</v>
      </c>
      <c r="E76" s="108"/>
      <c r="F76" s="108">
        <f>ROUND(SUM(F71:F75),-3)</f>
        <v>474000</v>
      </c>
      <c r="G76" s="108">
        <f t="shared" ref="G76:N76" si="27">ROUND(SUM(G71:G75),-3)</f>
        <v>158000</v>
      </c>
      <c r="H76" s="108">
        <f t="shared" si="27"/>
        <v>158000</v>
      </c>
      <c r="I76" s="108">
        <f t="shared" si="27"/>
        <v>158000</v>
      </c>
      <c r="J76" s="108">
        <f t="shared" si="27"/>
        <v>158000</v>
      </c>
      <c r="K76" s="108">
        <f t="shared" si="27"/>
        <v>158000</v>
      </c>
      <c r="L76" s="108">
        <f t="shared" si="27"/>
        <v>158000</v>
      </c>
      <c r="M76" s="108">
        <f t="shared" si="27"/>
        <v>158000</v>
      </c>
      <c r="N76" s="108">
        <f t="shared" si="27"/>
        <v>158000</v>
      </c>
      <c r="O76" s="108">
        <f>D76-SUM(F76:N76)</f>
        <v>159000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3000</v>
      </c>
      <c r="E77" s="37" t="s">
        <v>681</v>
      </c>
      <c r="F77" s="224"/>
      <c r="G77" s="224"/>
      <c r="H77" s="224">
        <f>ROUND($D77/2,-3)</f>
        <v>2000</v>
      </c>
      <c r="I77" s="224"/>
      <c r="J77" s="224"/>
      <c r="K77" s="224"/>
      <c r="L77" s="224"/>
      <c r="M77" s="224"/>
      <c r="N77" s="224">
        <f>D77-H77</f>
        <v>1000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17165000</v>
      </c>
      <c r="E78" s="227"/>
      <c r="F78" s="227">
        <f>F76+F70+F77</f>
        <v>5314000</v>
      </c>
      <c r="G78" s="227">
        <f t="shared" ref="G78:Q78" si="29">G76+G70+G77</f>
        <v>1276000</v>
      </c>
      <c r="H78" s="227">
        <f t="shared" si="29"/>
        <v>1292000</v>
      </c>
      <c r="I78" s="227">
        <f t="shared" si="29"/>
        <v>1346000</v>
      </c>
      <c r="J78" s="227">
        <f t="shared" si="29"/>
        <v>1276000</v>
      </c>
      <c r="K78" s="227">
        <f t="shared" si="29"/>
        <v>1276000</v>
      </c>
      <c r="L78" s="227">
        <f t="shared" si="29"/>
        <v>1276000</v>
      </c>
      <c r="M78" s="227">
        <f t="shared" si="29"/>
        <v>1276000</v>
      </c>
      <c r="N78" s="227">
        <f t="shared" si="29"/>
        <v>1558000</v>
      </c>
      <c r="O78" s="227">
        <f t="shared" si="29"/>
        <v>1274000</v>
      </c>
      <c r="P78" s="227">
        <f t="shared" si="29"/>
        <v>3000</v>
      </c>
      <c r="Q78" s="227">
        <f t="shared" si="29"/>
        <v>-2000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17949000</v>
      </c>
      <c r="E87" s="37"/>
      <c r="F87" s="37">
        <f>F88+F89+F90+F91</f>
        <v>5396000</v>
      </c>
      <c r="G87" s="37">
        <f t="shared" ref="G87:Q87" si="32">G88+G89+G90+G91</f>
        <v>1338000</v>
      </c>
      <c r="H87" s="37">
        <f t="shared" si="32"/>
        <v>1354000</v>
      </c>
      <c r="I87" s="37">
        <f t="shared" si="32"/>
        <v>1408000</v>
      </c>
      <c r="J87" s="37">
        <f t="shared" si="32"/>
        <v>1338000</v>
      </c>
      <c r="K87" s="37">
        <f t="shared" si="32"/>
        <v>1340000</v>
      </c>
      <c r="L87" s="37">
        <f t="shared" si="32"/>
        <v>1355000</v>
      </c>
      <c r="M87" s="37">
        <f t="shared" si="32"/>
        <v>1338000</v>
      </c>
      <c r="N87" s="37">
        <f t="shared" si="32"/>
        <v>1622000</v>
      </c>
      <c r="O87" s="37">
        <f t="shared" si="32"/>
        <v>1336000</v>
      </c>
      <c r="P87" s="37">
        <f t="shared" si="32"/>
        <v>65000</v>
      </c>
      <c r="Q87" s="37">
        <f t="shared" si="32"/>
        <v>59000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3000</v>
      </c>
      <c r="E88" s="108" t="s">
        <v>193</v>
      </c>
      <c r="F88" s="108">
        <f>ROUND($D88/2,-3)</f>
        <v>2000</v>
      </c>
      <c r="G88" s="108"/>
      <c r="H88" s="108"/>
      <c r="I88" s="108"/>
      <c r="J88" s="108"/>
      <c r="K88" s="108"/>
      <c r="L88" s="108">
        <f>D88-F88</f>
        <v>1000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17946000</v>
      </c>
      <c r="E91" s="108"/>
      <c r="F91" s="108">
        <f>F92+F93+F94+F95</f>
        <v>5394000</v>
      </c>
      <c r="G91" s="108">
        <f t="shared" ref="G91:Q91" si="34">G92+G93+G94+G95</f>
        <v>1338000</v>
      </c>
      <c r="H91" s="108">
        <f t="shared" si="34"/>
        <v>1354000</v>
      </c>
      <c r="I91" s="108">
        <f t="shared" si="34"/>
        <v>1408000</v>
      </c>
      <c r="J91" s="108">
        <f t="shared" si="34"/>
        <v>1338000</v>
      </c>
      <c r="K91" s="108">
        <f t="shared" si="34"/>
        <v>1340000</v>
      </c>
      <c r="L91" s="108">
        <f t="shared" si="34"/>
        <v>1354000</v>
      </c>
      <c r="M91" s="108">
        <f t="shared" si="34"/>
        <v>1338000</v>
      </c>
      <c r="N91" s="108">
        <f t="shared" si="34"/>
        <v>1622000</v>
      </c>
      <c r="O91" s="108">
        <f t="shared" si="34"/>
        <v>1336000</v>
      </c>
      <c r="P91" s="108">
        <f t="shared" si="34"/>
        <v>65000</v>
      </c>
      <c r="Q91" s="108">
        <f t="shared" si="34"/>
        <v>59000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4425000</v>
      </c>
      <c r="E92" s="114" t="s">
        <v>537</v>
      </c>
      <c r="F92" s="37">
        <f>ROUND($D92/12*5,-3)</f>
        <v>1844000</v>
      </c>
      <c r="G92" s="37">
        <f>ROUND($D92/12,-3)</f>
        <v>369000</v>
      </c>
      <c r="H92" s="37">
        <f t="shared" ref="H92:L92" si="35">ROUND($D92/12,-3)</f>
        <v>369000</v>
      </c>
      <c r="I92" s="37">
        <f t="shared" si="35"/>
        <v>369000</v>
      </c>
      <c r="J92" s="37">
        <f t="shared" si="35"/>
        <v>369000</v>
      </c>
      <c r="K92" s="37">
        <f t="shared" si="35"/>
        <v>369000</v>
      </c>
      <c r="L92" s="37">
        <f t="shared" si="35"/>
        <v>369000</v>
      </c>
      <c r="M92" s="37">
        <f>D92-SUM(F92:L92)</f>
        <v>367000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13431000</v>
      </c>
      <c r="E95" s="37"/>
      <c r="F95" s="37">
        <f>F2+F86-F88-F89-F90-F92-F93-F94</f>
        <v>3542000</v>
      </c>
      <c r="G95" s="37">
        <f t="shared" ref="G95:Q95" si="37">G2-G88-G89-G90-G92-G93-G94</f>
        <v>961000</v>
      </c>
      <c r="H95" s="37">
        <f t="shared" si="37"/>
        <v>977000</v>
      </c>
      <c r="I95" s="37">
        <f t="shared" si="37"/>
        <v>1031000</v>
      </c>
      <c r="J95" s="37">
        <f t="shared" si="37"/>
        <v>961000</v>
      </c>
      <c r="K95" s="37">
        <f t="shared" si="37"/>
        <v>963000</v>
      </c>
      <c r="L95" s="37">
        <f t="shared" si="37"/>
        <v>977000</v>
      </c>
      <c r="M95" s="37">
        <f t="shared" si="37"/>
        <v>963000</v>
      </c>
      <c r="N95" s="37">
        <f t="shared" si="37"/>
        <v>1614000</v>
      </c>
      <c r="O95" s="37">
        <f t="shared" si="37"/>
        <v>1328000</v>
      </c>
      <c r="P95" s="37">
        <f t="shared" si="37"/>
        <v>57000</v>
      </c>
      <c r="Q95" s="37">
        <f t="shared" si="37"/>
        <v>57000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1460000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1300000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13431000</v>
      </c>
    </row>
    <row r="108" spans="2:17" ht="16.5" customHeight="1"/>
    <row r="109" spans="2:17" ht="16.5" customHeight="1">
      <c r="B109" s="4" t="s">
        <v>682</v>
      </c>
      <c r="D109" s="30">
        <f>D91-D76</f>
        <v>16049000</v>
      </c>
      <c r="F109" s="30">
        <f>F91-F76</f>
        <v>4920000</v>
      </c>
      <c r="G109" s="30">
        <f t="shared" ref="G109:Q109" si="38">G91-G76</f>
        <v>1180000</v>
      </c>
      <c r="H109" s="30">
        <f t="shared" si="38"/>
        <v>1196000</v>
      </c>
      <c r="I109" s="30">
        <f t="shared" si="38"/>
        <v>1250000</v>
      </c>
      <c r="J109" s="30">
        <f t="shared" si="38"/>
        <v>1180000</v>
      </c>
      <c r="K109" s="30">
        <f t="shared" si="38"/>
        <v>1182000</v>
      </c>
      <c r="L109" s="30">
        <f t="shared" si="38"/>
        <v>1196000</v>
      </c>
      <c r="M109" s="30">
        <f t="shared" si="38"/>
        <v>1180000</v>
      </c>
      <c r="N109" s="30">
        <f t="shared" si="38"/>
        <v>1464000</v>
      </c>
      <c r="O109" s="30">
        <f t="shared" si="38"/>
        <v>1177000</v>
      </c>
      <c r="P109" s="30">
        <f t="shared" si="38"/>
        <v>65000</v>
      </c>
      <c r="Q109" s="30">
        <f t="shared" si="38"/>
        <v>59000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90" priority="1" operator="lessThan">
      <formula>0</formula>
    </cfRule>
  </conditionalFormatting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zoomScale="55" zoomScaleNormal="55"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663</v>
      </c>
      <c r="D1" s="28" t="str">
        <f>VLOOKUP(C1,[1]學校編號!A:B,2,FALSE)</f>
        <v>663春日國小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20160000</v>
      </c>
      <c r="E2" s="37"/>
      <c r="F2" s="37">
        <f>F48+F70+F76+F77+F83</f>
        <v>6086000</v>
      </c>
      <c r="G2" s="37">
        <f t="shared" ref="G2:Q2" si="0">G48+G70+G76+G77+G83</f>
        <v>1444000</v>
      </c>
      <c r="H2" s="37">
        <f t="shared" si="0"/>
        <v>1505000</v>
      </c>
      <c r="I2" s="37">
        <f t="shared" si="0"/>
        <v>1610000</v>
      </c>
      <c r="J2" s="37">
        <f t="shared" si="0"/>
        <v>1454000</v>
      </c>
      <c r="K2" s="37">
        <f t="shared" si="0"/>
        <v>1456000</v>
      </c>
      <c r="L2" s="37">
        <f t="shared" si="0"/>
        <v>1496000</v>
      </c>
      <c r="M2" s="37">
        <f t="shared" si="0"/>
        <v>1454000</v>
      </c>
      <c r="N2" s="37">
        <f t="shared" si="0"/>
        <v>2050000</v>
      </c>
      <c r="O2" s="37">
        <f t="shared" si="0"/>
        <v>1445000</v>
      </c>
      <c r="P2" s="37">
        <f t="shared" si="0"/>
        <v>87000</v>
      </c>
      <c r="Q2" s="37">
        <f t="shared" si="0"/>
        <v>73000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60000</v>
      </c>
      <c r="E10" s="37" t="s">
        <v>525</v>
      </c>
      <c r="F10" s="37">
        <f t="shared" si="1"/>
        <v>5000</v>
      </c>
      <c r="G10" s="37">
        <f t="shared" si="1"/>
        <v>5000</v>
      </c>
      <c r="H10" s="37">
        <f t="shared" si="1"/>
        <v>5000</v>
      </c>
      <c r="I10" s="37">
        <f t="shared" si="1"/>
        <v>5000</v>
      </c>
      <c r="J10" s="37">
        <f t="shared" si="1"/>
        <v>5000</v>
      </c>
      <c r="K10" s="37">
        <f t="shared" si="1"/>
        <v>5000</v>
      </c>
      <c r="L10" s="37">
        <f t="shared" si="1"/>
        <v>5000</v>
      </c>
      <c r="M10" s="37">
        <f t="shared" si="1"/>
        <v>5000</v>
      </c>
      <c r="N10" s="37">
        <f t="shared" si="1"/>
        <v>5000</v>
      </c>
      <c r="O10" s="37">
        <f t="shared" si="1"/>
        <v>5000</v>
      </c>
      <c r="P10" s="37">
        <f t="shared" si="1"/>
        <v>5000</v>
      </c>
      <c r="Q10" s="37">
        <f t="shared" si="2"/>
        <v>5000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37000</v>
      </c>
      <c r="E11" s="37" t="s">
        <v>195</v>
      </c>
      <c r="F11" s="37">
        <f>D11</f>
        <v>37000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726000</v>
      </c>
      <c r="E12" s="113" t="s">
        <v>202</v>
      </c>
      <c r="F12" s="37">
        <f>ROUND($D12/12*3,-3)</f>
        <v>182000</v>
      </c>
      <c r="G12" s="37">
        <f>ROUND($D12/12,-3)</f>
        <v>61000</v>
      </c>
      <c r="H12" s="37">
        <f t="shared" ref="H12:N12" si="4">ROUND($D12/12,-3)</f>
        <v>61000</v>
      </c>
      <c r="I12" s="37">
        <f t="shared" si="4"/>
        <v>61000</v>
      </c>
      <c r="J12" s="37">
        <f t="shared" si="4"/>
        <v>61000</v>
      </c>
      <c r="K12" s="37">
        <f t="shared" si="4"/>
        <v>61000</v>
      </c>
      <c r="L12" s="37">
        <f t="shared" si="4"/>
        <v>61000</v>
      </c>
      <c r="M12" s="37">
        <f t="shared" si="4"/>
        <v>61000</v>
      </c>
      <c r="N12" s="37">
        <f t="shared" si="4"/>
        <v>61000</v>
      </c>
      <c r="O12" s="37">
        <f>D12-SUM(F12:N12)</f>
        <v>56000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164000</v>
      </c>
      <c r="E13" s="37" t="s">
        <v>525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80000</v>
      </c>
      <c r="E14" s="37" t="s">
        <v>525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32000</v>
      </c>
      <c r="E15" s="37" t="s">
        <v>193</v>
      </c>
      <c r="F15" s="37">
        <f>ROUND($D15/2,-3)</f>
        <v>16000</v>
      </c>
      <c r="G15" s="37"/>
      <c r="H15" s="37"/>
      <c r="I15" s="37"/>
      <c r="J15" s="37"/>
      <c r="K15" s="37"/>
      <c r="L15" s="37">
        <f>D15-F15</f>
        <v>16000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0</v>
      </c>
      <c r="E16" s="37" t="s">
        <v>525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1401000</v>
      </c>
      <c r="E25" s="108"/>
      <c r="F25" s="108">
        <f>ROUND(SUM(F3:F24),-3)</f>
        <v>286000</v>
      </c>
      <c r="G25" s="108">
        <f t="shared" ref="G25:P25" si="5">ROUND(SUM(G3:G24),-3)</f>
        <v>112000</v>
      </c>
      <c r="H25" s="108">
        <f t="shared" si="5"/>
        <v>112000</v>
      </c>
      <c r="I25" s="108">
        <f t="shared" si="5"/>
        <v>112000</v>
      </c>
      <c r="J25" s="108">
        <f t="shared" si="5"/>
        <v>112000</v>
      </c>
      <c r="K25" s="108">
        <f t="shared" si="5"/>
        <v>112000</v>
      </c>
      <c r="L25" s="108">
        <f t="shared" si="5"/>
        <v>128000</v>
      </c>
      <c r="M25" s="108">
        <f t="shared" si="5"/>
        <v>112000</v>
      </c>
      <c r="N25" s="108">
        <f t="shared" si="5"/>
        <v>112000</v>
      </c>
      <c r="O25" s="108">
        <f t="shared" si="5"/>
        <v>107000</v>
      </c>
      <c r="P25" s="108">
        <f t="shared" si="5"/>
        <v>51000</v>
      </c>
      <c r="Q25" s="108">
        <f t="shared" ref="Q25:Q33" si="6">D25-SUM(F25:P25)</f>
        <v>45000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95000</v>
      </c>
      <c r="E26" s="114" t="s">
        <v>204</v>
      </c>
      <c r="F26" s="37">
        <f>ROUND($D26/10,-3)</f>
        <v>10000</v>
      </c>
      <c r="G26" s="37"/>
      <c r="H26" s="37">
        <f>ROUND($D26/10,-3)</f>
        <v>10000</v>
      </c>
      <c r="I26" s="37">
        <f>ROUND($D26/10,-3)</f>
        <v>10000</v>
      </c>
      <c r="J26" s="37">
        <f>ROUND($D26/10,-3)</f>
        <v>10000</v>
      </c>
      <c r="K26" s="37">
        <f>ROUND($D26/10,-3)</f>
        <v>10000</v>
      </c>
      <c r="L26" s="37"/>
      <c r="M26" s="37">
        <f>ROUND($D26/10,-3)</f>
        <v>10000</v>
      </c>
      <c r="N26" s="37">
        <f>ROUND($D26/10,-3)</f>
        <v>10000</v>
      </c>
      <c r="O26" s="37">
        <f>ROUND($D26/10,-3)</f>
        <v>10000</v>
      </c>
      <c r="P26" s="37">
        <f>ROUND($D26/10,-3)</f>
        <v>10000</v>
      </c>
      <c r="Q26" s="37">
        <f t="shared" si="6"/>
        <v>5000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8000</v>
      </c>
      <c r="E30" s="37" t="s">
        <v>525</v>
      </c>
      <c r="F30" s="37">
        <f t="shared" si="8"/>
        <v>667</v>
      </c>
      <c r="G30" s="37">
        <f t="shared" si="8"/>
        <v>667</v>
      </c>
      <c r="H30" s="37">
        <f t="shared" si="8"/>
        <v>667</v>
      </c>
      <c r="I30" s="37">
        <f t="shared" si="8"/>
        <v>667</v>
      </c>
      <c r="J30" s="37">
        <f t="shared" si="8"/>
        <v>667</v>
      </c>
      <c r="K30" s="37">
        <f t="shared" si="8"/>
        <v>667</v>
      </c>
      <c r="L30" s="37">
        <f t="shared" si="8"/>
        <v>667</v>
      </c>
      <c r="M30" s="37">
        <f t="shared" si="8"/>
        <v>667</v>
      </c>
      <c r="N30" s="37">
        <f t="shared" si="8"/>
        <v>667</v>
      </c>
      <c r="O30" s="37">
        <f t="shared" si="8"/>
        <v>667</v>
      </c>
      <c r="P30" s="37">
        <f t="shared" si="8"/>
        <v>667</v>
      </c>
      <c r="Q30" s="37">
        <f t="shared" si="6"/>
        <v>663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4000</v>
      </c>
      <c r="E31" s="37" t="s">
        <v>525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50000</v>
      </c>
      <c r="E36" s="37" t="s">
        <v>193</v>
      </c>
      <c r="F36" s="37">
        <f>ROUND($D36/2,-3)</f>
        <v>25000</v>
      </c>
      <c r="G36" s="37"/>
      <c r="H36" s="37"/>
      <c r="I36" s="37"/>
      <c r="J36" s="37"/>
      <c r="K36" s="37"/>
      <c r="L36" s="37">
        <f>D36-F36</f>
        <v>25000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423000</v>
      </c>
      <c r="E37" s="108"/>
      <c r="F37" s="108">
        <f t="shared" ref="F37:P37" si="9">ROUND(SUM(F26:F36),-3)</f>
        <v>58000</v>
      </c>
      <c r="G37" s="108">
        <f t="shared" si="9"/>
        <v>23000</v>
      </c>
      <c r="H37" s="108">
        <f t="shared" si="9"/>
        <v>33000</v>
      </c>
      <c r="I37" s="108">
        <f t="shared" si="9"/>
        <v>33000</v>
      </c>
      <c r="J37" s="108">
        <f t="shared" si="9"/>
        <v>33000</v>
      </c>
      <c r="K37" s="108">
        <f t="shared" si="9"/>
        <v>33000</v>
      </c>
      <c r="L37" s="108">
        <f t="shared" si="9"/>
        <v>48000</v>
      </c>
      <c r="M37" s="108">
        <f t="shared" si="9"/>
        <v>33000</v>
      </c>
      <c r="N37" s="108">
        <f t="shared" si="9"/>
        <v>33000</v>
      </c>
      <c r="O37" s="108">
        <f t="shared" si="9"/>
        <v>33000</v>
      </c>
      <c r="P37" s="108">
        <f t="shared" si="9"/>
        <v>33000</v>
      </c>
      <c r="Q37" s="108">
        <f>D37-SUM(F37:P37)</f>
        <v>30000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16000</v>
      </c>
      <c r="E42" s="37" t="s">
        <v>199</v>
      </c>
      <c r="F42" s="37"/>
      <c r="G42" s="37"/>
      <c r="H42" s="37"/>
      <c r="I42" s="37">
        <f>D42</f>
        <v>16000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2000</v>
      </c>
      <c r="E43" s="37" t="s">
        <v>195</v>
      </c>
      <c r="F43" s="37">
        <f>D43</f>
        <v>2000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11000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11000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29000</v>
      </c>
      <c r="E45" s="108"/>
      <c r="F45" s="108">
        <f t="shared" ref="F45:P45" si="12">ROUND(SUM(F42:F44),-3)</f>
        <v>2000</v>
      </c>
      <c r="G45" s="108">
        <f t="shared" si="12"/>
        <v>0</v>
      </c>
      <c r="H45" s="108">
        <f t="shared" si="12"/>
        <v>0</v>
      </c>
      <c r="I45" s="108">
        <f t="shared" si="12"/>
        <v>16000</v>
      </c>
      <c r="J45" s="108">
        <f t="shared" si="12"/>
        <v>0</v>
      </c>
      <c r="K45" s="108">
        <f t="shared" si="12"/>
        <v>0</v>
      </c>
      <c r="L45" s="108">
        <f t="shared" si="12"/>
        <v>11000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1859000</v>
      </c>
      <c r="E48" s="37"/>
      <c r="F48" s="115">
        <f>F25+F37+F45+F47</f>
        <v>348000</v>
      </c>
      <c r="G48" s="115">
        <f t="shared" ref="G48:R48" si="14">G25+G37+G45+G47</f>
        <v>135000</v>
      </c>
      <c r="H48" s="115">
        <f t="shared" si="14"/>
        <v>145000</v>
      </c>
      <c r="I48" s="115">
        <f t="shared" si="14"/>
        <v>161000</v>
      </c>
      <c r="J48" s="115">
        <f t="shared" si="14"/>
        <v>145000</v>
      </c>
      <c r="K48" s="115">
        <f t="shared" si="14"/>
        <v>147000</v>
      </c>
      <c r="L48" s="115">
        <f t="shared" si="14"/>
        <v>187000</v>
      </c>
      <c r="M48" s="115">
        <f t="shared" si="14"/>
        <v>145000</v>
      </c>
      <c r="N48" s="115">
        <f t="shared" si="14"/>
        <v>147000</v>
      </c>
      <c r="O48" s="115">
        <f t="shared" si="14"/>
        <v>140000</v>
      </c>
      <c r="P48" s="115">
        <f t="shared" si="14"/>
        <v>84000</v>
      </c>
      <c r="Q48" s="115">
        <f t="shared" si="14"/>
        <v>75000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10619000</v>
      </c>
      <c r="E49" s="114" t="s">
        <v>202</v>
      </c>
      <c r="F49" s="37">
        <f>ROUND($D49/12*3,-3)</f>
        <v>2655000</v>
      </c>
      <c r="G49" s="37">
        <f>ROUND($D49/12,-3)</f>
        <v>885000</v>
      </c>
      <c r="H49" s="37">
        <f t="shared" ref="H49:N53" si="15">ROUND($D49/12,-3)</f>
        <v>885000</v>
      </c>
      <c r="I49" s="37">
        <f t="shared" si="15"/>
        <v>885000</v>
      </c>
      <c r="J49" s="37">
        <f t="shared" si="15"/>
        <v>885000</v>
      </c>
      <c r="K49" s="37">
        <f t="shared" si="15"/>
        <v>885000</v>
      </c>
      <c r="L49" s="37">
        <f t="shared" si="15"/>
        <v>885000</v>
      </c>
      <c r="M49" s="37">
        <f t="shared" si="15"/>
        <v>885000</v>
      </c>
      <c r="N49" s="37">
        <f t="shared" si="15"/>
        <v>885000</v>
      </c>
      <c r="O49" s="37">
        <f>D49-SUM(F49:N49)</f>
        <v>884000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1413000</v>
      </c>
      <c r="E51" s="114" t="s">
        <v>202</v>
      </c>
      <c r="F51" s="37">
        <f t="shared" si="16"/>
        <v>353000</v>
      </c>
      <c r="G51" s="37">
        <f t="shared" si="17"/>
        <v>118000</v>
      </c>
      <c r="H51" s="37">
        <f t="shared" si="15"/>
        <v>118000</v>
      </c>
      <c r="I51" s="37">
        <f t="shared" si="15"/>
        <v>118000</v>
      </c>
      <c r="J51" s="37">
        <f t="shared" si="15"/>
        <v>118000</v>
      </c>
      <c r="K51" s="37">
        <f t="shared" si="15"/>
        <v>118000</v>
      </c>
      <c r="L51" s="37">
        <f t="shared" si="15"/>
        <v>118000</v>
      </c>
      <c r="M51" s="37">
        <f t="shared" si="15"/>
        <v>118000</v>
      </c>
      <c r="N51" s="37">
        <f t="shared" si="15"/>
        <v>118000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0</v>
      </c>
      <c r="E59" s="37" t="s">
        <v>525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315000</v>
      </c>
      <c r="E60" s="37" t="s">
        <v>195</v>
      </c>
      <c r="F60" s="37">
        <f>D60</f>
        <v>315000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698000</v>
      </c>
      <c r="E62" s="37" t="s">
        <v>197</v>
      </c>
      <c r="F62" s="37"/>
      <c r="G62" s="37"/>
      <c r="H62" s="37"/>
      <c r="I62" s="37">
        <f>ROUND($D62/5,-3)</f>
        <v>140000</v>
      </c>
      <c r="J62" s="37"/>
      <c r="K62" s="37"/>
      <c r="L62" s="37"/>
      <c r="M62" s="37"/>
      <c r="N62" s="37">
        <f>D62-I62</f>
        <v>558000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1324000</v>
      </c>
      <c r="E63" s="37" t="s">
        <v>195</v>
      </c>
      <c r="F63" s="37">
        <f>D63</f>
        <v>1324000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967000</v>
      </c>
      <c r="E64" s="114" t="s">
        <v>202</v>
      </c>
      <c r="F64" s="37">
        <f>ROUND($D64/12*3,-3)</f>
        <v>242000</v>
      </c>
      <c r="G64" s="37">
        <f>ROUND($D64/12,-3)</f>
        <v>81000</v>
      </c>
      <c r="H64" s="37">
        <f t="shared" ref="H64:N66" si="21">ROUND($D64/12,-3)</f>
        <v>81000</v>
      </c>
      <c r="I64" s="37">
        <f t="shared" si="21"/>
        <v>81000</v>
      </c>
      <c r="J64" s="37">
        <f t="shared" si="21"/>
        <v>81000</v>
      </c>
      <c r="K64" s="37">
        <f t="shared" si="21"/>
        <v>81000</v>
      </c>
      <c r="L64" s="37">
        <f t="shared" si="21"/>
        <v>81000</v>
      </c>
      <c r="M64" s="37">
        <f t="shared" si="21"/>
        <v>81000</v>
      </c>
      <c r="N64" s="37">
        <f t="shared" si="21"/>
        <v>81000</v>
      </c>
      <c r="O64" s="37">
        <f>D64-SUM(F64:N64)</f>
        <v>77000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167000</v>
      </c>
      <c r="E65" s="114" t="s">
        <v>202</v>
      </c>
      <c r="F65" s="37">
        <f t="shared" ref="F65:F66" si="22">ROUND($D65/12*3,-3)</f>
        <v>42000</v>
      </c>
      <c r="G65" s="37">
        <f t="shared" ref="G65:G66" si="23">ROUND($D65/12,-3)</f>
        <v>14000</v>
      </c>
      <c r="H65" s="37">
        <f t="shared" si="21"/>
        <v>14000</v>
      </c>
      <c r="I65" s="37">
        <f t="shared" si="21"/>
        <v>14000</v>
      </c>
      <c r="J65" s="37">
        <f t="shared" si="21"/>
        <v>14000</v>
      </c>
      <c r="K65" s="37">
        <f t="shared" si="21"/>
        <v>14000</v>
      </c>
      <c r="L65" s="37">
        <f t="shared" si="21"/>
        <v>14000</v>
      </c>
      <c r="M65" s="37">
        <f t="shared" si="21"/>
        <v>14000</v>
      </c>
      <c r="N65" s="37">
        <f t="shared" si="21"/>
        <v>14000</v>
      </c>
      <c r="O65" s="37">
        <f t="shared" ref="O65:O66" si="24">D65-SUM(F65:N65)</f>
        <v>13000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1025000</v>
      </c>
      <c r="E66" s="114" t="s">
        <v>202</v>
      </c>
      <c r="F66" s="37">
        <f t="shared" si="22"/>
        <v>256000</v>
      </c>
      <c r="G66" s="37">
        <f t="shared" si="23"/>
        <v>85000</v>
      </c>
      <c r="H66" s="37">
        <f t="shared" si="21"/>
        <v>85000</v>
      </c>
      <c r="I66" s="37">
        <f t="shared" si="21"/>
        <v>85000</v>
      </c>
      <c r="J66" s="37">
        <f t="shared" si="21"/>
        <v>85000</v>
      </c>
      <c r="K66" s="37">
        <f t="shared" si="21"/>
        <v>85000</v>
      </c>
      <c r="L66" s="37">
        <f t="shared" si="21"/>
        <v>85000</v>
      </c>
      <c r="M66" s="37">
        <f t="shared" si="21"/>
        <v>85000</v>
      </c>
      <c r="N66" s="37">
        <f t="shared" si="21"/>
        <v>85000</v>
      </c>
      <c r="O66" s="37">
        <f t="shared" si="24"/>
        <v>89000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14000</v>
      </c>
      <c r="E67" s="37" t="s">
        <v>196</v>
      </c>
      <c r="F67" s="37"/>
      <c r="G67" s="37"/>
      <c r="H67" s="37">
        <f>D67</f>
        <v>14000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115000</v>
      </c>
      <c r="E68" s="37" t="s">
        <v>195</v>
      </c>
      <c r="F68" s="37">
        <f>D68</f>
        <v>115000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16953000</v>
      </c>
      <c r="E70" s="108"/>
      <c r="F70" s="108">
        <f t="shared" ref="F70:P70" si="25">ROUND(SUM(F49:F69),-3)</f>
        <v>5371000</v>
      </c>
      <c r="G70" s="108">
        <f t="shared" si="25"/>
        <v>1208000</v>
      </c>
      <c r="H70" s="108">
        <f t="shared" si="25"/>
        <v>1222000</v>
      </c>
      <c r="I70" s="108">
        <f t="shared" si="25"/>
        <v>1348000</v>
      </c>
      <c r="J70" s="108">
        <f t="shared" si="25"/>
        <v>1208000</v>
      </c>
      <c r="K70" s="108">
        <f t="shared" si="25"/>
        <v>1208000</v>
      </c>
      <c r="L70" s="108">
        <f t="shared" si="25"/>
        <v>1208000</v>
      </c>
      <c r="M70" s="108">
        <f t="shared" si="25"/>
        <v>1208000</v>
      </c>
      <c r="N70" s="108">
        <f t="shared" si="25"/>
        <v>1766000</v>
      </c>
      <c r="O70" s="108">
        <f t="shared" si="25"/>
        <v>1205000</v>
      </c>
      <c r="P70" s="108">
        <f t="shared" si="25"/>
        <v>3000</v>
      </c>
      <c r="Q70" s="108">
        <f>D70-SUM(F70:P70)</f>
        <v>-2000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525000</v>
      </c>
      <c r="E72" s="114" t="s">
        <v>202</v>
      </c>
      <c r="F72" s="37">
        <f>ROUND($D72/12*3,-3)</f>
        <v>131000</v>
      </c>
      <c r="G72" s="37">
        <f>ROUND($D72/12,-3)</f>
        <v>44000</v>
      </c>
      <c r="H72" s="37">
        <f t="shared" ref="H72:N75" si="26">ROUND($D72/12,-3)</f>
        <v>44000</v>
      </c>
      <c r="I72" s="37">
        <f t="shared" si="26"/>
        <v>44000</v>
      </c>
      <c r="J72" s="37">
        <f t="shared" si="26"/>
        <v>44000</v>
      </c>
      <c r="K72" s="37">
        <f t="shared" si="26"/>
        <v>44000</v>
      </c>
      <c r="L72" s="37">
        <f t="shared" si="26"/>
        <v>44000</v>
      </c>
      <c r="M72" s="37">
        <f t="shared" si="26"/>
        <v>44000</v>
      </c>
      <c r="N72" s="37">
        <f t="shared" si="26"/>
        <v>44000</v>
      </c>
      <c r="O72" s="37">
        <f>D72-SUM(F72:N72)</f>
        <v>42000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104000</v>
      </c>
      <c r="E74" s="114" t="s">
        <v>202</v>
      </c>
      <c r="F74" s="37">
        <f>ROUND($D74/12*3,-3)</f>
        <v>26000</v>
      </c>
      <c r="G74" s="37">
        <f>ROUND($D74/12,-3)</f>
        <v>9000</v>
      </c>
      <c r="H74" s="37">
        <f t="shared" si="26"/>
        <v>9000</v>
      </c>
      <c r="I74" s="37">
        <f t="shared" si="26"/>
        <v>9000</v>
      </c>
      <c r="J74" s="37">
        <f t="shared" si="26"/>
        <v>9000</v>
      </c>
      <c r="K74" s="37">
        <f t="shared" si="26"/>
        <v>9000</v>
      </c>
      <c r="L74" s="37">
        <f t="shared" si="26"/>
        <v>9000</v>
      </c>
      <c r="M74" s="37">
        <f t="shared" si="26"/>
        <v>9000</v>
      </c>
      <c r="N74" s="37">
        <f t="shared" si="26"/>
        <v>9000</v>
      </c>
      <c r="O74" s="37">
        <f>D74-SUM(F74:N74)</f>
        <v>6000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581000</v>
      </c>
      <c r="E75" s="114" t="s">
        <v>202</v>
      </c>
      <c r="F75" s="37">
        <f>ROUND($D75/12*3,-3)</f>
        <v>145000</v>
      </c>
      <c r="G75" s="37">
        <f>ROUND($D75/12,-3)</f>
        <v>48000</v>
      </c>
      <c r="H75" s="37">
        <f t="shared" si="26"/>
        <v>48000</v>
      </c>
      <c r="I75" s="37">
        <f t="shared" si="26"/>
        <v>48000</v>
      </c>
      <c r="J75" s="37">
        <f t="shared" si="26"/>
        <v>48000</v>
      </c>
      <c r="K75" s="37">
        <f t="shared" si="26"/>
        <v>48000</v>
      </c>
      <c r="L75" s="37">
        <f t="shared" si="26"/>
        <v>48000</v>
      </c>
      <c r="M75" s="37">
        <f t="shared" si="26"/>
        <v>48000</v>
      </c>
      <c r="N75" s="37">
        <f t="shared" si="26"/>
        <v>48000</v>
      </c>
      <c r="O75" s="37">
        <f>D75-SUM(F75:N75)</f>
        <v>52000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1210000</v>
      </c>
      <c r="E76" s="108"/>
      <c r="F76" s="108">
        <f>ROUND(SUM(F71:F75),-3)</f>
        <v>302000</v>
      </c>
      <c r="G76" s="108">
        <f t="shared" ref="G76:N76" si="27">ROUND(SUM(G71:G75),-3)</f>
        <v>101000</v>
      </c>
      <c r="H76" s="108">
        <f t="shared" si="27"/>
        <v>101000</v>
      </c>
      <c r="I76" s="108">
        <f t="shared" si="27"/>
        <v>101000</v>
      </c>
      <c r="J76" s="108">
        <f t="shared" si="27"/>
        <v>101000</v>
      </c>
      <c r="K76" s="108">
        <f t="shared" si="27"/>
        <v>101000</v>
      </c>
      <c r="L76" s="108">
        <f t="shared" si="27"/>
        <v>101000</v>
      </c>
      <c r="M76" s="108">
        <f t="shared" si="27"/>
        <v>101000</v>
      </c>
      <c r="N76" s="108">
        <f t="shared" si="27"/>
        <v>101000</v>
      </c>
      <c r="O76" s="108">
        <f>D76-SUM(F76:N76)</f>
        <v>100000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73000</v>
      </c>
      <c r="E77" s="37" t="s">
        <v>681</v>
      </c>
      <c r="F77" s="224"/>
      <c r="G77" s="224"/>
      <c r="H77" s="224">
        <f>ROUND($D77/2,-3)</f>
        <v>37000</v>
      </c>
      <c r="I77" s="224"/>
      <c r="J77" s="224"/>
      <c r="K77" s="224"/>
      <c r="L77" s="224"/>
      <c r="M77" s="224"/>
      <c r="N77" s="224">
        <f>D77-H77</f>
        <v>36000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18236000</v>
      </c>
      <c r="E78" s="227"/>
      <c r="F78" s="227">
        <f>F76+F70+F77</f>
        <v>5673000</v>
      </c>
      <c r="G78" s="227">
        <f t="shared" ref="G78:Q78" si="29">G76+G70+G77</f>
        <v>1309000</v>
      </c>
      <c r="H78" s="227">
        <f t="shared" si="29"/>
        <v>1360000</v>
      </c>
      <c r="I78" s="227">
        <f t="shared" si="29"/>
        <v>1449000</v>
      </c>
      <c r="J78" s="227">
        <f t="shared" si="29"/>
        <v>1309000</v>
      </c>
      <c r="K78" s="227">
        <f t="shared" si="29"/>
        <v>1309000</v>
      </c>
      <c r="L78" s="227">
        <f t="shared" si="29"/>
        <v>1309000</v>
      </c>
      <c r="M78" s="227">
        <f t="shared" si="29"/>
        <v>1309000</v>
      </c>
      <c r="N78" s="227">
        <f t="shared" si="29"/>
        <v>1903000</v>
      </c>
      <c r="O78" s="227">
        <f t="shared" si="29"/>
        <v>1305000</v>
      </c>
      <c r="P78" s="227">
        <f t="shared" si="29"/>
        <v>3000</v>
      </c>
      <c r="Q78" s="227">
        <f t="shared" si="29"/>
        <v>-2000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65000</v>
      </c>
      <c r="E82" s="108" t="s">
        <v>195</v>
      </c>
      <c r="F82" s="108">
        <f t="shared" si="30"/>
        <v>65000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65000</v>
      </c>
      <c r="E83" s="116"/>
      <c r="F83" s="116">
        <f>SUM(F79:F82)</f>
        <v>65000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-115000</v>
      </c>
      <c r="E86" s="37"/>
      <c r="F86" s="37">
        <f>D86</f>
        <v>-115000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20045000</v>
      </c>
      <c r="E87" s="37"/>
      <c r="F87" s="37">
        <f>F88+F89+F90+F91</f>
        <v>5971000</v>
      </c>
      <c r="G87" s="37">
        <f t="shared" ref="G87:Q87" si="32">G88+G89+G90+G91</f>
        <v>1444000</v>
      </c>
      <c r="H87" s="37">
        <f t="shared" si="32"/>
        <v>1505000</v>
      </c>
      <c r="I87" s="37">
        <f t="shared" si="32"/>
        <v>1610000</v>
      </c>
      <c r="J87" s="37">
        <f t="shared" si="32"/>
        <v>1454000</v>
      </c>
      <c r="K87" s="37">
        <f t="shared" si="32"/>
        <v>1456000</v>
      </c>
      <c r="L87" s="37">
        <f t="shared" si="32"/>
        <v>1496000</v>
      </c>
      <c r="M87" s="37">
        <f t="shared" si="32"/>
        <v>1454000</v>
      </c>
      <c r="N87" s="37">
        <f t="shared" si="32"/>
        <v>2050000</v>
      </c>
      <c r="O87" s="37">
        <f t="shared" si="32"/>
        <v>1445000</v>
      </c>
      <c r="P87" s="37">
        <f t="shared" si="32"/>
        <v>87000</v>
      </c>
      <c r="Q87" s="37">
        <f t="shared" si="32"/>
        <v>73000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0</v>
      </c>
      <c r="E88" s="108" t="s">
        <v>193</v>
      </c>
      <c r="F88" s="108">
        <f>ROUND($D88/2,-3)</f>
        <v>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2000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1000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20043000</v>
      </c>
      <c r="E91" s="108"/>
      <c r="F91" s="108">
        <f>F92+F93+F94+F95</f>
        <v>5971000</v>
      </c>
      <c r="G91" s="108">
        <f t="shared" ref="G91:Q91" si="34">G92+G93+G94+G95</f>
        <v>1444000</v>
      </c>
      <c r="H91" s="108">
        <f t="shared" si="34"/>
        <v>1505000</v>
      </c>
      <c r="I91" s="108">
        <f t="shared" si="34"/>
        <v>1610000</v>
      </c>
      <c r="J91" s="108">
        <f t="shared" si="34"/>
        <v>1454000</v>
      </c>
      <c r="K91" s="108">
        <f t="shared" si="34"/>
        <v>1456000</v>
      </c>
      <c r="L91" s="108">
        <f t="shared" si="34"/>
        <v>1495000</v>
      </c>
      <c r="M91" s="108">
        <f t="shared" si="34"/>
        <v>1454000</v>
      </c>
      <c r="N91" s="108">
        <f t="shared" si="34"/>
        <v>2050000</v>
      </c>
      <c r="O91" s="108">
        <f t="shared" si="34"/>
        <v>1445000</v>
      </c>
      <c r="P91" s="108">
        <f t="shared" si="34"/>
        <v>87000</v>
      </c>
      <c r="Q91" s="108">
        <f t="shared" si="34"/>
        <v>72000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2965000</v>
      </c>
      <c r="E92" s="114" t="s">
        <v>537</v>
      </c>
      <c r="F92" s="37">
        <f>ROUND($D92/12*5,-3)</f>
        <v>1235000</v>
      </c>
      <c r="G92" s="37">
        <f>ROUND($D92/12,-3)</f>
        <v>247000</v>
      </c>
      <c r="H92" s="37">
        <f t="shared" ref="H92:L92" si="35">ROUND($D92/12,-3)</f>
        <v>247000</v>
      </c>
      <c r="I92" s="37">
        <f t="shared" si="35"/>
        <v>247000</v>
      </c>
      <c r="J92" s="37">
        <f t="shared" si="35"/>
        <v>247000</v>
      </c>
      <c r="K92" s="37">
        <f t="shared" si="35"/>
        <v>247000</v>
      </c>
      <c r="L92" s="37">
        <f t="shared" si="35"/>
        <v>247000</v>
      </c>
      <c r="M92" s="37">
        <f>D92-SUM(F92:L92)</f>
        <v>248000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420000</v>
      </c>
      <c r="E94" s="190" t="s">
        <v>229</v>
      </c>
      <c r="F94" s="37"/>
      <c r="G94" s="37"/>
      <c r="H94" s="37">
        <f>ROUND($D94/2,-3)</f>
        <v>210000</v>
      </c>
      <c r="I94" s="37"/>
      <c r="J94" s="37"/>
      <c r="K94" s="37"/>
      <c r="L94" s="37"/>
      <c r="M94" s="37"/>
      <c r="N94" s="37"/>
      <c r="O94" s="37">
        <f>D94-H94</f>
        <v>210000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16568000</v>
      </c>
      <c r="E95" s="37"/>
      <c r="F95" s="37">
        <f>F2+F86-F88-F89-F90-F92-F93-F94</f>
        <v>4728000</v>
      </c>
      <c r="G95" s="37">
        <f t="shared" ref="G95:Q95" si="37">G2-G88-G89-G90-G92-G93-G94</f>
        <v>1189000</v>
      </c>
      <c r="H95" s="37">
        <f t="shared" si="37"/>
        <v>1040000</v>
      </c>
      <c r="I95" s="37">
        <f t="shared" si="37"/>
        <v>1355000</v>
      </c>
      <c r="J95" s="37">
        <f t="shared" si="37"/>
        <v>1199000</v>
      </c>
      <c r="K95" s="37">
        <f t="shared" si="37"/>
        <v>1201000</v>
      </c>
      <c r="L95" s="37">
        <f t="shared" si="37"/>
        <v>1240000</v>
      </c>
      <c r="M95" s="37">
        <f t="shared" si="37"/>
        <v>1198000</v>
      </c>
      <c r="N95" s="37">
        <f t="shared" si="37"/>
        <v>2042000</v>
      </c>
      <c r="O95" s="37">
        <f t="shared" si="37"/>
        <v>1227000</v>
      </c>
      <c r="P95" s="37">
        <f t="shared" si="37"/>
        <v>79000</v>
      </c>
      <c r="Q95" s="37">
        <f t="shared" si="37"/>
        <v>70000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420000</v>
      </c>
    </row>
    <row r="105" spans="2:17" ht="32.4">
      <c r="B105" s="72" t="s">
        <v>380</v>
      </c>
      <c r="D105" s="30">
        <f>HLOOKUP(D1,[1]縣庫撥款收入明細表!H:DD,19,FALSE)</f>
        <v>1300000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16568000</v>
      </c>
    </row>
    <row r="108" spans="2:17" ht="16.5" customHeight="1"/>
    <row r="109" spans="2:17" ht="16.5" customHeight="1">
      <c r="B109" s="4" t="s">
        <v>682</v>
      </c>
      <c r="D109" s="30">
        <f>D91-D76</f>
        <v>18833000</v>
      </c>
      <c r="F109" s="30">
        <f>F91-F76</f>
        <v>5669000</v>
      </c>
      <c r="G109" s="30">
        <f t="shared" ref="G109:Q109" si="38">G91-G76</f>
        <v>1343000</v>
      </c>
      <c r="H109" s="30">
        <f t="shared" si="38"/>
        <v>1404000</v>
      </c>
      <c r="I109" s="30">
        <f t="shared" si="38"/>
        <v>1509000</v>
      </c>
      <c r="J109" s="30">
        <f t="shared" si="38"/>
        <v>1353000</v>
      </c>
      <c r="K109" s="30">
        <f t="shared" si="38"/>
        <v>1355000</v>
      </c>
      <c r="L109" s="30">
        <f t="shared" si="38"/>
        <v>1394000</v>
      </c>
      <c r="M109" s="30">
        <f t="shared" si="38"/>
        <v>1353000</v>
      </c>
      <c r="N109" s="30">
        <f t="shared" si="38"/>
        <v>1949000</v>
      </c>
      <c r="O109" s="30">
        <f t="shared" si="38"/>
        <v>1345000</v>
      </c>
      <c r="P109" s="30">
        <f t="shared" si="38"/>
        <v>87000</v>
      </c>
      <c r="Q109" s="30">
        <f t="shared" si="38"/>
        <v>72000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8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664</v>
      </c>
      <c r="D1" s="28" t="str">
        <f>VLOOKUP(C1,[1]學校編號!A:B,2,FALSE)</f>
        <v>664德武國小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15299000</v>
      </c>
      <c r="E2" s="37"/>
      <c r="F2" s="37">
        <f>F48+F70+F76+F77+F83</f>
        <v>4680000</v>
      </c>
      <c r="G2" s="37">
        <f t="shared" ref="G2:Q2" si="0">G48+G70+G76+G77+G83</f>
        <v>1076000</v>
      </c>
      <c r="H2" s="37">
        <f t="shared" si="0"/>
        <v>1104000</v>
      </c>
      <c r="I2" s="37">
        <f t="shared" si="0"/>
        <v>1227000</v>
      </c>
      <c r="J2" s="37">
        <f t="shared" si="0"/>
        <v>1076000</v>
      </c>
      <c r="K2" s="37">
        <f t="shared" si="0"/>
        <v>1076000</v>
      </c>
      <c r="L2" s="37">
        <f t="shared" si="0"/>
        <v>1090000</v>
      </c>
      <c r="M2" s="37">
        <f t="shared" si="0"/>
        <v>1076000</v>
      </c>
      <c r="N2" s="37">
        <f t="shared" si="0"/>
        <v>1697000</v>
      </c>
      <c r="O2" s="37">
        <f t="shared" si="0"/>
        <v>1072000</v>
      </c>
      <c r="P2" s="37">
        <f t="shared" si="0"/>
        <v>63000</v>
      </c>
      <c r="Q2" s="37">
        <f t="shared" si="0"/>
        <v>62000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120000</v>
      </c>
      <c r="E3" s="37" t="s">
        <v>525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51000</v>
      </c>
      <c r="E4" s="37" t="s">
        <v>525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63000</v>
      </c>
      <c r="E7" s="37" t="s">
        <v>525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164000</v>
      </c>
      <c r="E13" s="37" t="s">
        <v>525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28000</v>
      </c>
      <c r="E15" s="37" t="s">
        <v>193</v>
      </c>
      <c r="F15" s="37">
        <f>ROUND($D15/2,-3)</f>
        <v>14000</v>
      </c>
      <c r="G15" s="37"/>
      <c r="H15" s="37"/>
      <c r="I15" s="37"/>
      <c r="J15" s="37"/>
      <c r="K15" s="37"/>
      <c r="L15" s="37">
        <f>D15-F15</f>
        <v>14000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0</v>
      </c>
      <c r="E16" s="37" t="s">
        <v>525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42000</v>
      </c>
      <c r="E17" s="37" t="s">
        <v>525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468000</v>
      </c>
      <c r="E25" s="108"/>
      <c r="F25" s="108">
        <f>ROUND(SUM(F3:F24),-3)</f>
        <v>51000</v>
      </c>
      <c r="G25" s="108">
        <f t="shared" ref="G25:P25" si="5">ROUND(SUM(G3:G24),-3)</f>
        <v>37000</v>
      </c>
      <c r="H25" s="108">
        <f t="shared" si="5"/>
        <v>37000</v>
      </c>
      <c r="I25" s="108">
        <f t="shared" si="5"/>
        <v>37000</v>
      </c>
      <c r="J25" s="108">
        <f t="shared" si="5"/>
        <v>37000</v>
      </c>
      <c r="K25" s="108">
        <f t="shared" si="5"/>
        <v>37000</v>
      </c>
      <c r="L25" s="108">
        <f t="shared" si="5"/>
        <v>51000</v>
      </c>
      <c r="M25" s="108">
        <f t="shared" si="5"/>
        <v>37000</v>
      </c>
      <c r="N25" s="108">
        <f t="shared" si="5"/>
        <v>37000</v>
      </c>
      <c r="O25" s="108">
        <f t="shared" si="5"/>
        <v>37000</v>
      </c>
      <c r="P25" s="108">
        <f t="shared" si="5"/>
        <v>37000</v>
      </c>
      <c r="Q25" s="108">
        <f t="shared" ref="Q25:Q33" si="6">D25-SUM(F25:P25)</f>
        <v>33000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241000</v>
      </c>
      <c r="E27" s="37" t="s">
        <v>525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18000</v>
      </c>
      <c r="E29" s="37" t="s">
        <v>525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4000</v>
      </c>
      <c r="E30" s="37" t="s">
        <v>525</v>
      </c>
      <c r="F30" s="37">
        <f t="shared" si="8"/>
        <v>333</v>
      </c>
      <c r="G30" s="37">
        <f t="shared" si="8"/>
        <v>333</v>
      </c>
      <c r="H30" s="37">
        <f t="shared" si="8"/>
        <v>333</v>
      </c>
      <c r="I30" s="37">
        <f t="shared" si="8"/>
        <v>333</v>
      </c>
      <c r="J30" s="37">
        <f t="shared" si="8"/>
        <v>333</v>
      </c>
      <c r="K30" s="37">
        <f t="shared" si="8"/>
        <v>333</v>
      </c>
      <c r="L30" s="37">
        <f t="shared" si="8"/>
        <v>333</v>
      </c>
      <c r="M30" s="37">
        <f t="shared" si="8"/>
        <v>333</v>
      </c>
      <c r="N30" s="37">
        <f t="shared" si="8"/>
        <v>333</v>
      </c>
      <c r="O30" s="37">
        <f t="shared" si="8"/>
        <v>333</v>
      </c>
      <c r="P30" s="37">
        <f t="shared" si="8"/>
        <v>333</v>
      </c>
      <c r="Q30" s="37">
        <f t="shared" si="6"/>
        <v>337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2000</v>
      </c>
      <c r="E31" s="37" t="s">
        <v>525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265000</v>
      </c>
      <c r="E37" s="108"/>
      <c r="F37" s="108">
        <f t="shared" ref="F37:P37" si="9">ROUND(SUM(F26:F36),-3)</f>
        <v>22000</v>
      </c>
      <c r="G37" s="108">
        <f t="shared" si="9"/>
        <v>22000</v>
      </c>
      <c r="H37" s="108">
        <f t="shared" si="9"/>
        <v>22000</v>
      </c>
      <c r="I37" s="108">
        <f t="shared" si="9"/>
        <v>22000</v>
      </c>
      <c r="J37" s="108">
        <f t="shared" si="9"/>
        <v>22000</v>
      </c>
      <c r="K37" s="108">
        <f t="shared" si="9"/>
        <v>22000</v>
      </c>
      <c r="L37" s="108">
        <f t="shared" si="9"/>
        <v>22000</v>
      </c>
      <c r="M37" s="108">
        <f t="shared" si="9"/>
        <v>22000</v>
      </c>
      <c r="N37" s="108">
        <f t="shared" si="9"/>
        <v>22000</v>
      </c>
      <c r="O37" s="108">
        <f t="shared" si="9"/>
        <v>22000</v>
      </c>
      <c r="P37" s="108">
        <f t="shared" si="9"/>
        <v>22000</v>
      </c>
      <c r="Q37" s="108">
        <f>D37-SUM(F37:P37)</f>
        <v>23000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733000</v>
      </c>
      <c r="E48" s="37"/>
      <c r="F48" s="115">
        <f>F25+F37+F45+F47</f>
        <v>73000</v>
      </c>
      <c r="G48" s="115">
        <f t="shared" ref="G48:R48" si="14">G25+G37+G45+G47</f>
        <v>59000</v>
      </c>
      <c r="H48" s="115">
        <f t="shared" si="14"/>
        <v>59000</v>
      </c>
      <c r="I48" s="115">
        <f t="shared" si="14"/>
        <v>59000</v>
      </c>
      <c r="J48" s="115">
        <f t="shared" si="14"/>
        <v>59000</v>
      </c>
      <c r="K48" s="115">
        <f t="shared" si="14"/>
        <v>59000</v>
      </c>
      <c r="L48" s="115">
        <f t="shared" si="14"/>
        <v>73000</v>
      </c>
      <c r="M48" s="115">
        <f t="shared" si="14"/>
        <v>59000</v>
      </c>
      <c r="N48" s="115">
        <f t="shared" si="14"/>
        <v>59000</v>
      </c>
      <c r="O48" s="115">
        <f t="shared" si="14"/>
        <v>59000</v>
      </c>
      <c r="P48" s="115">
        <f t="shared" si="14"/>
        <v>59000</v>
      </c>
      <c r="Q48" s="115">
        <f t="shared" si="14"/>
        <v>56000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9096000</v>
      </c>
      <c r="E49" s="114" t="s">
        <v>202</v>
      </c>
      <c r="F49" s="37">
        <f>ROUND($D49/12*3,-3)</f>
        <v>2274000</v>
      </c>
      <c r="G49" s="37">
        <f>ROUND($D49/12,-3)</f>
        <v>758000</v>
      </c>
      <c r="H49" s="37">
        <f t="shared" ref="H49:N53" si="15">ROUND($D49/12,-3)</f>
        <v>758000</v>
      </c>
      <c r="I49" s="37">
        <f t="shared" si="15"/>
        <v>758000</v>
      </c>
      <c r="J49" s="37">
        <f t="shared" si="15"/>
        <v>758000</v>
      </c>
      <c r="K49" s="37">
        <f t="shared" si="15"/>
        <v>758000</v>
      </c>
      <c r="L49" s="37">
        <f t="shared" si="15"/>
        <v>758000</v>
      </c>
      <c r="M49" s="37">
        <f t="shared" si="15"/>
        <v>758000</v>
      </c>
      <c r="N49" s="37">
        <f t="shared" si="15"/>
        <v>758000</v>
      </c>
      <c r="O49" s="37">
        <f>D49-SUM(F49:N49)</f>
        <v>758000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406000</v>
      </c>
      <c r="E50" s="114" t="s">
        <v>202</v>
      </c>
      <c r="F50" s="37">
        <f t="shared" ref="F50:F53" si="16">ROUND($D50/12*3,-3)</f>
        <v>102000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si="15"/>
        <v>34000</v>
      </c>
      <c r="N50" s="37">
        <f t="shared" si="15"/>
        <v>34000</v>
      </c>
      <c r="O50" s="37">
        <f t="shared" ref="O50:O53" si="18">D50-SUM(F50:N50)</f>
        <v>32000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0</v>
      </c>
      <c r="E51" s="114" t="s">
        <v>202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5"/>
        <v>0</v>
      </c>
      <c r="N51" s="37">
        <f t="shared" si="15"/>
        <v>0</v>
      </c>
      <c r="O51" s="37">
        <f t="shared" si="18"/>
        <v>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0</v>
      </c>
      <c r="E52" s="114" t="s">
        <v>202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5"/>
        <v>0</v>
      </c>
      <c r="N52" s="37">
        <f t="shared" si="15"/>
        <v>0</v>
      </c>
      <c r="O52" s="37">
        <f t="shared" si="18"/>
        <v>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26000</v>
      </c>
      <c r="E54" s="37" t="s">
        <v>525</v>
      </c>
      <c r="F54" s="37">
        <f t="shared" ref="F54:P61" si="19">ROUND($D54/12,0)</f>
        <v>2167</v>
      </c>
      <c r="G54" s="37">
        <f t="shared" si="19"/>
        <v>2167</v>
      </c>
      <c r="H54" s="37">
        <f t="shared" si="19"/>
        <v>2167</v>
      </c>
      <c r="I54" s="37">
        <f t="shared" si="19"/>
        <v>2167</v>
      </c>
      <c r="J54" s="37">
        <f t="shared" si="19"/>
        <v>2167</v>
      </c>
      <c r="K54" s="37">
        <f t="shared" si="19"/>
        <v>2167</v>
      </c>
      <c r="L54" s="37">
        <f t="shared" si="19"/>
        <v>2167</v>
      </c>
      <c r="M54" s="37">
        <f t="shared" si="19"/>
        <v>2167</v>
      </c>
      <c r="N54" s="37">
        <f t="shared" si="19"/>
        <v>2167</v>
      </c>
      <c r="O54" s="37">
        <f t="shared" si="19"/>
        <v>2167</v>
      </c>
      <c r="P54" s="37">
        <f t="shared" si="19"/>
        <v>2167</v>
      </c>
      <c r="Q54" s="37">
        <f t="shared" ref="Q54:Q61" si="20">D54-SUM(F54:P54)</f>
        <v>2163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272000</v>
      </c>
      <c r="E60" s="37" t="s">
        <v>195</v>
      </c>
      <c r="F60" s="37">
        <f>D60</f>
        <v>272000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754000</v>
      </c>
      <c r="E62" s="37" t="s">
        <v>197</v>
      </c>
      <c r="F62" s="37"/>
      <c r="G62" s="37"/>
      <c r="H62" s="37"/>
      <c r="I62" s="37">
        <f>ROUND($D62/5,-3)</f>
        <v>151000</v>
      </c>
      <c r="J62" s="37"/>
      <c r="K62" s="37"/>
      <c r="L62" s="37"/>
      <c r="M62" s="37"/>
      <c r="N62" s="37">
        <f>D62-I62</f>
        <v>603000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1163000</v>
      </c>
      <c r="E63" s="37" t="s">
        <v>195</v>
      </c>
      <c r="F63" s="37">
        <f>D63</f>
        <v>1163000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867000</v>
      </c>
      <c r="E64" s="114" t="s">
        <v>202</v>
      </c>
      <c r="F64" s="37">
        <f>ROUND($D64/12*3,-3)</f>
        <v>217000</v>
      </c>
      <c r="G64" s="37">
        <f>ROUND($D64/12,-3)</f>
        <v>72000</v>
      </c>
      <c r="H64" s="37">
        <f t="shared" ref="H64:N66" si="21">ROUND($D64/12,-3)</f>
        <v>72000</v>
      </c>
      <c r="I64" s="37">
        <f t="shared" si="21"/>
        <v>72000</v>
      </c>
      <c r="J64" s="37">
        <f t="shared" si="21"/>
        <v>72000</v>
      </c>
      <c r="K64" s="37">
        <f t="shared" si="21"/>
        <v>72000</v>
      </c>
      <c r="L64" s="37">
        <f t="shared" si="21"/>
        <v>72000</v>
      </c>
      <c r="M64" s="37">
        <f t="shared" si="21"/>
        <v>72000</v>
      </c>
      <c r="N64" s="37">
        <f t="shared" si="21"/>
        <v>72000</v>
      </c>
      <c r="O64" s="37">
        <f>D64-SUM(F64:N64)</f>
        <v>74000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163000</v>
      </c>
      <c r="E65" s="114" t="s">
        <v>202</v>
      </c>
      <c r="F65" s="37">
        <f t="shared" ref="F65:F66" si="22">ROUND($D65/12*3,-3)</f>
        <v>41000</v>
      </c>
      <c r="G65" s="37">
        <f t="shared" ref="G65:G66" si="23">ROUND($D65/12,-3)</f>
        <v>14000</v>
      </c>
      <c r="H65" s="37">
        <f t="shared" si="21"/>
        <v>14000</v>
      </c>
      <c r="I65" s="37">
        <f t="shared" si="21"/>
        <v>14000</v>
      </c>
      <c r="J65" s="37">
        <f t="shared" si="21"/>
        <v>14000</v>
      </c>
      <c r="K65" s="37">
        <f t="shared" si="21"/>
        <v>14000</v>
      </c>
      <c r="L65" s="37">
        <f t="shared" si="21"/>
        <v>14000</v>
      </c>
      <c r="M65" s="37">
        <f t="shared" si="21"/>
        <v>14000</v>
      </c>
      <c r="N65" s="37">
        <f t="shared" si="21"/>
        <v>14000</v>
      </c>
      <c r="O65" s="37">
        <f t="shared" ref="O65:O66" si="24">D65-SUM(F65:N65)</f>
        <v>10000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846000</v>
      </c>
      <c r="E66" s="114" t="s">
        <v>202</v>
      </c>
      <c r="F66" s="37">
        <f t="shared" si="22"/>
        <v>212000</v>
      </c>
      <c r="G66" s="37">
        <f t="shared" si="23"/>
        <v>71000</v>
      </c>
      <c r="H66" s="37">
        <f t="shared" si="21"/>
        <v>71000</v>
      </c>
      <c r="I66" s="37">
        <f t="shared" si="21"/>
        <v>71000</v>
      </c>
      <c r="J66" s="37">
        <f t="shared" si="21"/>
        <v>71000</v>
      </c>
      <c r="K66" s="37">
        <f t="shared" si="21"/>
        <v>71000</v>
      </c>
      <c r="L66" s="37">
        <f t="shared" si="21"/>
        <v>71000</v>
      </c>
      <c r="M66" s="37">
        <f t="shared" si="21"/>
        <v>71000</v>
      </c>
      <c r="N66" s="37">
        <f t="shared" si="21"/>
        <v>71000</v>
      </c>
      <c r="O66" s="37">
        <f t="shared" si="24"/>
        <v>66000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9000</v>
      </c>
      <c r="E67" s="37" t="s">
        <v>196</v>
      </c>
      <c r="F67" s="37"/>
      <c r="G67" s="37"/>
      <c r="H67" s="37">
        <f>D67</f>
        <v>9000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128000</v>
      </c>
      <c r="E68" s="37" t="s">
        <v>195</v>
      </c>
      <c r="F68" s="37">
        <f>D68</f>
        <v>128000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13754000</v>
      </c>
      <c r="E70" s="108"/>
      <c r="F70" s="108">
        <f t="shared" ref="F70:P70" si="25">ROUND(SUM(F49:F69),-3)</f>
        <v>4413000</v>
      </c>
      <c r="G70" s="108">
        <f t="shared" si="25"/>
        <v>953000</v>
      </c>
      <c r="H70" s="108">
        <f t="shared" si="25"/>
        <v>962000</v>
      </c>
      <c r="I70" s="108">
        <f t="shared" si="25"/>
        <v>1104000</v>
      </c>
      <c r="J70" s="108">
        <f t="shared" si="25"/>
        <v>953000</v>
      </c>
      <c r="K70" s="108">
        <f t="shared" si="25"/>
        <v>953000</v>
      </c>
      <c r="L70" s="108">
        <f t="shared" si="25"/>
        <v>953000</v>
      </c>
      <c r="M70" s="108">
        <f t="shared" si="25"/>
        <v>953000</v>
      </c>
      <c r="N70" s="108">
        <f t="shared" si="25"/>
        <v>1556000</v>
      </c>
      <c r="O70" s="108">
        <f t="shared" si="25"/>
        <v>944000</v>
      </c>
      <c r="P70" s="108">
        <f t="shared" si="25"/>
        <v>4000</v>
      </c>
      <c r="Q70" s="108">
        <f>D70-SUM(F70:P70)</f>
        <v>6000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494000</v>
      </c>
      <c r="E72" s="114" t="s">
        <v>202</v>
      </c>
      <c r="F72" s="37">
        <f>ROUND($D72/12*3,-3)</f>
        <v>124000</v>
      </c>
      <c r="G72" s="37">
        <f>ROUND($D72/12,-3)</f>
        <v>41000</v>
      </c>
      <c r="H72" s="37">
        <f t="shared" ref="H72:N75" si="26">ROUND($D72/12,-3)</f>
        <v>41000</v>
      </c>
      <c r="I72" s="37">
        <f t="shared" si="26"/>
        <v>41000</v>
      </c>
      <c r="J72" s="37">
        <f t="shared" si="26"/>
        <v>41000</v>
      </c>
      <c r="K72" s="37">
        <f t="shared" si="26"/>
        <v>41000</v>
      </c>
      <c r="L72" s="37">
        <f t="shared" si="26"/>
        <v>41000</v>
      </c>
      <c r="M72" s="37">
        <f t="shared" si="26"/>
        <v>41000</v>
      </c>
      <c r="N72" s="37">
        <f t="shared" si="26"/>
        <v>41000</v>
      </c>
      <c r="O72" s="37">
        <f>D72-SUM(F72:N72)</f>
        <v>42000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281000</v>
      </c>
      <c r="E75" s="114" t="s">
        <v>202</v>
      </c>
      <c r="F75" s="37">
        <f>ROUND($D75/12*3,-3)</f>
        <v>70000</v>
      </c>
      <c r="G75" s="37">
        <f>ROUND($D75/12,-3)</f>
        <v>23000</v>
      </c>
      <c r="H75" s="37">
        <f t="shared" si="26"/>
        <v>23000</v>
      </c>
      <c r="I75" s="37">
        <f t="shared" si="26"/>
        <v>23000</v>
      </c>
      <c r="J75" s="37">
        <f t="shared" si="26"/>
        <v>23000</v>
      </c>
      <c r="K75" s="37">
        <f t="shared" si="26"/>
        <v>23000</v>
      </c>
      <c r="L75" s="37">
        <f t="shared" si="26"/>
        <v>23000</v>
      </c>
      <c r="M75" s="37">
        <f t="shared" si="26"/>
        <v>23000</v>
      </c>
      <c r="N75" s="37">
        <f t="shared" si="26"/>
        <v>23000</v>
      </c>
      <c r="O75" s="37">
        <f>D75-SUM(F75:N75)</f>
        <v>27000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775000</v>
      </c>
      <c r="E76" s="108"/>
      <c r="F76" s="108">
        <f>ROUND(SUM(F71:F75),-3)</f>
        <v>194000</v>
      </c>
      <c r="G76" s="108">
        <f t="shared" ref="G76:N76" si="27">ROUND(SUM(G71:G75),-3)</f>
        <v>64000</v>
      </c>
      <c r="H76" s="108">
        <f t="shared" si="27"/>
        <v>64000</v>
      </c>
      <c r="I76" s="108">
        <f t="shared" si="27"/>
        <v>64000</v>
      </c>
      <c r="J76" s="108">
        <f t="shared" si="27"/>
        <v>64000</v>
      </c>
      <c r="K76" s="108">
        <f t="shared" si="27"/>
        <v>64000</v>
      </c>
      <c r="L76" s="108">
        <f t="shared" si="27"/>
        <v>64000</v>
      </c>
      <c r="M76" s="108">
        <f t="shared" si="27"/>
        <v>64000</v>
      </c>
      <c r="N76" s="108">
        <f t="shared" si="27"/>
        <v>64000</v>
      </c>
      <c r="O76" s="108">
        <f>D76-SUM(F76:N76)</f>
        <v>69000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37000</v>
      </c>
      <c r="E77" s="37" t="s">
        <v>681</v>
      </c>
      <c r="F77" s="224"/>
      <c r="G77" s="224"/>
      <c r="H77" s="224">
        <f>ROUND($D77/2,-3)</f>
        <v>19000</v>
      </c>
      <c r="I77" s="224"/>
      <c r="J77" s="224"/>
      <c r="K77" s="224"/>
      <c r="L77" s="224"/>
      <c r="M77" s="224"/>
      <c r="N77" s="224">
        <f>D77-H77</f>
        <v>18000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14566000</v>
      </c>
      <c r="E78" s="227"/>
      <c r="F78" s="227">
        <f>F76+F70+F77</f>
        <v>4607000</v>
      </c>
      <c r="G78" s="227">
        <f t="shared" ref="G78:Q78" si="29">G76+G70+G77</f>
        <v>1017000</v>
      </c>
      <c r="H78" s="227">
        <f t="shared" si="29"/>
        <v>1045000</v>
      </c>
      <c r="I78" s="227">
        <f t="shared" si="29"/>
        <v>1168000</v>
      </c>
      <c r="J78" s="227">
        <f t="shared" si="29"/>
        <v>1017000</v>
      </c>
      <c r="K78" s="227">
        <f t="shared" si="29"/>
        <v>1017000</v>
      </c>
      <c r="L78" s="227">
        <f t="shared" si="29"/>
        <v>1017000</v>
      </c>
      <c r="M78" s="227">
        <f t="shared" si="29"/>
        <v>1017000</v>
      </c>
      <c r="N78" s="227">
        <f t="shared" si="29"/>
        <v>1638000</v>
      </c>
      <c r="O78" s="227">
        <f t="shared" si="29"/>
        <v>1013000</v>
      </c>
      <c r="P78" s="227">
        <f t="shared" si="29"/>
        <v>4000</v>
      </c>
      <c r="Q78" s="227">
        <f t="shared" si="29"/>
        <v>6000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15299000</v>
      </c>
      <c r="E87" s="37"/>
      <c r="F87" s="37">
        <f>F88+F89+F90+F91</f>
        <v>4680000</v>
      </c>
      <c r="G87" s="37">
        <f t="shared" ref="G87:Q87" si="32">G88+G89+G90+G91</f>
        <v>1076000</v>
      </c>
      <c r="H87" s="37">
        <f t="shared" si="32"/>
        <v>1104000</v>
      </c>
      <c r="I87" s="37">
        <f t="shared" si="32"/>
        <v>1227000</v>
      </c>
      <c r="J87" s="37">
        <f t="shared" si="32"/>
        <v>1076000</v>
      </c>
      <c r="K87" s="37">
        <f t="shared" si="32"/>
        <v>1076000</v>
      </c>
      <c r="L87" s="37">
        <f t="shared" si="32"/>
        <v>1090000</v>
      </c>
      <c r="M87" s="37">
        <f t="shared" si="32"/>
        <v>1076000</v>
      </c>
      <c r="N87" s="37">
        <f t="shared" si="32"/>
        <v>1697000</v>
      </c>
      <c r="O87" s="37">
        <f t="shared" si="32"/>
        <v>1072000</v>
      </c>
      <c r="P87" s="37">
        <f t="shared" si="32"/>
        <v>63000</v>
      </c>
      <c r="Q87" s="37">
        <f t="shared" si="32"/>
        <v>62000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0</v>
      </c>
      <c r="E88" s="108" t="s">
        <v>193</v>
      </c>
      <c r="F88" s="108">
        <f>ROUND($D88/2,-3)</f>
        <v>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15299000</v>
      </c>
      <c r="E91" s="108"/>
      <c r="F91" s="108">
        <f>F92+F93+F94+F95</f>
        <v>4680000</v>
      </c>
      <c r="G91" s="108">
        <f t="shared" ref="G91:Q91" si="34">G92+G93+G94+G95</f>
        <v>1076000</v>
      </c>
      <c r="H91" s="108">
        <f t="shared" si="34"/>
        <v>1104000</v>
      </c>
      <c r="I91" s="108">
        <f t="shared" si="34"/>
        <v>1227000</v>
      </c>
      <c r="J91" s="108">
        <f t="shared" si="34"/>
        <v>1076000</v>
      </c>
      <c r="K91" s="108">
        <f t="shared" si="34"/>
        <v>1076000</v>
      </c>
      <c r="L91" s="108">
        <f t="shared" si="34"/>
        <v>1090000</v>
      </c>
      <c r="M91" s="108">
        <f t="shared" si="34"/>
        <v>1076000</v>
      </c>
      <c r="N91" s="108">
        <f t="shared" si="34"/>
        <v>1697000</v>
      </c>
      <c r="O91" s="108">
        <f t="shared" si="34"/>
        <v>1072000</v>
      </c>
      <c r="P91" s="108">
        <f t="shared" si="34"/>
        <v>63000</v>
      </c>
      <c r="Q91" s="108">
        <f t="shared" si="34"/>
        <v>62000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650000</v>
      </c>
      <c r="E92" s="114" t="s">
        <v>537</v>
      </c>
      <c r="F92" s="37">
        <f>ROUND($D92/12*5,-3)</f>
        <v>271000</v>
      </c>
      <c r="G92" s="37">
        <f>ROUND($D92/12,-3)</f>
        <v>54000</v>
      </c>
      <c r="H92" s="37">
        <f t="shared" ref="H92:L92" si="35">ROUND($D92/12,-3)</f>
        <v>54000</v>
      </c>
      <c r="I92" s="37">
        <f t="shared" si="35"/>
        <v>54000</v>
      </c>
      <c r="J92" s="37">
        <f t="shared" si="35"/>
        <v>54000</v>
      </c>
      <c r="K92" s="37">
        <f t="shared" si="35"/>
        <v>54000</v>
      </c>
      <c r="L92" s="37">
        <f t="shared" si="35"/>
        <v>54000</v>
      </c>
      <c r="M92" s="37">
        <f>D92-SUM(F92:L92)</f>
        <v>55000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77000</v>
      </c>
      <c r="E93" s="189" t="s">
        <v>227</v>
      </c>
      <c r="F93" s="37">
        <f>ROUND($D93/12,-3)</f>
        <v>6000</v>
      </c>
      <c r="G93" s="37">
        <f t="shared" ref="G93:P93" si="36">ROUND($D93/12,-3)</f>
        <v>6000</v>
      </c>
      <c r="H93" s="37">
        <f t="shared" si="36"/>
        <v>6000</v>
      </c>
      <c r="I93" s="37">
        <f t="shared" si="36"/>
        <v>6000</v>
      </c>
      <c r="J93" s="37">
        <f t="shared" si="36"/>
        <v>6000</v>
      </c>
      <c r="K93" s="37">
        <f t="shared" si="36"/>
        <v>6000</v>
      </c>
      <c r="L93" s="37">
        <f t="shared" si="36"/>
        <v>6000</v>
      </c>
      <c r="M93" s="37">
        <f t="shared" si="36"/>
        <v>6000</v>
      </c>
      <c r="N93" s="37">
        <f t="shared" si="36"/>
        <v>6000</v>
      </c>
      <c r="O93" s="37">
        <f t="shared" si="36"/>
        <v>6000</v>
      </c>
      <c r="P93" s="37">
        <f t="shared" si="36"/>
        <v>6000</v>
      </c>
      <c r="Q93" s="37">
        <f>D93-SUM(F93:P93)</f>
        <v>11000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14572000</v>
      </c>
      <c r="E95" s="37"/>
      <c r="F95" s="37">
        <f>F2+F86-F88-F89-F90-F92-F93-F94</f>
        <v>4403000</v>
      </c>
      <c r="G95" s="37">
        <f t="shared" ref="G95:Q95" si="37">G2-G88-G89-G90-G92-G93-G94</f>
        <v>1016000</v>
      </c>
      <c r="H95" s="37">
        <f t="shared" si="37"/>
        <v>1044000</v>
      </c>
      <c r="I95" s="37">
        <f t="shared" si="37"/>
        <v>1167000</v>
      </c>
      <c r="J95" s="37">
        <f t="shared" si="37"/>
        <v>1016000</v>
      </c>
      <c r="K95" s="37">
        <f t="shared" si="37"/>
        <v>1016000</v>
      </c>
      <c r="L95" s="37">
        <f t="shared" si="37"/>
        <v>1030000</v>
      </c>
      <c r="M95" s="37">
        <f t="shared" si="37"/>
        <v>1015000</v>
      </c>
      <c r="N95" s="37">
        <f t="shared" si="37"/>
        <v>1691000</v>
      </c>
      <c r="O95" s="37">
        <f t="shared" si="37"/>
        <v>1066000</v>
      </c>
      <c r="P95" s="37">
        <f t="shared" si="37"/>
        <v>57000</v>
      </c>
      <c r="Q95" s="37">
        <f t="shared" si="37"/>
        <v>51000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0</v>
      </c>
    </row>
    <row r="102" spans="2:17" ht="32.4">
      <c r="B102" s="71" t="s">
        <v>238</v>
      </c>
      <c r="D102" s="30">
        <f>HLOOKUP(D1,[1]縣庫撥款收入明細表!H:DD,16,FALSE)</f>
        <v>72000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0</v>
      </c>
    </row>
    <row r="106" spans="2:17" ht="32.4">
      <c r="B106" s="71" t="s">
        <v>241</v>
      </c>
      <c r="D106" s="30">
        <f>HLOOKUP(D1,[1]縣庫撥款收入明細表!H:DD,20,FALSE)</f>
        <v>5000</v>
      </c>
    </row>
    <row r="107" spans="2:17" ht="32.4">
      <c r="B107" s="77" t="s">
        <v>242</v>
      </c>
      <c r="D107" s="30">
        <f>HLOOKUP(D1,[1]縣庫撥款收入明細表!H:DD,21,FALSE)</f>
        <v>14572000</v>
      </c>
    </row>
    <row r="108" spans="2:17" ht="16.5" customHeight="1"/>
    <row r="109" spans="2:17" ht="16.5" customHeight="1">
      <c r="B109" s="4" t="s">
        <v>682</v>
      </c>
      <c r="D109" s="30">
        <f>D91-D76</f>
        <v>14524000</v>
      </c>
      <c r="F109" s="30">
        <f>F91-F76</f>
        <v>4486000</v>
      </c>
      <c r="G109" s="30">
        <f t="shared" ref="G109:Q109" si="38">G91-G76</f>
        <v>1012000</v>
      </c>
      <c r="H109" s="30">
        <f t="shared" si="38"/>
        <v>1040000</v>
      </c>
      <c r="I109" s="30">
        <f t="shared" si="38"/>
        <v>1163000</v>
      </c>
      <c r="J109" s="30">
        <f t="shared" si="38"/>
        <v>1012000</v>
      </c>
      <c r="K109" s="30">
        <f t="shared" si="38"/>
        <v>1012000</v>
      </c>
      <c r="L109" s="30">
        <f t="shared" si="38"/>
        <v>1026000</v>
      </c>
      <c r="M109" s="30">
        <f t="shared" si="38"/>
        <v>1012000</v>
      </c>
      <c r="N109" s="30">
        <f t="shared" si="38"/>
        <v>1633000</v>
      </c>
      <c r="O109" s="30">
        <f t="shared" si="38"/>
        <v>1003000</v>
      </c>
      <c r="P109" s="30">
        <f t="shared" si="38"/>
        <v>63000</v>
      </c>
      <c r="Q109" s="30">
        <f t="shared" si="38"/>
        <v>62000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86" priority="1" operator="less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3">
    <pageSetUpPr fitToPage="1"/>
  </sheetPr>
  <dimension ref="A1:DA78"/>
  <sheetViews>
    <sheetView zoomScaleNormal="100" workbookViewId="0">
      <pane xSplit="4" ySplit="12" topLeftCell="I13" activePane="bottomRight" state="frozen"/>
      <selection activeCell="J24" sqref="J24:K24"/>
      <selection pane="topRight" activeCell="J24" sqref="J24:K24"/>
      <selection pane="bottomLeft" activeCell="J24" sqref="J24:K24"/>
      <selection pane="bottomRight" activeCell="Q39" sqref="Q39"/>
    </sheetView>
  </sheetViews>
  <sheetFormatPr defaultColWidth="9" defaultRowHeight="16.2"/>
  <cols>
    <col min="1" max="1" width="4.109375" style="4" customWidth="1"/>
    <col min="2" max="2" width="27.44140625" style="8" customWidth="1"/>
    <col min="3" max="3" width="9.21875" style="9" bestFit="1" customWidth="1"/>
    <col min="4" max="4" width="14" style="4" bestFit="1" customWidth="1"/>
    <col min="5" max="5" width="14.109375" style="4" customWidth="1"/>
    <col min="6" max="6" width="16.109375" style="4" customWidth="1"/>
    <col min="7" max="8" width="14.109375" style="4" customWidth="1"/>
    <col min="9" max="9" width="16.21875" style="4" customWidth="1"/>
    <col min="10" max="43" width="14.109375" style="4" customWidth="1"/>
    <col min="44" max="44" width="16.33203125" style="4" customWidth="1"/>
    <col min="45" max="56" width="14.109375" style="4" customWidth="1"/>
    <col min="57" max="105" width="14.109375" style="4" bestFit="1" customWidth="1"/>
    <col min="106" max="16384" width="9" style="4"/>
  </cols>
  <sheetData>
    <row r="1" spans="1:105" s="1" customFormat="1">
      <c r="A1" s="260" t="s">
        <v>673</v>
      </c>
      <c r="B1" s="260"/>
      <c r="C1" s="21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</row>
    <row r="2" spans="1:105" ht="16.5" hidden="1" customHeight="1">
      <c r="A2" s="260" t="s">
        <v>0</v>
      </c>
      <c r="B2" s="260"/>
      <c r="C2" s="212"/>
      <c r="D2" s="2">
        <v>3</v>
      </c>
      <c r="E2" s="3"/>
      <c r="F2" s="3">
        <v>1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>
        <v>1</v>
      </c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>
        <v>1</v>
      </c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</row>
    <row r="3" spans="1:105" ht="16.5" hidden="1" customHeight="1">
      <c r="A3" s="260" t="s">
        <v>1</v>
      </c>
      <c r="B3" s="260"/>
      <c r="C3" s="212"/>
      <c r="D3" s="2">
        <v>132</v>
      </c>
      <c r="E3" s="3">
        <v>4</v>
      </c>
      <c r="F3" s="3">
        <v>7</v>
      </c>
      <c r="G3" s="3">
        <v>4</v>
      </c>
      <c r="H3" s="3">
        <v>3</v>
      </c>
      <c r="I3" s="3">
        <v>1</v>
      </c>
      <c r="J3" s="3">
        <v>1</v>
      </c>
      <c r="K3" s="3">
        <v>1</v>
      </c>
      <c r="L3" s="3">
        <v>3</v>
      </c>
      <c r="M3" s="3">
        <v>2</v>
      </c>
      <c r="N3" s="3">
        <v>1</v>
      </c>
      <c r="O3" s="3">
        <v>2</v>
      </c>
      <c r="P3" s="3">
        <v>1</v>
      </c>
      <c r="Q3" s="3">
        <v>2</v>
      </c>
      <c r="R3" s="3">
        <v>3</v>
      </c>
      <c r="S3" s="3">
        <v>1</v>
      </c>
      <c r="T3" s="3"/>
      <c r="U3" s="3">
        <v>3</v>
      </c>
      <c r="V3" s="3">
        <v>2</v>
      </c>
      <c r="W3" s="3">
        <v>3</v>
      </c>
      <c r="X3" s="3">
        <v>2</v>
      </c>
      <c r="Y3" s="3">
        <v>3</v>
      </c>
      <c r="Z3" s="3">
        <v>1</v>
      </c>
      <c r="AA3" s="3">
        <v>3</v>
      </c>
      <c r="AB3" s="3">
        <v>2</v>
      </c>
      <c r="AC3" s="3"/>
      <c r="AD3" s="3">
        <v>2</v>
      </c>
      <c r="AE3" s="3"/>
      <c r="AF3" s="3">
        <v>2</v>
      </c>
      <c r="AG3" s="3">
        <v>1</v>
      </c>
      <c r="AH3" s="3"/>
      <c r="AI3" s="3">
        <v>1</v>
      </c>
      <c r="AJ3" s="3"/>
      <c r="AK3" s="3">
        <v>2</v>
      </c>
      <c r="AL3" s="3">
        <v>1</v>
      </c>
      <c r="AM3" s="3">
        <v>1</v>
      </c>
      <c r="AN3" s="3">
        <v>1</v>
      </c>
      <c r="AO3" s="3">
        <v>1</v>
      </c>
      <c r="AP3" s="3">
        <v>2</v>
      </c>
      <c r="AQ3" s="3">
        <v>2</v>
      </c>
      <c r="AR3" s="3">
        <v>1</v>
      </c>
      <c r="AS3" s="3">
        <v>2</v>
      </c>
      <c r="AT3" s="3">
        <v>2</v>
      </c>
      <c r="AU3" s="3">
        <v>1</v>
      </c>
      <c r="AV3" s="3"/>
      <c r="AW3" s="3"/>
      <c r="AX3" s="3">
        <v>1</v>
      </c>
      <c r="AY3" s="3">
        <v>1</v>
      </c>
      <c r="AZ3" s="3">
        <v>1</v>
      </c>
      <c r="BA3" s="3">
        <v>1</v>
      </c>
      <c r="BB3" s="3"/>
      <c r="BC3" s="3">
        <v>1</v>
      </c>
      <c r="BD3" s="3">
        <v>1</v>
      </c>
      <c r="BE3" s="3">
        <v>3</v>
      </c>
      <c r="BF3" s="3">
        <v>1</v>
      </c>
      <c r="BG3" s="3">
        <v>1</v>
      </c>
      <c r="BH3" s="3"/>
      <c r="BI3" s="3">
        <v>1</v>
      </c>
      <c r="BJ3" s="3">
        <v>1</v>
      </c>
      <c r="BK3" s="3"/>
      <c r="BL3" s="3">
        <v>3</v>
      </c>
      <c r="BM3" s="3">
        <v>1</v>
      </c>
      <c r="BN3" s="3">
        <v>1</v>
      </c>
      <c r="BO3" s="3">
        <v>1</v>
      </c>
      <c r="BP3" s="3">
        <v>1</v>
      </c>
      <c r="BQ3" s="3">
        <v>2</v>
      </c>
      <c r="BR3" s="3"/>
      <c r="BS3" s="3">
        <v>1</v>
      </c>
      <c r="BT3" s="3">
        <v>1</v>
      </c>
      <c r="BU3" s="3">
        <v>2</v>
      </c>
      <c r="BV3" s="3">
        <v>2</v>
      </c>
      <c r="BW3" s="3">
        <v>1</v>
      </c>
      <c r="BX3" s="3"/>
      <c r="BY3" s="3">
        <v>2</v>
      </c>
      <c r="BZ3" s="3">
        <v>1</v>
      </c>
      <c r="CA3" s="3">
        <v>1</v>
      </c>
      <c r="CB3" s="3"/>
      <c r="CC3" s="3">
        <v>1</v>
      </c>
      <c r="CD3" s="3">
        <v>1</v>
      </c>
      <c r="CE3" s="3">
        <v>1</v>
      </c>
      <c r="CF3" s="3">
        <v>1</v>
      </c>
      <c r="CG3" s="3"/>
      <c r="CH3" s="3">
        <v>1</v>
      </c>
      <c r="CI3" s="3"/>
      <c r="CJ3" s="3"/>
      <c r="CK3" s="3">
        <v>1</v>
      </c>
      <c r="CL3" s="3">
        <v>1</v>
      </c>
      <c r="CM3" s="3"/>
      <c r="CN3" s="3">
        <v>2</v>
      </c>
      <c r="CO3" s="3">
        <v>1</v>
      </c>
      <c r="CP3" s="3">
        <v>1</v>
      </c>
      <c r="CQ3" s="3">
        <v>1</v>
      </c>
      <c r="CR3" s="3">
        <v>1</v>
      </c>
      <c r="CS3" s="3">
        <v>1</v>
      </c>
      <c r="CT3" s="3">
        <v>1</v>
      </c>
      <c r="CU3" s="3">
        <v>1</v>
      </c>
      <c r="CV3" s="3">
        <v>1</v>
      </c>
      <c r="CW3" s="3">
        <v>1</v>
      </c>
      <c r="CX3" s="3"/>
      <c r="CY3" s="3"/>
      <c r="CZ3" s="3">
        <v>4</v>
      </c>
      <c r="DA3" s="3"/>
    </row>
    <row r="4" spans="1:105" ht="16.5" hidden="1" customHeight="1">
      <c r="A4" s="260" t="s">
        <v>2</v>
      </c>
      <c r="B4" s="260"/>
      <c r="C4" s="212"/>
      <c r="D4" s="2">
        <v>1091</v>
      </c>
      <c r="E4" s="2">
        <v>17</v>
      </c>
      <c r="F4" s="2">
        <v>65</v>
      </c>
      <c r="G4" s="2">
        <v>26</v>
      </c>
      <c r="H4" s="2">
        <v>20</v>
      </c>
      <c r="I4" s="2">
        <v>41</v>
      </c>
      <c r="J4" s="2">
        <v>7</v>
      </c>
      <c r="K4" s="2">
        <v>7</v>
      </c>
      <c r="L4" s="2">
        <v>17</v>
      </c>
      <c r="M4" s="2">
        <v>22</v>
      </c>
      <c r="N4" s="2">
        <v>7</v>
      </c>
      <c r="O4" s="2">
        <v>27</v>
      </c>
      <c r="P4" s="2">
        <v>7</v>
      </c>
      <c r="Q4" s="2">
        <v>19</v>
      </c>
      <c r="R4" s="2">
        <v>24</v>
      </c>
      <c r="S4" s="2">
        <v>7</v>
      </c>
      <c r="T4" s="2">
        <v>6</v>
      </c>
      <c r="U4" s="2">
        <v>21</v>
      </c>
      <c r="V4" s="2">
        <v>46</v>
      </c>
      <c r="W4" s="2">
        <v>36</v>
      </c>
      <c r="X4" s="2">
        <v>8</v>
      </c>
      <c r="Y4" s="2">
        <v>16</v>
      </c>
      <c r="Z4" s="2">
        <v>7</v>
      </c>
      <c r="AA4" s="2">
        <v>16</v>
      </c>
      <c r="AB4" s="2">
        <v>17</v>
      </c>
      <c r="AC4" s="2">
        <v>6</v>
      </c>
      <c r="AD4" s="2">
        <v>11</v>
      </c>
      <c r="AE4" s="2">
        <v>6</v>
      </c>
      <c r="AF4" s="2">
        <v>9</v>
      </c>
      <c r="AG4" s="2">
        <v>9</v>
      </c>
      <c r="AH4" s="2">
        <v>6</v>
      </c>
      <c r="AI4" s="2">
        <v>7</v>
      </c>
      <c r="AJ4" s="2">
        <v>5</v>
      </c>
      <c r="AK4" s="2">
        <v>15</v>
      </c>
      <c r="AL4" s="2">
        <v>7</v>
      </c>
      <c r="AM4" s="2">
        <v>7</v>
      </c>
      <c r="AN4" s="2">
        <v>7</v>
      </c>
      <c r="AO4" s="2">
        <v>7</v>
      </c>
      <c r="AP4" s="2">
        <v>8</v>
      </c>
      <c r="AQ4" s="2">
        <v>10</v>
      </c>
      <c r="AR4" s="2">
        <v>7</v>
      </c>
      <c r="AS4" s="2">
        <v>8</v>
      </c>
      <c r="AT4" s="2">
        <v>17</v>
      </c>
      <c r="AU4" s="2">
        <v>7</v>
      </c>
      <c r="AV4" s="2">
        <v>6</v>
      </c>
      <c r="AW4" s="2">
        <v>5</v>
      </c>
      <c r="AX4" s="2">
        <v>6</v>
      </c>
      <c r="AY4" s="2">
        <v>7</v>
      </c>
      <c r="AZ4" s="2">
        <v>7</v>
      </c>
      <c r="BA4" s="2">
        <v>8</v>
      </c>
      <c r="BB4" s="2">
        <v>4</v>
      </c>
      <c r="BC4" s="2">
        <v>7</v>
      </c>
      <c r="BD4" s="2">
        <v>7</v>
      </c>
      <c r="BE4" s="2">
        <v>24</v>
      </c>
      <c r="BF4" s="2">
        <v>7</v>
      </c>
      <c r="BG4" s="2">
        <v>7</v>
      </c>
      <c r="BH4" s="2">
        <v>6</v>
      </c>
      <c r="BI4" s="2">
        <v>7</v>
      </c>
      <c r="BJ4" s="2">
        <v>7</v>
      </c>
      <c r="BK4" s="2">
        <v>6</v>
      </c>
      <c r="BL4" s="2">
        <v>16</v>
      </c>
      <c r="BM4" s="2">
        <v>7</v>
      </c>
      <c r="BN4" s="2">
        <v>7</v>
      </c>
      <c r="BO4" s="2">
        <v>7</v>
      </c>
      <c r="BP4" s="2">
        <v>7</v>
      </c>
      <c r="BQ4" s="2">
        <v>10</v>
      </c>
      <c r="BR4" s="2">
        <v>6</v>
      </c>
      <c r="BS4" s="2">
        <v>7</v>
      </c>
      <c r="BT4" s="2">
        <v>7</v>
      </c>
      <c r="BU4" s="2">
        <v>8</v>
      </c>
      <c r="BV4" s="2">
        <v>8</v>
      </c>
      <c r="BW4" s="2">
        <v>7</v>
      </c>
      <c r="BX4" s="2">
        <v>6</v>
      </c>
      <c r="BY4" s="2">
        <v>9</v>
      </c>
      <c r="BZ4" s="2">
        <v>7</v>
      </c>
      <c r="CA4" s="2">
        <v>8</v>
      </c>
      <c r="CB4" s="2">
        <v>6</v>
      </c>
      <c r="CC4" s="2">
        <v>7</v>
      </c>
      <c r="CD4" s="2">
        <v>7</v>
      </c>
      <c r="CE4" s="2">
        <v>7</v>
      </c>
      <c r="CF4" s="2">
        <v>7</v>
      </c>
      <c r="CG4" s="2">
        <v>7</v>
      </c>
      <c r="CH4" s="2">
        <v>7</v>
      </c>
      <c r="CI4" s="2">
        <v>6</v>
      </c>
      <c r="CJ4" s="2">
        <v>10</v>
      </c>
      <c r="CK4" s="2">
        <v>7</v>
      </c>
      <c r="CL4" s="2">
        <v>7</v>
      </c>
      <c r="CM4" s="2">
        <v>6</v>
      </c>
      <c r="CN4" s="2">
        <v>8</v>
      </c>
      <c r="CO4" s="2">
        <v>7</v>
      </c>
      <c r="CP4" s="2">
        <v>7</v>
      </c>
      <c r="CQ4" s="2">
        <v>7</v>
      </c>
      <c r="CR4" s="2">
        <v>7</v>
      </c>
      <c r="CS4" s="2">
        <v>7</v>
      </c>
      <c r="CT4" s="2">
        <v>7</v>
      </c>
      <c r="CU4" s="2">
        <v>7</v>
      </c>
      <c r="CV4" s="2">
        <v>7</v>
      </c>
      <c r="CW4" s="2">
        <v>7</v>
      </c>
      <c r="CX4" s="2">
        <v>6</v>
      </c>
      <c r="CY4" s="2">
        <v>6</v>
      </c>
      <c r="CZ4" s="2">
        <v>25</v>
      </c>
      <c r="DA4" s="2">
        <v>6</v>
      </c>
    </row>
    <row r="5" spans="1:105" ht="16.5" hidden="1" customHeight="1">
      <c r="A5" s="260" t="s">
        <v>3</v>
      </c>
      <c r="B5" s="260"/>
      <c r="C5" s="212"/>
      <c r="D5" s="2">
        <v>2264</v>
      </c>
      <c r="E5" s="2">
        <v>29</v>
      </c>
      <c r="F5" s="2">
        <v>124</v>
      </c>
      <c r="G5" s="2">
        <v>48</v>
      </c>
      <c r="H5" s="2">
        <v>38</v>
      </c>
      <c r="I5" s="2">
        <v>78</v>
      </c>
      <c r="J5" s="2">
        <v>14</v>
      </c>
      <c r="K5" s="2">
        <v>15</v>
      </c>
      <c r="L5" s="2">
        <v>35</v>
      </c>
      <c r="M5" s="2">
        <v>44</v>
      </c>
      <c r="N5" s="2">
        <v>14</v>
      </c>
      <c r="O5" s="2">
        <v>50</v>
      </c>
      <c r="P5" s="2">
        <v>14</v>
      </c>
      <c r="Q5" s="2">
        <v>39</v>
      </c>
      <c r="R5" s="2">
        <v>47</v>
      </c>
      <c r="S5" s="2">
        <v>14</v>
      </c>
      <c r="T5" s="2">
        <v>14</v>
      </c>
      <c r="U5" s="2">
        <v>40</v>
      </c>
      <c r="V5" s="2">
        <v>88</v>
      </c>
      <c r="W5" s="2">
        <v>67</v>
      </c>
      <c r="X5" s="2">
        <v>14</v>
      </c>
      <c r="Y5" s="2">
        <v>33</v>
      </c>
      <c r="Z5" s="2">
        <v>15</v>
      </c>
      <c r="AA5" s="2">
        <v>32</v>
      </c>
      <c r="AB5" s="2">
        <v>34</v>
      </c>
      <c r="AC5" s="2">
        <v>15</v>
      </c>
      <c r="AD5" s="2">
        <v>21</v>
      </c>
      <c r="AE5" s="2">
        <v>15</v>
      </c>
      <c r="AF5" s="2">
        <v>18</v>
      </c>
      <c r="AG5" s="2">
        <v>18</v>
      </c>
      <c r="AH5" s="2">
        <v>13</v>
      </c>
      <c r="AI5" s="2">
        <v>14</v>
      </c>
      <c r="AJ5" s="2">
        <v>12</v>
      </c>
      <c r="AK5" s="2">
        <v>29</v>
      </c>
      <c r="AL5" s="2">
        <v>16</v>
      </c>
      <c r="AM5" s="2">
        <v>14</v>
      </c>
      <c r="AN5" s="2">
        <v>14</v>
      </c>
      <c r="AO5" s="2">
        <v>14</v>
      </c>
      <c r="AP5" s="2">
        <v>17</v>
      </c>
      <c r="AQ5" s="2">
        <v>21</v>
      </c>
      <c r="AR5" s="2">
        <v>16</v>
      </c>
      <c r="AS5" s="2">
        <v>16</v>
      </c>
      <c r="AT5" s="2">
        <v>36</v>
      </c>
      <c r="AU5" s="2">
        <v>16</v>
      </c>
      <c r="AV5" s="2">
        <v>14</v>
      </c>
      <c r="AW5" s="2">
        <v>12</v>
      </c>
      <c r="AX5" s="2">
        <v>15</v>
      </c>
      <c r="AY5" s="2">
        <v>16</v>
      </c>
      <c r="AZ5" s="2">
        <v>16</v>
      </c>
      <c r="BA5" s="2">
        <v>18</v>
      </c>
      <c r="BB5" s="2">
        <v>10</v>
      </c>
      <c r="BC5" s="2">
        <v>15</v>
      </c>
      <c r="BD5" s="2">
        <v>14</v>
      </c>
      <c r="BE5" s="2">
        <v>53</v>
      </c>
      <c r="BF5" s="2">
        <v>16</v>
      </c>
      <c r="BG5" s="2">
        <v>18</v>
      </c>
      <c r="BH5" s="2">
        <v>13</v>
      </c>
      <c r="BI5" s="2">
        <v>16</v>
      </c>
      <c r="BJ5" s="2">
        <v>16</v>
      </c>
      <c r="BK5" s="2">
        <v>13</v>
      </c>
      <c r="BL5" s="2">
        <v>33</v>
      </c>
      <c r="BM5" s="2">
        <v>14</v>
      </c>
      <c r="BN5" s="2">
        <v>16</v>
      </c>
      <c r="BO5" s="2">
        <v>16</v>
      </c>
      <c r="BP5" s="2">
        <v>14</v>
      </c>
      <c r="BQ5" s="2">
        <v>21</v>
      </c>
      <c r="BR5" s="2">
        <v>13</v>
      </c>
      <c r="BS5" s="2">
        <v>14</v>
      </c>
      <c r="BT5" s="2">
        <v>14</v>
      </c>
      <c r="BU5" s="2">
        <v>17</v>
      </c>
      <c r="BV5" s="2">
        <v>17</v>
      </c>
      <c r="BW5" s="2">
        <v>14</v>
      </c>
      <c r="BX5" s="2">
        <v>15</v>
      </c>
      <c r="BY5" s="2">
        <v>19</v>
      </c>
      <c r="BZ5" s="2">
        <v>16</v>
      </c>
      <c r="CA5" s="2">
        <v>18</v>
      </c>
      <c r="CB5" s="2">
        <v>13</v>
      </c>
      <c r="CC5" s="2">
        <v>16</v>
      </c>
      <c r="CD5" s="2">
        <v>14</v>
      </c>
      <c r="CE5" s="2">
        <v>16</v>
      </c>
      <c r="CF5" s="2">
        <v>18</v>
      </c>
      <c r="CG5" s="2">
        <v>15</v>
      </c>
      <c r="CH5" s="2">
        <v>16</v>
      </c>
      <c r="CI5" s="2">
        <v>15</v>
      </c>
      <c r="CJ5" s="2">
        <v>22</v>
      </c>
      <c r="CK5" s="2">
        <v>16</v>
      </c>
      <c r="CL5" s="2">
        <v>16</v>
      </c>
      <c r="CM5" s="2">
        <v>15</v>
      </c>
      <c r="CN5" s="2">
        <v>17</v>
      </c>
      <c r="CO5" s="2">
        <v>16</v>
      </c>
      <c r="CP5" s="2">
        <v>16</v>
      </c>
      <c r="CQ5" s="2">
        <v>16</v>
      </c>
      <c r="CR5" s="2">
        <v>17</v>
      </c>
      <c r="CS5" s="2">
        <v>14</v>
      </c>
      <c r="CT5" s="2">
        <v>16</v>
      </c>
      <c r="CU5" s="2">
        <v>16</v>
      </c>
      <c r="CV5" s="2">
        <v>16</v>
      </c>
      <c r="CW5" s="2">
        <v>14</v>
      </c>
      <c r="CX5" s="2">
        <v>13</v>
      </c>
      <c r="CY5" s="2">
        <v>13</v>
      </c>
      <c r="CZ5" s="2">
        <v>50</v>
      </c>
      <c r="DA5" s="2">
        <v>17</v>
      </c>
    </row>
    <row r="6" spans="1:105" ht="16.5" hidden="1" customHeight="1">
      <c r="A6" s="260" t="s">
        <v>674</v>
      </c>
      <c r="B6" s="260"/>
      <c r="C6" s="212"/>
      <c r="D6" s="2">
        <v>190</v>
      </c>
      <c r="E6" s="2">
        <v>5</v>
      </c>
      <c r="F6" s="2">
        <v>8</v>
      </c>
      <c r="G6" s="2">
        <v>7</v>
      </c>
      <c r="H6" s="2">
        <v>5</v>
      </c>
      <c r="I6" s="2">
        <v>2</v>
      </c>
      <c r="J6" s="2">
        <v>2</v>
      </c>
      <c r="K6" s="2">
        <v>2</v>
      </c>
      <c r="L6" s="2">
        <v>4</v>
      </c>
      <c r="M6" s="2">
        <v>3</v>
      </c>
      <c r="N6" s="2">
        <v>2</v>
      </c>
      <c r="O6" s="2">
        <v>3</v>
      </c>
      <c r="P6" s="2">
        <v>2</v>
      </c>
      <c r="Q6" s="2">
        <v>3</v>
      </c>
      <c r="R6" s="2">
        <v>4</v>
      </c>
      <c r="S6" s="2">
        <v>2</v>
      </c>
      <c r="T6" s="2">
        <v>0</v>
      </c>
      <c r="U6" s="2">
        <v>4</v>
      </c>
      <c r="V6" s="2">
        <v>3</v>
      </c>
      <c r="W6" s="2">
        <v>4</v>
      </c>
      <c r="X6" s="2">
        <v>4</v>
      </c>
      <c r="Y6" s="2">
        <v>3</v>
      </c>
      <c r="Z6" s="2">
        <v>1</v>
      </c>
      <c r="AA6" s="2">
        <v>5</v>
      </c>
      <c r="AB6" s="2">
        <v>3</v>
      </c>
      <c r="AC6" s="2">
        <v>0</v>
      </c>
      <c r="AD6" s="2">
        <v>1</v>
      </c>
      <c r="AE6" s="2">
        <v>0</v>
      </c>
      <c r="AF6" s="2">
        <v>3</v>
      </c>
      <c r="AG6" s="2">
        <v>2</v>
      </c>
      <c r="AH6" s="2">
        <v>0</v>
      </c>
      <c r="AI6" s="2">
        <v>1</v>
      </c>
      <c r="AJ6" s="2">
        <v>0</v>
      </c>
      <c r="AK6" s="2">
        <v>3</v>
      </c>
      <c r="AL6" s="2">
        <v>2</v>
      </c>
      <c r="AM6" s="2">
        <v>2</v>
      </c>
      <c r="AN6" s="2">
        <v>1</v>
      </c>
      <c r="AO6" s="2">
        <v>2</v>
      </c>
      <c r="AP6" s="2">
        <v>2</v>
      </c>
      <c r="AQ6" s="2">
        <v>2</v>
      </c>
      <c r="AR6" s="2">
        <v>2</v>
      </c>
      <c r="AS6" s="2">
        <v>3</v>
      </c>
      <c r="AT6" s="2">
        <v>2</v>
      </c>
      <c r="AU6" s="2">
        <v>2</v>
      </c>
      <c r="AV6" s="2">
        <v>0</v>
      </c>
      <c r="AW6" s="2">
        <v>0</v>
      </c>
      <c r="AX6" s="2">
        <v>1</v>
      </c>
      <c r="AY6" s="2">
        <v>2</v>
      </c>
      <c r="AZ6" s="2">
        <v>2</v>
      </c>
      <c r="BA6" s="2">
        <v>2</v>
      </c>
      <c r="BB6" s="2">
        <v>0</v>
      </c>
      <c r="BC6" s="2">
        <v>1</v>
      </c>
      <c r="BD6" s="2">
        <v>1</v>
      </c>
      <c r="BE6" s="2">
        <v>2</v>
      </c>
      <c r="BF6" s="2">
        <v>2</v>
      </c>
      <c r="BG6" s="2">
        <v>1</v>
      </c>
      <c r="BH6" s="2">
        <v>0</v>
      </c>
      <c r="BI6" s="2">
        <v>2</v>
      </c>
      <c r="BJ6" s="2">
        <v>2</v>
      </c>
      <c r="BK6" s="2">
        <v>0</v>
      </c>
      <c r="BL6" s="2">
        <v>5</v>
      </c>
      <c r="BM6" s="2">
        <v>2</v>
      </c>
      <c r="BN6" s="2">
        <v>2</v>
      </c>
      <c r="BO6" s="2">
        <v>2</v>
      </c>
      <c r="BP6" s="2">
        <v>2</v>
      </c>
      <c r="BQ6" s="2">
        <v>2</v>
      </c>
      <c r="BR6" s="2">
        <v>0</v>
      </c>
      <c r="BS6" s="2">
        <v>1</v>
      </c>
      <c r="BT6" s="2">
        <v>1</v>
      </c>
      <c r="BU6" s="2">
        <v>2</v>
      </c>
      <c r="BV6" s="2">
        <v>2</v>
      </c>
      <c r="BW6" s="2">
        <v>1</v>
      </c>
      <c r="BX6" s="2">
        <v>0</v>
      </c>
      <c r="BY6" s="2">
        <v>2</v>
      </c>
      <c r="BZ6" s="2">
        <v>2</v>
      </c>
      <c r="CA6" s="2">
        <v>2</v>
      </c>
      <c r="CB6" s="2">
        <v>0</v>
      </c>
      <c r="CC6" s="2">
        <v>2</v>
      </c>
      <c r="CD6" s="2">
        <v>2</v>
      </c>
      <c r="CE6" s="2">
        <v>2</v>
      </c>
      <c r="CF6" s="2">
        <v>1</v>
      </c>
      <c r="CG6" s="2">
        <v>0</v>
      </c>
      <c r="CH6" s="2">
        <v>1</v>
      </c>
      <c r="CI6" s="2">
        <v>0</v>
      </c>
      <c r="CJ6" s="2">
        <v>0</v>
      </c>
      <c r="CK6" s="2">
        <v>2</v>
      </c>
      <c r="CL6" s="2">
        <v>2</v>
      </c>
      <c r="CM6" s="2">
        <v>0</v>
      </c>
      <c r="CN6" s="2">
        <v>2</v>
      </c>
      <c r="CO6" s="2">
        <v>2</v>
      </c>
      <c r="CP6" s="2">
        <v>2</v>
      </c>
      <c r="CQ6" s="2">
        <v>2</v>
      </c>
      <c r="CR6" s="2">
        <v>1</v>
      </c>
      <c r="CS6" s="2">
        <v>1</v>
      </c>
      <c r="CT6" s="2">
        <v>2</v>
      </c>
      <c r="CU6" s="2">
        <v>2</v>
      </c>
      <c r="CV6" s="2">
        <v>1</v>
      </c>
      <c r="CW6" s="2">
        <v>2</v>
      </c>
      <c r="CX6" s="2">
        <v>0</v>
      </c>
      <c r="CY6" s="2">
        <v>0</v>
      </c>
      <c r="CZ6" s="2">
        <v>4</v>
      </c>
      <c r="DA6" s="2">
        <v>0</v>
      </c>
    </row>
    <row r="7" spans="1:105" ht="16.5" hidden="1" customHeight="1">
      <c r="A7" s="260" t="s">
        <v>675</v>
      </c>
      <c r="B7" s="260"/>
      <c r="C7" s="212"/>
      <c r="D7" s="2">
        <v>21</v>
      </c>
      <c r="E7" s="2">
        <v>2</v>
      </c>
      <c r="F7" s="2">
        <v>3</v>
      </c>
      <c r="G7" s="2">
        <v>1</v>
      </c>
      <c r="H7" s="2">
        <v>1</v>
      </c>
      <c r="I7" s="2">
        <v>0</v>
      </c>
      <c r="J7" s="2">
        <v>0</v>
      </c>
      <c r="K7" s="2">
        <v>0</v>
      </c>
      <c r="L7" s="2">
        <v>1</v>
      </c>
      <c r="M7" s="2">
        <v>1</v>
      </c>
      <c r="N7" s="2">
        <v>0</v>
      </c>
      <c r="O7" s="2">
        <v>1</v>
      </c>
      <c r="P7" s="2">
        <v>0</v>
      </c>
      <c r="Q7" s="2">
        <v>0</v>
      </c>
      <c r="R7" s="2">
        <v>1</v>
      </c>
      <c r="S7" s="2">
        <v>0</v>
      </c>
      <c r="T7" s="2">
        <v>0</v>
      </c>
      <c r="U7" s="2">
        <v>1</v>
      </c>
      <c r="V7" s="2">
        <v>0</v>
      </c>
      <c r="W7" s="2">
        <v>1</v>
      </c>
      <c r="X7" s="2">
        <v>1</v>
      </c>
      <c r="Y7" s="2">
        <v>1</v>
      </c>
      <c r="Z7" s="2">
        <v>0</v>
      </c>
      <c r="AA7" s="2">
        <v>1</v>
      </c>
      <c r="AB7" s="2">
        <v>1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1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1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1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1</v>
      </c>
      <c r="DA7" s="2">
        <v>0</v>
      </c>
    </row>
    <row r="8" spans="1:105" ht="16.5" hidden="1" customHeight="1">
      <c r="A8" s="260" t="s">
        <v>676</v>
      </c>
      <c r="B8" s="260"/>
      <c r="C8" s="212"/>
      <c r="D8" s="2">
        <v>65</v>
      </c>
      <c r="E8" s="2">
        <v>0</v>
      </c>
      <c r="F8" s="2">
        <v>0</v>
      </c>
      <c r="G8" s="2">
        <v>1</v>
      </c>
      <c r="H8" s="2">
        <v>0</v>
      </c>
      <c r="I8" s="2">
        <v>1</v>
      </c>
      <c r="J8" s="2">
        <v>1</v>
      </c>
      <c r="K8" s="2">
        <v>1</v>
      </c>
      <c r="L8" s="2">
        <v>0</v>
      </c>
      <c r="M8" s="2">
        <v>0</v>
      </c>
      <c r="N8" s="2">
        <v>1</v>
      </c>
      <c r="O8" s="2">
        <v>0</v>
      </c>
      <c r="P8" s="2">
        <v>1</v>
      </c>
      <c r="Q8" s="2">
        <v>1</v>
      </c>
      <c r="R8" s="2">
        <v>0</v>
      </c>
      <c r="S8" s="2">
        <v>1</v>
      </c>
      <c r="T8" s="2">
        <v>0</v>
      </c>
      <c r="U8" s="2">
        <v>0</v>
      </c>
      <c r="V8" s="2">
        <v>1</v>
      </c>
      <c r="W8" s="2">
        <v>0</v>
      </c>
      <c r="X8" s="2">
        <v>0</v>
      </c>
      <c r="Y8" s="2">
        <v>0</v>
      </c>
      <c r="Z8" s="2">
        <v>1</v>
      </c>
      <c r="AA8" s="2">
        <v>0</v>
      </c>
      <c r="AB8" s="2">
        <v>0</v>
      </c>
      <c r="AC8" s="2">
        <v>0</v>
      </c>
      <c r="AD8" s="2">
        <v>1</v>
      </c>
      <c r="AE8" s="2">
        <v>0</v>
      </c>
      <c r="AF8" s="2">
        <v>1</v>
      </c>
      <c r="AG8" s="2">
        <v>1</v>
      </c>
      <c r="AH8" s="2">
        <v>0</v>
      </c>
      <c r="AI8" s="2">
        <v>1</v>
      </c>
      <c r="AJ8" s="2">
        <v>0</v>
      </c>
      <c r="AK8" s="2">
        <v>0</v>
      </c>
      <c r="AL8" s="2">
        <v>1</v>
      </c>
      <c r="AM8" s="2">
        <v>1</v>
      </c>
      <c r="AN8" s="2">
        <v>1</v>
      </c>
      <c r="AO8" s="2">
        <v>1</v>
      </c>
      <c r="AP8" s="2">
        <v>1</v>
      </c>
      <c r="AQ8" s="2">
        <v>1</v>
      </c>
      <c r="AR8" s="2">
        <v>1</v>
      </c>
      <c r="AS8" s="2">
        <v>1</v>
      </c>
      <c r="AT8" s="2">
        <v>1</v>
      </c>
      <c r="AU8" s="2">
        <v>1</v>
      </c>
      <c r="AV8" s="2">
        <v>0</v>
      </c>
      <c r="AW8" s="2">
        <v>0</v>
      </c>
      <c r="AX8" s="2">
        <v>1</v>
      </c>
      <c r="AY8" s="2">
        <v>1</v>
      </c>
      <c r="AZ8" s="2">
        <v>1</v>
      </c>
      <c r="BA8" s="2">
        <v>1</v>
      </c>
      <c r="BB8" s="2">
        <v>0</v>
      </c>
      <c r="BC8" s="2">
        <v>1</v>
      </c>
      <c r="BD8" s="2">
        <v>1</v>
      </c>
      <c r="BE8" s="2">
        <v>0</v>
      </c>
      <c r="BF8" s="2">
        <v>1</v>
      </c>
      <c r="BG8" s="2">
        <v>1</v>
      </c>
      <c r="BH8" s="2">
        <v>0</v>
      </c>
      <c r="BI8" s="2">
        <v>1</v>
      </c>
      <c r="BJ8" s="2">
        <v>1</v>
      </c>
      <c r="BK8" s="2">
        <v>0</v>
      </c>
      <c r="BL8" s="2">
        <v>0</v>
      </c>
      <c r="BM8" s="2">
        <v>1</v>
      </c>
      <c r="BN8" s="2">
        <v>1</v>
      </c>
      <c r="BO8" s="2">
        <v>1</v>
      </c>
      <c r="BP8" s="2">
        <v>1</v>
      </c>
      <c r="BQ8" s="2">
        <v>1</v>
      </c>
      <c r="BR8" s="2">
        <v>0</v>
      </c>
      <c r="BS8" s="2">
        <v>1</v>
      </c>
      <c r="BT8" s="2">
        <v>1</v>
      </c>
      <c r="BU8" s="2">
        <v>1</v>
      </c>
      <c r="BV8" s="2">
        <v>1</v>
      </c>
      <c r="BW8" s="2">
        <v>1</v>
      </c>
      <c r="BX8" s="2">
        <v>0</v>
      </c>
      <c r="BY8" s="2">
        <v>1</v>
      </c>
      <c r="BZ8" s="2">
        <v>1</v>
      </c>
      <c r="CA8" s="2">
        <v>1</v>
      </c>
      <c r="CB8" s="2">
        <v>0</v>
      </c>
      <c r="CC8" s="2">
        <v>1</v>
      </c>
      <c r="CD8" s="2">
        <v>1</v>
      </c>
      <c r="CE8" s="2">
        <v>1</v>
      </c>
      <c r="CF8" s="2">
        <v>1</v>
      </c>
      <c r="CG8" s="2">
        <v>0</v>
      </c>
      <c r="CH8" s="2">
        <v>1</v>
      </c>
      <c r="CI8" s="2">
        <v>0</v>
      </c>
      <c r="CJ8" s="2">
        <v>0</v>
      </c>
      <c r="CK8" s="2">
        <v>1</v>
      </c>
      <c r="CL8" s="2">
        <v>1</v>
      </c>
      <c r="CM8" s="2">
        <v>0</v>
      </c>
      <c r="CN8" s="2">
        <v>1</v>
      </c>
      <c r="CO8" s="2">
        <v>1</v>
      </c>
      <c r="CP8" s="2">
        <v>1</v>
      </c>
      <c r="CQ8" s="2">
        <v>1</v>
      </c>
      <c r="CR8" s="2">
        <v>1</v>
      </c>
      <c r="CS8" s="2">
        <v>1</v>
      </c>
      <c r="CT8" s="2">
        <v>1</v>
      </c>
      <c r="CU8" s="2">
        <v>1</v>
      </c>
      <c r="CV8" s="2">
        <v>1</v>
      </c>
      <c r="CW8" s="2">
        <v>1</v>
      </c>
      <c r="CX8" s="2">
        <v>0</v>
      </c>
      <c r="CY8" s="2">
        <v>0</v>
      </c>
      <c r="CZ8" s="2">
        <v>1</v>
      </c>
      <c r="DA8" s="2">
        <v>0</v>
      </c>
    </row>
    <row r="9" spans="1:105" ht="16.5" hidden="1" customHeight="1">
      <c r="A9" s="260" t="s">
        <v>677</v>
      </c>
      <c r="B9" s="260"/>
      <c r="C9" s="212"/>
      <c r="D9" s="2">
        <v>1</v>
      </c>
      <c r="E9" s="2">
        <v>0</v>
      </c>
      <c r="F9" s="2">
        <v>1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</row>
    <row r="10" spans="1:105" ht="16.5" hidden="1" customHeight="1">
      <c r="A10" s="260" t="s">
        <v>4</v>
      </c>
      <c r="B10" s="260"/>
      <c r="C10" s="212"/>
      <c r="D10" s="2">
        <v>46</v>
      </c>
      <c r="E10" s="2">
        <v>0</v>
      </c>
      <c r="F10" s="2">
        <v>2</v>
      </c>
      <c r="G10" s="2">
        <v>1</v>
      </c>
      <c r="H10" s="2">
        <v>0</v>
      </c>
      <c r="I10" s="2">
        <v>1</v>
      </c>
      <c r="J10" s="2">
        <v>0</v>
      </c>
      <c r="K10" s="2">
        <v>1</v>
      </c>
      <c r="L10" s="2">
        <v>1</v>
      </c>
      <c r="M10" s="2">
        <v>0</v>
      </c>
      <c r="N10" s="2">
        <v>0</v>
      </c>
      <c r="O10" s="2">
        <v>2</v>
      </c>
      <c r="P10" s="2">
        <v>1</v>
      </c>
      <c r="Q10" s="2">
        <v>0</v>
      </c>
      <c r="R10" s="2">
        <v>0</v>
      </c>
      <c r="S10" s="2">
        <v>1</v>
      </c>
      <c r="T10" s="2">
        <v>2</v>
      </c>
      <c r="U10" s="2">
        <v>1</v>
      </c>
      <c r="V10" s="2">
        <v>1</v>
      </c>
      <c r="W10" s="2">
        <v>1</v>
      </c>
      <c r="X10" s="2">
        <v>0</v>
      </c>
      <c r="Y10" s="2">
        <v>0</v>
      </c>
      <c r="Z10" s="2">
        <v>2</v>
      </c>
      <c r="AA10" s="2">
        <v>0</v>
      </c>
      <c r="AB10" s="2">
        <v>1</v>
      </c>
      <c r="AC10" s="2">
        <v>2</v>
      </c>
      <c r="AD10" s="2">
        <v>0</v>
      </c>
      <c r="AE10" s="2">
        <v>0</v>
      </c>
      <c r="AF10" s="2">
        <v>0</v>
      </c>
      <c r="AG10" s="2">
        <v>0</v>
      </c>
      <c r="AH10" s="2">
        <v>1</v>
      </c>
      <c r="AI10" s="2">
        <v>0</v>
      </c>
      <c r="AJ10" s="2">
        <v>0</v>
      </c>
      <c r="AK10" s="2">
        <v>0</v>
      </c>
      <c r="AL10" s="2">
        <v>1</v>
      </c>
      <c r="AM10" s="2">
        <v>0</v>
      </c>
      <c r="AN10" s="2">
        <v>0</v>
      </c>
      <c r="AO10" s="2">
        <v>0</v>
      </c>
      <c r="AP10" s="2">
        <v>2</v>
      </c>
      <c r="AQ10" s="2">
        <v>1</v>
      </c>
      <c r="AR10" s="2">
        <v>1</v>
      </c>
      <c r="AS10" s="2">
        <v>1</v>
      </c>
      <c r="AT10" s="2">
        <v>0</v>
      </c>
      <c r="AU10" s="2">
        <v>0</v>
      </c>
      <c r="AV10" s="2">
        <v>0</v>
      </c>
      <c r="AW10" s="2">
        <v>0</v>
      </c>
      <c r="AX10" s="2">
        <v>1</v>
      </c>
      <c r="AY10" s="2">
        <v>0</v>
      </c>
      <c r="AZ10" s="2">
        <v>1</v>
      </c>
      <c r="BA10" s="2">
        <v>0</v>
      </c>
      <c r="BB10" s="2">
        <v>0</v>
      </c>
      <c r="BC10" s="2">
        <v>0</v>
      </c>
      <c r="BD10" s="2">
        <v>0</v>
      </c>
      <c r="BE10" s="2">
        <v>1</v>
      </c>
      <c r="BF10" s="2">
        <v>1</v>
      </c>
      <c r="BG10" s="2">
        <v>0</v>
      </c>
      <c r="BH10" s="2">
        <v>0</v>
      </c>
      <c r="BI10" s="2">
        <v>0</v>
      </c>
      <c r="BJ10" s="2">
        <v>0</v>
      </c>
      <c r="BK10" s="2">
        <v>1</v>
      </c>
      <c r="BL10" s="2">
        <v>1</v>
      </c>
      <c r="BM10" s="2">
        <v>0</v>
      </c>
      <c r="BN10" s="2">
        <v>0</v>
      </c>
      <c r="BO10" s="2">
        <v>1</v>
      </c>
      <c r="BP10" s="2">
        <v>0</v>
      </c>
      <c r="BQ10" s="2">
        <v>0</v>
      </c>
      <c r="BR10" s="2">
        <v>1</v>
      </c>
      <c r="BS10" s="2">
        <v>0</v>
      </c>
      <c r="BT10" s="2">
        <v>0</v>
      </c>
      <c r="BU10" s="2">
        <v>0</v>
      </c>
      <c r="BV10" s="2">
        <v>0</v>
      </c>
      <c r="BW10" s="2">
        <v>1</v>
      </c>
      <c r="BX10" s="2">
        <v>0</v>
      </c>
      <c r="BY10" s="2">
        <v>0</v>
      </c>
      <c r="BZ10" s="2">
        <v>0</v>
      </c>
      <c r="CA10" s="2">
        <v>1</v>
      </c>
      <c r="CB10" s="2">
        <v>0</v>
      </c>
      <c r="CC10" s="2">
        <v>0</v>
      </c>
      <c r="CD10" s="2">
        <v>0</v>
      </c>
      <c r="CE10" s="2">
        <v>1</v>
      </c>
      <c r="CF10" s="2">
        <v>0</v>
      </c>
      <c r="CG10" s="2">
        <v>0</v>
      </c>
      <c r="CH10" s="2">
        <v>0</v>
      </c>
      <c r="CI10" s="2">
        <v>1</v>
      </c>
      <c r="CJ10" s="2">
        <v>1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1</v>
      </c>
      <c r="CR10" s="2">
        <v>1</v>
      </c>
      <c r="CS10" s="2">
        <v>0</v>
      </c>
      <c r="CT10" s="2">
        <v>1</v>
      </c>
      <c r="CU10" s="2">
        <v>0</v>
      </c>
      <c r="CV10" s="2">
        <v>1</v>
      </c>
      <c r="CW10" s="2">
        <v>0</v>
      </c>
      <c r="CX10" s="2">
        <v>1</v>
      </c>
      <c r="CY10" s="2">
        <v>0</v>
      </c>
      <c r="CZ10" s="2">
        <v>1</v>
      </c>
      <c r="DA10" s="2">
        <v>0</v>
      </c>
    </row>
    <row r="11" spans="1:105" ht="16.5" hidden="1" customHeight="1">
      <c r="A11" s="260" t="s">
        <v>5</v>
      </c>
      <c r="B11" s="260"/>
      <c r="C11" s="212"/>
      <c r="D11" s="2">
        <v>2310</v>
      </c>
      <c r="E11" s="2">
        <v>29</v>
      </c>
      <c r="F11" s="2">
        <v>126</v>
      </c>
      <c r="G11" s="2">
        <v>49</v>
      </c>
      <c r="H11" s="2">
        <v>38</v>
      </c>
      <c r="I11" s="2">
        <v>79</v>
      </c>
      <c r="J11" s="2">
        <v>14</v>
      </c>
      <c r="K11" s="2">
        <v>16</v>
      </c>
      <c r="L11" s="2">
        <v>36</v>
      </c>
      <c r="M11" s="2">
        <v>44</v>
      </c>
      <c r="N11" s="2">
        <v>14</v>
      </c>
      <c r="O11" s="2">
        <v>52</v>
      </c>
      <c r="P11" s="2">
        <v>15</v>
      </c>
      <c r="Q11" s="2">
        <v>39</v>
      </c>
      <c r="R11" s="2">
        <v>47</v>
      </c>
      <c r="S11" s="2">
        <v>15</v>
      </c>
      <c r="T11" s="2">
        <v>16</v>
      </c>
      <c r="U11" s="2">
        <v>41</v>
      </c>
      <c r="V11" s="2">
        <v>89</v>
      </c>
      <c r="W11" s="2">
        <v>68</v>
      </c>
      <c r="X11" s="2">
        <v>14</v>
      </c>
      <c r="Y11" s="2">
        <v>33</v>
      </c>
      <c r="Z11" s="2">
        <v>17</v>
      </c>
      <c r="AA11" s="2">
        <v>32</v>
      </c>
      <c r="AB11" s="2">
        <v>35</v>
      </c>
      <c r="AC11" s="2">
        <v>17</v>
      </c>
      <c r="AD11" s="2">
        <v>21</v>
      </c>
      <c r="AE11" s="2">
        <v>15</v>
      </c>
      <c r="AF11" s="2">
        <v>18</v>
      </c>
      <c r="AG11" s="2">
        <v>18</v>
      </c>
      <c r="AH11" s="2">
        <v>14</v>
      </c>
      <c r="AI11" s="2">
        <v>14</v>
      </c>
      <c r="AJ11" s="2">
        <v>12</v>
      </c>
      <c r="AK11" s="2">
        <v>29</v>
      </c>
      <c r="AL11" s="2">
        <v>17</v>
      </c>
      <c r="AM11" s="2">
        <v>14</v>
      </c>
      <c r="AN11" s="2">
        <v>14</v>
      </c>
      <c r="AO11" s="2">
        <v>14</v>
      </c>
      <c r="AP11" s="2">
        <v>19</v>
      </c>
      <c r="AQ11" s="2">
        <v>22</v>
      </c>
      <c r="AR11" s="2">
        <v>17</v>
      </c>
      <c r="AS11" s="2">
        <v>17</v>
      </c>
      <c r="AT11" s="2">
        <v>36</v>
      </c>
      <c r="AU11" s="2">
        <v>16</v>
      </c>
      <c r="AV11" s="2">
        <v>14</v>
      </c>
      <c r="AW11" s="2">
        <v>12</v>
      </c>
      <c r="AX11" s="2">
        <v>16</v>
      </c>
      <c r="AY11" s="2">
        <v>16</v>
      </c>
      <c r="AZ11" s="2">
        <v>17</v>
      </c>
      <c r="BA11" s="2">
        <v>18</v>
      </c>
      <c r="BB11" s="2">
        <v>10</v>
      </c>
      <c r="BC11" s="2">
        <v>15</v>
      </c>
      <c r="BD11" s="2">
        <v>14</v>
      </c>
      <c r="BE11" s="2">
        <v>54</v>
      </c>
      <c r="BF11" s="2">
        <v>17</v>
      </c>
      <c r="BG11" s="2">
        <v>18</v>
      </c>
      <c r="BH11" s="2">
        <v>13</v>
      </c>
      <c r="BI11" s="2">
        <v>16</v>
      </c>
      <c r="BJ11" s="2">
        <v>16</v>
      </c>
      <c r="BK11" s="2">
        <v>14</v>
      </c>
      <c r="BL11" s="2">
        <v>34</v>
      </c>
      <c r="BM11" s="2">
        <v>14</v>
      </c>
      <c r="BN11" s="2">
        <v>16</v>
      </c>
      <c r="BO11" s="2">
        <v>17</v>
      </c>
      <c r="BP11" s="2">
        <v>14</v>
      </c>
      <c r="BQ11" s="2">
        <v>21</v>
      </c>
      <c r="BR11" s="2">
        <v>14</v>
      </c>
      <c r="BS11" s="2">
        <v>14</v>
      </c>
      <c r="BT11" s="2">
        <v>14</v>
      </c>
      <c r="BU11" s="2">
        <v>17</v>
      </c>
      <c r="BV11" s="2">
        <v>17</v>
      </c>
      <c r="BW11" s="2">
        <v>15</v>
      </c>
      <c r="BX11" s="2">
        <v>15</v>
      </c>
      <c r="BY11" s="2">
        <v>19</v>
      </c>
      <c r="BZ11" s="2">
        <v>16</v>
      </c>
      <c r="CA11" s="2">
        <v>19</v>
      </c>
      <c r="CB11" s="2">
        <v>13</v>
      </c>
      <c r="CC11" s="2">
        <v>16</v>
      </c>
      <c r="CD11" s="2">
        <v>14</v>
      </c>
      <c r="CE11" s="2">
        <v>17</v>
      </c>
      <c r="CF11" s="2">
        <v>18</v>
      </c>
      <c r="CG11" s="2">
        <v>15</v>
      </c>
      <c r="CH11" s="2">
        <v>16</v>
      </c>
      <c r="CI11" s="2">
        <v>16</v>
      </c>
      <c r="CJ11" s="2">
        <v>23</v>
      </c>
      <c r="CK11" s="2">
        <v>16</v>
      </c>
      <c r="CL11" s="2">
        <v>16</v>
      </c>
      <c r="CM11" s="2">
        <v>15</v>
      </c>
      <c r="CN11" s="2">
        <v>17</v>
      </c>
      <c r="CO11" s="2">
        <v>16</v>
      </c>
      <c r="CP11" s="2">
        <v>16</v>
      </c>
      <c r="CQ11" s="2">
        <v>17</v>
      </c>
      <c r="CR11" s="2">
        <v>18</v>
      </c>
      <c r="CS11" s="2">
        <v>14</v>
      </c>
      <c r="CT11" s="2">
        <v>17</v>
      </c>
      <c r="CU11" s="2">
        <v>16</v>
      </c>
      <c r="CV11" s="2">
        <v>17</v>
      </c>
      <c r="CW11" s="2">
        <v>14</v>
      </c>
      <c r="CX11" s="2">
        <v>14</v>
      </c>
      <c r="CY11" s="2">
        <v>13</v>
      </c>
      <c r="CZ11" s="2">
        <v>51</v>
      </c>
      <c r="DA11" s="2">
        <v>17</v>
      </c>
    </row>
    <row r="12" spans="1:105" s="6" customFormat="1">
      <c r="A12" s="266" t="s">
        <v>6</v>
      </c>
      <c r="B12" s="266"/>
      <c r="C12" s="21"/>
      <c r="D12" s="5" t="s">
        <v>7</v>
      </c>
      <c r="E12" s="5" t="s">
        <v>8</v>
      </c>
      <c r="F12" s="5" t="s">
        <v>9</v>
      </c>
      <c r="G12" s="5" t="s">
        <v>10</v>
      </c>
      <c r="H12" s="5" t="s">
        <v>11</v>
      </c>
      <c r="I12" s="5" t="s">
        <v>12</v>
      </c>
      <c r="J12" s="5" t="s">
        <v>13</v>
      </c>
      <c r="K12" s="5" t="s">
        <v>14</v>
      </c>
      <c r="L12" s="5" t="s">
        <v>15</v>
      </c>
      <c r="M12" s="5" t="s">
        <v>16</v>
      </c>
      <c r="N12" s="5" t="s">
        <v>17</v>
      </c>
      <c r="O12" s="5" t="s">
        <v>18</v>
      </c>
      <c r="P12" s="5" t="s">
        <v>19</v>
      </c>
      <c r="Q12" s="5" t="s">
        <v>20</v>
      </c>
      <c r="R12" s="5" t="s">
        <v>21</v>
      </c>
      <c r="S12" s="5" t="s">
        <v>22</v>
      </c>
      <c r="T12" s="5" t="s">
        <v>23</v>
      </c>
      <c r="U12" s="5" t="s">
        <v>24</v>
      </c>
      <c r="V12" s="5" t="s">
        <v>25</v>
      </c>
      <c r="W12" s="5" t="s">
        <v>26</v>
      </c>
      <c r="X12" s="5" t="s">
        <v>27</v>
      </c>
      <c r="Y12" s="5" t="s">
        <v>28</v>
      </c>
      <c r="Z12" s="5" t="s">
        <v>29</v>
      </c>
      <c r="AA12" s="5" t="s">
        <v>30</v>
      </c>
      <c r="AB12" s="5" t="s">
        <v>31</v>
      </c>
      <c r="AC12" s="5" t="s">
        <v>32</v>
      </c>
      <c r="AD12" s="5" t="s">
        <v>33</v>
      </c>
      <c r="AE12" s="5" t="s">
        <v>34</v>
      </c>
      <c r="AF12" s="5" t="s">
        <v>35</v>
      </c>
      <c r="AG12" s="5" t="s">
        <v>36</v>
      </c>
      <c r="AH12" s="5" t="s">
        <v>37</v>
      </c>
      <c r="AI12" s="5" t="s">
        <v>38</v>
      </c>
      <c r="AJ12" s="5" t="s">
        <v>39</v>
      </c>
      <c r="AK12" s="5" t="s">
        <v>40</v>
      </c>
      <c r="AL12" s="5" t="s">
        <v>41</v>
      </c>
      <c r="AM12" s="5" t="s">
        <v>42</v>
      </c>
      <c r="AN12" s="5" t="s">
        <v>43</v>
      </c>
      <c r="AO12" s="5" t="s">
        <v>44</v>
      </c>
      <c r="AP12" s="5" t="s">
        <v>45</v>
      </c>
      <c r="AQ12" s="5" t="s">
        <v>46</v>
      </c>
      <c r="AR12" s="5" t="s">
        <v>47</v>
      </c>
      <c r="AS12" s="5" t="s">
        <v>48</v>
      </c>
      <c r="AT12" s="5" t="s">
        <v>49</v>
      </c>
      <c r="AU12" s="5" t="s">
        <v>50</v>
      </c>
      <c r="AV12" s="5" t="s">
        <v>51</v>
      </c>
      <c r="AW12" s="5" t="s">
        <v>52</v>
      </c>
      <c r="AX12" s="5" t="s">
        <v>53</v>
      </c>
      <c r="AY12" s="5" t="s">
        <v>54</v>
      </c>
      <c r="AZ12" s="5" t="s">
        <v>55</v>
      </c>
      <c r="BA12" s="5" t="s">
        <v>56</v>
      </c>
      <c r="BB12" s="5" t="s">
        <v>57</v>
      </c>
      <c r="BC12" s="5" t="s">
        <v>58</v>
      </c>
      <c r="BD12" s="5" t="s">
        <v>59</v>
      </c>
      <c r="BE12" s="5" t="s">
        <v>60</v>
      </c>
      <c r="BF12" s="5" t="s">
        <v>61</v>
      </c>
      <c r="BG12" s="5" t="s">
        <v>62</v>
      </c>
      <c r="BH12" s="5" t="s">
        <v>63</v>
      </c>
      <c r="BI12" s="5" t="s">
        <v>64</v>
      </c>
      <c r="BJ12" s="5" t="s">
        <v>65</v>
      </c>
      <c r="BK12" s="5" t="s">
        <v>66</v>
      </c>
      <c r="BL12" s="5" t="s">
        <v>67</v>
      </c>
      <c r="BM12" s="5" t="s">
        <v>68</v>
      </c>
      <c r="BN12" s="5" t="s">
        <v>69</v>
      </c>
      <c r="BO12" s="5" t="s">
        <v>70</v>
      </c>
      <c r="BP12" s="5" t="s">
        <v>71</v>
      </c>
      <c r="BQ12" s="5" t="s">
        <v>72</v>
      </c>
      <c r="BR12" s="5" t="s">
        <v>73</v>
      </c>
      <c r="BS12" s="5" t="s">
        <v>74</v>
      </c>
      <c r="BT12" s="5" t="s">
        <v>75</v>
      </c>
      <c r="BU12" s="5" t="s">
        <v>76</v>
      </c>
      <c r="BV12" s="5" t="s">
        <v>77</v>
      </c>
      <c r="BW12" s="5" t="s">
        <v>78</v>
      </c>
      <c r="BX12" s="5" t="s">
        <v>79</v>
      </c>
      <c r="BY12" s="5" t="s">
        <v>80</v>
      </c>
      <c r="BZ12" s="5" t="s">
        <v>81</v>
      </c>
      <c r="CA12" s="5" t="s">
        <v>82</v>
      </c>
      <c r="CB12" s="5" t="s">
        <v>83</v>
      </c>
      <c r="CC12" s="5" t="s">
        <v>84</v>
      </c>
      <c r="CD12" s="5" t="s">
        <v>85</v>
      </c>
      <c r="CE12" s="5" t="s">
        <v>86</v>
      </c>
      <c r="CF12" s="5" t="s">
        <v>87</v>
      </c>
      <c r="CG12" s="5" t="s">
        <v>88</v>
      </c>
      <c r="CH12" s="5" t="s">
        <v>89</v>
      </c>
      <c r="CI12" s="5" t="s">
        <v>90</v>
      </c>
      <c r="CJ12" s="5" t="s">
        <v>91</v>
      </c>
      <c r="CK12" s="5" t="s">
        <v>92</v>
      </c>
      <c r="CL12" s="5" t="s">
        <v>93</v>
      </c>
      <c r="CM12" s="5" t="s">
        <v>94</v>
      </c>
      <c r="CN12" s="5" t="s">
        <v>95</v>
      </c>
      <c r="CO12" s="5" t="s">
        <v>96</v>
      </c>
      <c r="CP12" s="5" t="s">
        <v>97</v>
      </c>
      <c r="CQ12" s="5" t="s">
        <v>98</v>
      </c>
      <c r="CR12" s="5" t="s">
        <v>99</v>
      </c>
      <c r="CS12" s="5" t="s">
        <v>100</v>
      </c>
      <c r="CT12" s="5" t="s">
        <v>101</v>
      </c>
      <c r="CU12" s="5" t="s">
        <v>102</v>
      </c>
      <c r="CV12" s="5" t="s">
        <v>103</v>
      </c>
      <c r="CW12" s="5" t="s">
        <v>104</v>
      </c>
      <c r="CX12" s="5" t="s">
        <v>105</v>
      </c>
      <c r="CY12" s="5" t="s">
        <v>106</v>
      </c>
      <c r="CZ12" s="5" t="s">
        <v>107</v>
      </c>
      <c r="DA12" s="5" t="s">
        <v>108</v>
      </c>
    </row>
    <row r="13" spans="1:105">
      <c r="A13" s="260" t="s">
        <v>109</v>
      </c>
      <c r="B13" s="260"/>
      <c r="C13" s="21" t="s">
        <v>110</v>
      </c>
      <c r="D13" s="2">
        <f>D46+D68+D74+D75+D78</f>
        <v>3728419000</v>
      </c>
      <c r="E13" s="2">
        <f t="shared" ref="E13:BP13" si="0">E46+E68+E74+E75+E78</f>
        <v>54750000</v>
      </c>
      <c r="F13" s="2">
        <f t="shared" si="0"/>
        <v>227328000</v>
      </c>
      <c r="G13" s="2">
        <f t="shared" si="0"/>
        <v>96069000</v>
      </c>
      <c r="H13" s="2">
        <f t="shared" si="0"/>
        <v>65387000</v>
      </c>
      <c r="I13" s="2">
        <f t="shared" si="0"/>
        <v>138156000</v>
      </c>
      <c r="J13" s="2">
        <f t="shared" si="0"/>
        <v>29276000</v>
      </c>
      <c r="K13" s="2">
        <f t="shared" si="0"/>
        <v>37189000</v>
      </c>
      <c r="L13" s="2">
        <f t="shared" si="0"/>
        <v>60879000</v>
      </c>
      <c r="M13" s="2">
        <f t="shared" si="0"/>
        <v>77324000</v>
      </c>
      <c r="N13" s="2">
        <f t="shared" si="0"/>
        <v>25733000</v>
      </c>
      <c r="O13" s="2">
        <f t="shared" si="0"/>
        <v>95288000</v>
      </c>
      <c r="P13" s="2">
        <f t="shared" si="0"/>
        <v>28253000</v>
      </c>
      <c r="Q13" s="2">
        <f t="shared" si="0"/>
        <v>49385000</v>
      </c>
      <c r="R13" s="2">
        <f t="shared" si="0"/>
        <v>75745000</v>
      </c>
      <c r="S13" s="2">
        <f t="shared" si="0"/>
        <v>28201000</v>
      </c>
      <c r="T13" s="2">
        <f t="shared" si="0"/>
        <v>26577000</v>
      </c>
      <c r="U13" s="2">
        <f t="shared" si="0"/>
        <v>61556000</v>
      </c>
      <c r="V13" s="2">
        <f t="shared" si="0"/>
        <v>151264000</v>
      </c>
      <c r="W13" s="2">
        <f t="shared" si="0"/>
        <v>109675000</v>
      </c>
      <c r="X13" s="2">
        <f t="shared" si="0"/>
        <v>32044000</v>
      </c>
      <c r="Y13" s="2">
        <f t="shared" si="0"/>
        <v>56807000</v>
      </c>
      <c r="Z13" s="2">
        <f t="shared" si="0"/>
        <v>30704000</v>
      </c>
      <c r="AA13" s="2">
        <f t="shared" si="0"/>
        <v>56755000</v>
      </c>
      <c r="AB13" s="2">
        <f t="shared" si="0"/>
        <v>68483000</v>
      </c>
      <c r="AC13" s="2">
        <f t="shared" si="0"/>
        <v>25564000</v>
      </c>
      <c r="AD13" s="2">
        <f t="shared" si="0"/>
        <v>34684000</v>
      </c>
      <c r="AE13" s="2">
        <f t="shared" si="0"/>
        <v>23016000</v>
      </c>
      <c r="AF13" s="2">
        <f t="shared" si="0"/>
        <v>26554000</v>
      </c>
      <c r="AG13" s="2">
        <f t="shared" si="0"/>
        <v>29661000</v>
      </c>
      <c r="AH13" s="2">
        <f t="shared" si="0"/>
        <v>22068000</v>
      </c>
      <c r="AI13" s="2">
        <f t="shared" si="0"/>
        <v>24116000</v>
      </c>
      <c r="AJ13" s="2">
        <f t="shared" si="0"/>
        <v>20882000</v>
      </c>
      <c r="AK13" s="2">
        <f t="shared" si="0"/>
        <v>50748000</v>
      </c>
      <c r="AL13" s="2">
        <f t="shared" si="0"/>
        <v>25559000</v>
      </c>
      <c r="AM13" s="2">
        <f t="shared" si="0"/>
        <v>21051000</v>
      </c>
      <c r="AN13" s="2">
        <f t="shared" si="0"/>
        <v>25392000</v>
      </c>
      <c r="AO13" s="2">
        <f t="shared" si="0"/>
        <v>24141000</v>
      </c>
      <c r="AP13" s="2">
        <f t="shared" si="0"/>
        <v>30974000</v>
      </c>
      <c r="AQ13" s="2">
        <f t="shared" si="0"/>
        <v>34933000</v>
      </c>
      <c r="AR13" s="2">
        <f t="shared" si="0"/>
        <v>29111000</v>
      </c>
      <c r="AS13" s="2">
        <f t="shared" si="0"/>
        <v>30401000</v>
      </c>
      <c r="AT13" s="2">
        <f t="shared" si="0"/>
        <v>52018000</v>
      </c>
      <c r="AU13" s="2">
        <f t="shared" si="0"/>
        <v>23809000</v>
      </c>
      <c r="AV13" s="2">
        <f t="shared" si="0"/>
        <v>15562000</v>
      </c>
      <c r="AW13" s="2">
        <f t="shared" si="0"/>
        <v>16365000</v>
      </c>
      <c r="AX13" s="2">
        <f t="shared" si="0"/>
        <v>22724000</v>
      </c>
      <c r="AY13" s="2">
        <f t="shared" si="0"/>
        <v>22986000</v>
      </c>
      <c r="AZ13" s="2">
        <f t="shared" si="0"/>
        <v>20831000</v>
      </c>
      <c r="BA13" s="2">
        <f t="shared" si="0"/>
        <v>25946000</v>
      </c>
      <c r="BB13" s="2">
        <f t="shared" si="0"/>
        <v>14007000</v>
      </c>
      <c r="BC13" s="2">
        <f t="shared" si="0"/>
        <v>19797000</v>
      </c>
      <c r="BD13" s="2">
        <f t="shared" si="0"/>
        <v>20475000</v>
      </c>
      <c r="BE13" s="2">
        <f t="shared" si="0"/>
        <v>78656000</v>
      </c>
      <c r="BF13" s="2">
        <f t="shared" si="0"/>
        <v>26376000</v>
      </c>
      <c r="BG13" s="2">
        <f t="shared" si="0"/>
        <v>25603000</v>
      </c>
      <c r="BH13" s="2">
        <f t="shared" si="0"/>
        <v>17094000</v>
      </c>
      <c r="BI13" s="2">
        <f t="shared" si="0"/>
        <v>17949000</v>
      </c>
      <c r="BJ13" s="2">
        <f t="shared" si="0"/>
        <v>20160000</v>
      </c>
      <c r="BK13" s="2">
        <f t="shared" si="0"/>
        <v>15299000</v>
      </c>
      <c r="BL13" s="2">
        <f t="shared" si="0"/>
        <v>52769000</v>
      </c>
      <c r="BM13" s="2">
        <f t="shared" si="0"/>
        <v>17542000</v>
      </c>
      <c r="BN13" s="2">
        <f t="shared" si="0"/>
        <v>25013000</v>
      </c>
      <c r="BO13" s="2">
        <f t="shared" si="0"/>
        <v>23252000</v>
      </c>
      <c r="BP13" s="2">
        <f t="shared" si="0"/>
        <v>20823000</v>
      </c>
      <c r="BQ13" s="2">
        <f t="shared" ref="BQ13:DA13" si="1">BQ46+BQ68+BQ74+BQ75+BQ78</f>
        <v>27659000</v>
      </c>
      <c r="BR13" s="2">
        <f t="shared" si="1"/>
        <v>16555000</v>
      </c>
      <c r="BS13" s="2">
        <f t="shared" si="1"/>
        <v>16017000</v>
      </c>
      <c r="BT13" s="2">
        <f t="shared" si="1"/>
        <v>18599000</v>
      </c>
      <c r="BU13" s="2">
        <f t="shared" si="1"/>
        <v>20181000</v>
      </c>
      <c r="BV13" s="2">
        <f t="shared" si="1"/>
        <v>21018000</v>
      </c>
      <c r="BW13" s="2">
        <f t="shared" si="1"/>
        <v>23867000</v>
      </c>
      <c r="BX13" s="2">
        <f t="shared" si="1"/>
        <v>18733000</v>
      </c>
      <c r="BY13" s="2">
        <f t="shared" si="1"/>
        <v>32458000</v>
      </c>
      <c r="BZ13" s="2">
        <f t="shared" si="1"/>
        <v>29232000</v>
      </c>
      <c r="CA13" s="2">
        <f t="shared" si="1"/>
        <v>28819000</v>
      </c>
      <c r="CB13" s="2">
        <f t="shared" si="1"/>
        <v>22843000</v>
      </c>
      <c r="CC13" s="2">
        <f t="shared" si="1"/>
        <v>27542000</v>
      </c>
      <c r="CD13" s="2">
        <f t="shared" si="1"/>
        <v>32665000</v>
      </c>
      <c r="CE13" s="2">
        <f t="shared" si="1"/>
        <v>24763000</v>
      </c>
      <c r="CF13" s="2">
        <f t="shared" si="1"/>
        <v>29760000</v>
      </c>
      <c r="CG13" s="2">
        <f t="shared" si="1"/>
        <v>27502000</v>
      </c>
      <c r="CH13" s="2">
        <f t="shared" si="1"/>
        <v>27140000</v>
      </c>
      <c r="CI13" s="2">
        <f t="shared" si="1"/>
        <v>27074000</v>
      </c>
      <c r="CJ13" s="2">
        <f t="shared" si="1"/>
        <v>30024000</v>
      </c>
      <c r="CK13" s="2">
        <f t="shared" si="1"/>
        <v>28270000</v>
      </c>
      <c r="CL13" s="2">
        <f t="shared" si="1"/>
        <v>26340000</v>
      </c>
      <c r="CM13" s="2">
        <f t="shared" si="1"/>
        <v>28647000</v>
      </c>
      <c r="CN13" s="2">
        <f t="shared" si="1"/>
        <v>27741000</v>
      </c>
      <c r="CO13" s="2">
        <f t="shared" si="1"/>
        <v>29302000</v>
      </c>
      <c r="CP13" s="2">
        <f t="shared" si="1"/>
        <v>27904000</v>
      </c>
      <c r="CQ13" s="2">
        <f t="shared" si="1"/>
        <v>24380000</v>
      </c>
      <c r="CR13" s="2">
        <f t="shared" si="1"/>
        <v>27352000</v>
      </c>
      <c r="CS13" s="2">
        <f t="shared" si="1"/>
        <v>25332000</v>
      </c>
      <c r="CT13" s="2">
        <f t="shared" si="1"/>
        <v>26654000</v>
      </c>
      <c r="CU13" s="2">
        <f t="shared" si="1"/>
        <v>25282000</v>
      </c>
      <c r="CV13" s="2">
        <f t="shared" si="1"/>
        <v>22642000</v>
      </c>
      <c r="CW13" s="2">
        <f t="shared" si="1"/>
        <v>19521000</v>
      </c>
      <c r="CX13" s="2">
        <f t="shared" si="1"/>
        <v>17961000</v>
      </c>
      <c r="CY13" s="2">
        <f t="shared" si="1"/>
        <v>16721000</v>
      </c>
      <c r="CZ13" s="2">
        <f t="shared" si="1"/>
        <v>74625000</v>
      </c>
      <c r="DA13" s="2">
        <f t="shared" si="1"/>
        <v>20555000</v>
      </c>
    </row>
    <row r="14" spans="1:105" s="126" customFormat="1" ht="16.5" customHeight="1">
      <c r="A14" s="267" t="s">
        <v>111</v>
      </c>
      <c r="B14" s="122" t="s">
        <v>112</v>
      </c>
      <c r="C14" s="123">
        <v>212</v>
      </c>
      <c r="D14" s="124">
        <f>SUM(E14:DA14)</f>
        <v>19080000</v>
      </c>
      <c r="E14" s="125">
        <v>283000</v>
      </c>
      <c r="F14" s="125">
        <v>1035000</v>
      </c>
      <c r="G14" s="125">
        <v>391000</v>
      </c>
      <c r="H14" s="125">
        <v>321000</v>
      </c>
      <c r="I14" s="125">
        <v>538000</v>
      </c>
      <c r="J14" s="125">
        <v>136000</v>
      </c>
      <c r="K14" s="125">
        <v>136000</v>
      </c>
      <c r="L14" s="125">
        <v>325000</v>
      </c>
      <c r="M14" s="125">
        <v>346000</v>
      </c>
      <c r="N14" s="125">
        <v>136000</v>
      </c>
      <c r="O14" s="125">
        <v>401000</v>
      </c>
      <c r="P14" s="125">
        <v>136000</v>
      </c>
      <c r="Q14" s="125">
        <v>309000</v>
      </c>
      <c r="R14" s="125">
        <v>372000</v>
      </c>
      <c r="S14" s="125">
        <v>136000</v>
      </c>
      <c r="T14" s="125">
        <v>120000</v>
      </c>
      <c r="U14" s="125">
        <v>334000</v>
      </c>
      <c r="V14" s="125">
        <v>587000</v>
      </c>
      <c r="W14" s="125">
        <v>489000</v>
      </c>
      <c r="X14" s="125">
        <v>153000</v>
      </c>
      <c r="Y14" s="125">
        <v>271000</v>
      </c>
      <c r="Z14" s="125">
        <v>136000</v>
      </c>
      <c r="AA14" s="125">
        <v>271000</v>
      </c>
      <c r="AB14" s="125">
        <v>283000</v>
      </c>
      <c r="AC14" s="125">
        <v>120000</v>
      </c>
      <c r="AD14" s="125">
        <v>204000</v>
      </c>
      <c r="AE14" s="125">
        <v>120000</v>
      </c>
      <c r="AF14" s="125">
        <v>170000</v>
      </c>
      <c r="AG14" s="125">
        <v>170000</v>
      </c>
      <c r="AH14" s="125">
        <v>120000</v>
      </c>
      <c r="AI14" s="125">
        <v>136000</v>
      </c>
      <c r="AJ14" s="125">
        <v>101000</v>
      </c>
      <c r="AK14" s="125">
        <v>258000</v>
      </c>
      <c r="AL14" s="125">
        <v>136000</v>
      </c>
      <c r="AM14" s="125">
        <v>136000</v>
      </c>
      <c r="AN14" s="125">
        <v>136000</v>
      </c>
      <c r="AO14" s="125">
        <v>136000</v>
      </c>
      <c r="AP14" s="125">
        <v>153000</v>
      </c>
      <c r="AQ14" s="125">
        <v>187000</v>
      </c>
      <c r="AR14" s="125">
        <v>136000</v>
      </c>
      <c r="AS14" s="125">
        <v>153000</v>
      </c>
      <c r="AT14" s="125">
        <v>283000</v>
      </c>
      <c r="AU14" s="125">
        <v>136000</v>
      </c>
      <c r="AV14" s="125">
        <v>120000</v>
      </c>
      <c r="AW14" s="125">
        <v>101000</v>
      </c>
      <c r="AX14" s="125">
        <v>120000</v>
      </c>
      <c r="AY14" s="125">
        <v>136000</v>
      </c>
      <c r="AZ14" s="125">
        <v>136000</v>
      </c>
      <c r="BA14" s="125">
        <v>153000</v>
      </c>
      <c r="BB14" s="125">
        <v>82000</v>
      </c>
      <c r="BC14" s="125">
        <v>136000</v>
      </c>
      <c r="BD14" s="125">
        <v>136000</v>
      </c>
      <c r="BE14" s="125">
        <v>372000</v>
      </c>
      <c r="BF14" s="125">
        <v>136000</v>
      </c>
      <c r="BG14" s="125">
        <v>136000</v>
      </c>
      <c r="BH14" s="125">
        <v>120000</v>
      </c>
      <c r="BI14" s="125">
        <v>136000</v>
      </c>
      <c r="BJ14" s="125">
        <v>136000</v>
      </c>
      <c r="BK14" s="125">
        <v>120000</v>
      </c>
      <c r="BL14" s="125">
        <v>271000</v>
      </c>
      <c r="BM14" s="125">
        <v>136000</v>
      </c>
      <c r="BN14" s="125">
        <v>136000</v>
      </c>
      <c r="BO14" s="125">
        <v>136000</v>
      </c>
      <c r="BP14" s="125">
        <v>136000</v>
      </c>
      <c r="BQ14" s="125">
        <v>187000</v>
      </c>
      <c r="BR14" s="125">
        <v>120000</v>
      </c>
      <c r="BS14" s="125">
        <v>136000</v>
      </c>
      <c r="BT14" s="125">
        <v>136000</v>
      </c>
      <c r="BU14" s="125">
        <v>153000</v>
      </c>
      <c r="BV14" s="125">
        <v>153000</v>
      </c>
      <c r="BW14" s="125">
        <v>136000</v>
      </c>
      <c r="BX14" s="125">
        <v>120000</v>
      </c>
      <c r="BY14" s="125">
        <v>170000</v>
      </c>
      <c r="BZ14" s="125">
        <v>136000</v>
      </c>
      <c r="CA14" s="125">
        <v>153000</v>
      </c>
      <c r="CB14" s="125">
        <v>120000</v>
      </c>
      <c r="CC14" s="125">
        <v>136000</v>
      </c>
      <c r="CD14" s="125">
        <v>136000</v>
      </c>
      <c r="CE14" s="125">
        <v>136000</v>
      </c>
      <c r="CF14" s="125">
        <v>136000</v>
      </c>
      <c r="CG14" s="125">
        <v>136000</v>
      </c>
      <c r="CH14" s="125">
        <v>136000</v>
      </c>
      <c r="CI14" s="125">
        <v>120000</v>
      </c>
      <c r="CJ14" s="125">
        <v>187000</v>
      </c>
      <c r="CK14" s="125">
        <v>136000</v>
      </c>
      <c r="CL14" s="125">
        <v>136000</v>
      </c>
      <c r="CM14" s="125">
        <v>120000</v>
      </c>
      <c r="CN14" s="125">
        <v>153000</v>
      </c>
      <c r="CO14" s="125">
        <v>136000</v>
      </c>
      <c r="CP14" s="125">
        <v>136000</v>
      </c>
      <c r="CQ14" s="125">
        <v>136000</v>
      </c>
      <c r="CR14" s="125">
        <v>136000</v>
      </c>
      <c r="CS14" s="125">
        <v>136000</v>
      </c>
      <c r="CT14" s="125">
        <v>136000</v>
      </c>
      <c r="CU14" s="125">
        <v>136000</v>
      </c>
      <c r="CV14" s="125">
        <v>136000</v>
      </c>
      <c r="CW14" s="125">
        <v>136000</v>
      </c>
      <c r="CX14" s="125">
        <v>120000</v>
      </c>
      <c r="CY14" s="125">
        <v>120000</v>
      </c>
      <c r="CZ14" s="125">
        <v>381000</v>
      </c>
      <c r="DA14" s="125">
        <v>120000</v>
      </c>
    </row>
    <row r="15" spans="1:105" s="126" customFormat="1">
      <c r="A15" s="267"/>
      <c r="B15" s="122" t="s">
        <v>113</v>
      </c>
      <c r="C15" s="123">
        <v>214</v>
      </c>
      <c r="D15" s="124">
        <f t="shared" ref="D15:D77" si="2">SUM(E15:DA15)</f>
        <v>8209000</v>
      </c>
      <c r="E15" s="125">
        <v>122000</v>
      </c>
      <c r="F15" s="125">
        <v>443000</v>
      </c>
      <c r="G15" s="125">
        <v>168000</v>
      </c>
      <c r="H15" s="125">
        <v>138000</v>
      </c>
      <c r="I15" s="125">
        <v>231000</v>
      </c>
      <c r="J15" s="125">
        <v>59000</v>
      </c>
      <c r="K15" s="125">
        <v>59000</v>
      </c>
      <c r="L15" s="125">
        <v>139000</v>
      </c>
      <c r="M15" s="125">
        <v>149000</v>
      </c>
      <c r="N15" s="125">
        <v>59000</v>
      </c>
      <c r="O15" s="125">
        <v>172000</v>
      </c>
      <c r="P15" s="125">
        <v>59000</v>
      </c>
      <c r="Q15" s="125">
        <v>132000</v>
      </c>
      <c r="R15" s="125">
        <v>159000</v>
      </c>
      <c r="S15" s="125">
        <v>59000</v>
      </c>
      <c r="T15" s="125">
        <v>51000</v>
      </c>
      <c r="U15" s="125">
        <v>143000</v>
      </c>
      <c r="V15" s="125">
        <v>252000</v>
      </c>
      <c r="W15" s="125">
        <v>210000</v>
      </c>
      <c r="X15" s="125">
        <v>66000</v>
      </c>
      <c r="Y15" s="125">
        <v>116000</v>
      </c>
      <c r="Z15" s="125">
        <v>59000</v>
      </c>
      <c r="AA15" s="125">
        <v>116000</v>
      </c>
      <c r="AB15" s="125">
        <v>122000</v>
      </c>
      <c r="AC15" s="125">
        <v>51000</v>
      </c>
      <c r="AD15" s="125">
        <v>87000</v>
      </c>
      <c r="AE15" s="125">
        <v>51000</v>
      </c>
      <c r="AF15" s="125">
        <v>73000</v>
      </c>
      <c r="AG15" s="125">
        <v>73000</v>
      </c>
      <c r="AH15" s="125">
        <v>51000</v>
      </c>
      <c r="AI15" s="125">
        <v>59000</v>
      </c>
      <c r="AJ15" s="125">
        <v>43000</v>
      </c>
      <c r="AK15" s="125">
        <v>111000</v>
      </c>
      <c r="AL15" s="125">
        <v>59000</v>
      </c>
      <c r="AM15" s="125">
        <v>59000</v>
      </c>
      <c r="AN15" s="125">
        <v>59000</v>
      </c>
      <c r="AO15" s="125">
        <v>59000</v>
      </c>
      <c r="AP15" s="125">
        <v>66000</v>
      </c>
      <c r="AQ15" s="125">
        <v>80000</v>
      </c>
      <c r="AR15" s="125">
        <v>59000</v>
      </c>
      <c r="AS15" s="125">
        <v>66000</v>
      </c>
      <c r="AT15" s="125">
        <v>122000</v>
      </c>
      <c r="AU15" s="125">
        <v>59000</v>
      </c>
      <c r="AV15" s="125">
        <v>51000</v>
      </c>
      <c r="AW15" s="125">
        <v>43000</v>
      </c>
      <c r="AX15" s="125">
        <v>51000</v>
      </c>
      <c r="AY15" s="125">
        <v>59000</v>
      </c>
      <c r="AZ15" s="125">
        <v>59000</v>
      </c>
      <c r="BA15" s="125">
        <v>66000</v>
      </c>
      <c r="BB15" s="125">
        <v>35000</v>
      </c>
      <c r="BC15" s="125">
        <v>59000</v>
      </c>
      <c r="BD15" s="125">
        <v>59000</v>
      </c>
      <c r="BE15" s="125">
        <v>159000</v>
      </c>
      <c r="BF15" s="125">
        <v>59000</v>
      </c>
      <c r="BG15" s="125">
        <v>59000</v>
      </c>
      <c r="BH15" s="125">
        <v>51000</v>
      </c>
      <c r="BI15" s="125">
        <v>59000</v>
      </c>
      <c r="BJ15" s="125">
        <v>59000</v>
      </c>
      <c r="BK15" s="125">
        <v>51000</v>
      </c>
      <c r="BL15" s="125">
        <v>116000</v>
      </c>
      <c r="BM15" s="125">
        <v>59000</v>
      </c>
      <c r="BN15" s="125">
        <v>59000</v>
      </c>
      <c r="BO15" s="125">
        <v>59000</v>
      </c>
      <c r="BP15" s="125">
        <v>59000</v>
      </c>
      <c r="BQ15" s="125">
        <v>80000</v>
      </c>
      <c r="BR15" s="125">
        <v>51000</v>
      </c>
      <c r="BS15" s="125">
        <v>59000</v>
      </c>
      <c r="BT15" s="125">
        <v>59000</v>
      </c>
      <c r="BU15" s="125">
        <v>66000</v>
      </c>
      <c r="BV15" s="125">
        <v>66000</v>
      </c>
      <c r="BW15" s="125">
        <v>59000</v>
      </c>
      <c r="BX15" s="125">
        <v>51000</v>
      </c>
      <c r="BY15" s="125">
        <v>73000</v>
      </c>
      <c r="BZ15" s="125">
        <v>59000</v>
      </c>
      <c r="CA15" s="125">
        <v>66000</v>
      </c>
      <c r="CB15" s="125">
        <v>51000</v>
      </c>
      <c r="CC15" s="125">
        <v>59000</v>
      </c>
      <c r="CD15" s="125">
        <v>59000</v>
      </c>
      <c r="CE15" s="125">
        <v>59000</v>
      </c>
      <c r="CF15" s="125">
        <v>59000</v>
      </c>
      <c r="CG15" s="125">
        <v>59000</v>
      </c>
      <c r="CH15" s="125">
        <v>59000</v>
      </c>
      <c r="CI15" s="125">
        <v>51000</v>
      </c>
      <c r="CJ15" s="125">
        <v>80000</v>
      </c>
      <c r="CK15" s="125">
        <v>59000</v>
      </c>
      <c r="CL15" s="125">
        <v>59000</v>
      </c>
      <c r="CM15" s="125">
        <v>51000</v>
      </c>
      <c r="CN15" s="125">
        <v>66000</v>
      </c>
      <c r="CO15" s="125">
        <v>59000</v>
      </c>
      <c r="CP15" s="125">
        <v>59000</v>
      </c>
      <c r="CQ15" s="125">
        <v>59000</v>
      </c>
      <c r="CR15" s="125">
        <v>59000</v>
      </c>
      <c r="CS15" s="125">
        <v>59000</v>
      </c>
      <c r="CT15" s="125">
        <v>59000</v>
      </c>
      <c r="CU15" s="125">
        <v>59000</v>
      </c>
      <c r="CV15" s="125">
        <v>59000</v>
      </c>
      <c r="CW15" s="125">
        <v>59000</v>
      </c>
      <c r="CX15" s="125">
        <v>51000</v>
      </c>
      <c r="CY15" s="125">
        <v>51000</v>
      </c>
      <c r="CZ15" s="125">
        <v>164000</v>
      </c>
      <c r="DA15" s="125">
        <v>51000</v>
      </c>
    </row>
    <row r="16" spans="1:105" s="126" customFormat="1">
      <c r="A16" s="267"/>
      <c r="B16" s="122" t="s">
        <v>114</v>
      </c>
      <c r="C16" s="123" t="s">
        <v>115</v>
      </c>
      <c r="D16" s="124">
        <f t="shared" si="2"/>
        <v>120000</v>
      </c>
      <c r="E16" s="125">
        <v>0</v>
      </c>
      <c r="F16" s="125">
        <v>45000</v>
      </c>
      <c r="G16" s="125">
        <v>0</v>
      </c>
      <c r="H16" s="125">
        <v>0</v>
      </c>
      <c r="I16" s="125">
        <v>0</v>
      </c>
      <c r="J16" s="125">
        <v>0</v>
      </c>
      <c r="K16" s="125">
        <v>0</v>
      </c>
      <c r="L16" s="125">
        <v>0</v>
      </c>
      <c r="M16" s="125">
        <v>0</v>
      </c>
      <c r="N16" s="125">
        <v>0</v>
      </c>
      <c r="O16" s="125">
        <v>0</v>
      </c>
      <c r="P16" s="125">
        <v>0</v>
      </c>
      <c r="Q16" s="125">
        <v>0</v>
      </c>
      <c r="R16" s="125">
        <v>0</v>
      </c>
      <c r="S16" s="125">
        <v>0</v>
      </c>
      <c r="T16" s="125">
        <v>0</v>
      </c>
      <c r="U16" s="125">
        <v>0</v>
      </c>
      <c r="V16" s="125">
        <v>30000</v>
      </c>
      <c r="W16" s="125">
        <v>0</v>
      </c>
      <c r="X16" s="125">
        <v>0</v>
      </c>
      <c r="Y16" s="125">
        <v>0</v>
      </c>
      <c r="Z16" s="125">
        <v>0</v>
      </c>
      <c r="AA16" s="125">
        <v>0</v>
      </c>
      <c r="AB16" s="125">
        <v>0</v>
      </c>
      <c r="AC16" s="125">
        <v>0</v>
      </c>
      <c r="AD16" s="125">
        <v>0</v>
      </c>
      <c r="AE16" s="125">
        <v>0</v>
      </c>
      <c r="AF16" s="125">
        <v>0</v>
      </c>
      <c r="AG16" s="125">
        <v>0</v>
      </c>
      <c r="AH16" s="125">
        <v>0</v>
      </c>
      <c r="AI16" s="125">
        <v>0</v>
      </c>
      <c r="AJ16" s="125">
        <v>0</v>
      </c>
      <c r="AK16" s="125">
        <v>0</v>
      </c>
      <c r="AL16" s="125">
        <v>0</v>
      </c>
      <c r="AM16" s="125">
        <v>0</v>
      </c>
      <c r="AN16" s="125">
        <v>0</v>
      </c>
      <c r="AO16" s="125">
        <v>0</v>
      </c>
      <c r="AP16" s="125">
        <v>0</v>
      </c>
      <c r="AQ16" s="125">
        <v>0</v>
      </c>
      <c r="AR16" s="125">
        <v>0</v>
      </c>
      <c r="AS16" s="125">
        <v>0</v>
      </c>
      <c r="AT16" s="125">
        <v>0</v>
      </c>
      <c r="AU16" s="125">
        <v>0</v>
      </c>
      <c r="AV16" s="125">
        <v>0</v>
      </c>
      <c r="AW16" s="125">
        <v>0</v>
      </c>
      <c r="AX16" s="125">
        <v>0</v>
      </c>
      <c r="AY16" s="125">
        <v>0</v>
      </c>
      <c r="AZ16" s="125">
        <v>0</v>
      </c>
      <c r="BA16" s="125">
        <v>0</v>
      </c>
      <c r="BB16" s="125">
        <v>0</v>
      </c>
      <c r="BC16" s="125">
        <v>0</v>
      </c>
      <c r="BD16" s="125">
        <v>0</v>
      </c>
      <c r="BE16" s="125">
        <v>45000</v>
      </c>
      <c r="BF16" s="125">
        <v>0</v>
      </c>
      <c r="BG16" s="125">
        <v>0</v>
      </c>
      <c r="BH16" s="125">
        <v>0</v>
      </c>
      <c r="BI16" s="125">
        <v>0</v>
      </c>
      <c r="BJ16" s="125">
        <v>0</v>
      </c>
      <c r="BK16" s="125">
        <v>0</v>
      </c>
      <c r="BL16" s="125">
        <v>0</v>
      </c>
      <c r="BM16" s="125">
        <v>0</v>
      </c>
      <c r="BN16" s="125">
        <v>0</v>
      </c>
      <c r="BO16" s="125">
        <v>0</v>
      </c>
      <c r="BP16" s="125">
        <v>0</v>
      </c>
      <c r="BQ16" s="125">
        <v>0</v>
      </c>
      <c r="BR16" s="125">
        <v>0</v>
      </c>
      <c r="BS16" s="125">
        <v>0</v>
      </c>
      <c r="BT16" s="125">
        <v>0</v>
      </c>
      <c r="BU16" s="125">
        <v>0</v>
      </c>
      <c r="BV16" s="125">
        <v>0</v>
      </c>
      <c r="BW16" s="125">
        <v>0</v>
      </c>
      <c r="BX16" s="125">
        <v>0</v>
      </c>
      <c r="BY16" s="125">
        <v>0</v>
      </c>
      <c r="BZ16" s="125">
        <v>0</v>
      </c>
      <c r="CA16" s="125">
        <v>0</v>
      </c>
      <c r="CB16" s="125">
        <v>0</v>
      </c>
      <c r="CC16" s="125">
        <v>0</v>
      </c>
      <c r="CD16" s="125">
        <v>0</v>
      </c>
      <c r="CE16" s="125">
        <v>0</v>
      </c>
      <c r="CF16" s="125">
        <v>0</v>
      </c>
      <c r="CG16" s="125">
        <v>0</v>
      </c>
      <c r="CH16" s="125">
        <v>0</v>
      </c>
      <c r="CI16" s="125">
        <v>0</v>
      </c>
      <c r="CJ16" s="125">
        <v>0</v>
      </c>
      <c r="CK16" s="125">
        <v>0</v>
      </c>
      <c r="CL16" s="125">
        <v>0</v>
      </c>
      <c r="CM16" s="125">
        <v>0</v>
      </c>
      <c r="CN16" s="125">
        <v>0</v>
      </c>
      <c r="CO16" s="125">
        <v>0</v>
      </c>
      <c r="CP16" s="125">
        <v>0</v>
      </c>
      <c r="CQ16" s="125">
        <v>0</v>
      </c>
      <c r="CR16" s="125">
        <v>0</v>
      </c>
      <c r="CS16" s="125">
        <v>0</v>
      </c>
      <c r="CT16" s="125">
        <v>0</v>
      </c>
      <c r="CU16" s="125">
        <v>0</v>
      </c>
      <c r="CV16" s="125">
        <v>0</v>
      </c>
      <c r="CW16" s="125">
        <v>0</v>
      </c>
      <c r="CX16" s="125">
        <v>0</v>
      </c>
      <c r="CY16" s="125">
        <v>0</v>
      </c>
      <c r="CZ16" s="125">
        <v>0</v>
      </c>
      <c r="DA16" s="125">
        <v>0</v>
      </c>
    </row>
    <row r="17" spans="1:105" s="126" customFormat="1">
      <c r="A17" s="267"/>
      <c r="B17" s="122" t="s">
        <v>116</v>
      </c>
      <c r="C17" s="123" t="s">
        <v>117</v>
      </c>
      <c r="D17" s="124">
        <f t="shared" si="2"/>
        <v>807000</v>
      </c>
      <c r="E17" s="125">
        <v>0</v>
      </c>
      <c r="F17" s="125">
        <v>182000</v>
      </c>
      <c r="G17" s="125">
        <v>0</v>
      </c>
      <c r="H17" s="125">
        <v>0</v>
      </c>
      <c r="I17" s="125">
        <v>0</v>
      </c>
      <c r="J17" s="125">
        <v>0</v>
      </c>
      <c r="K17" s="125">
        <v>0</v>
      </c>
      <c r="L17" s="125">
        <v>0</v>
      </c>
      <c r="M17" s="125">
        <v>0</v>
      </c>
      <c r="N17" s="125">
        <v>0</v>
      </c>
      <c r="O17" s="125">
        <v>0</v>
      </c>
      <c r="P17" s="125">
        <v>0</v>
      </c>
      <c r="Q17" s="125">
        <v>213000</v>
      </c>
      <c r="R17" s="125">
        <v>0</v>
      </c>
      <c r="S17" s="125">
        <v>0</v>
      </c>
      <c r="T17" s="125">
        <v>0</v>
      </c>
      <c r="U17" s="125">
        <v>0</v>
      </c>
      <c r="V17" s="125">
        <v>0</v>
      </c>
      <c r="W17" s="125">
        <v>0</v>
      </c>
      <c r="X17" s="125">
        <v>0</v>
      </c>
      <c r="Y17" s="125">
        <v>0</v>
      </c>
      <c r="Z17" s="125">
        <v>0</v>
      </c>
      <c r="AA17" s="125">
        <v>0</v>
      </c>
      <c r="AB17" s="125">
        <v>0</v>
      </c>
      <c r="AC17" s="125">
        <v>0</v>
      </c>
      <c r="AD17" s="125">
        <v>0</v>
      </c>
      <c r="AE17" s="125">
        <v>0</v>
      </c>
      <c r="AF17" s="125">
        <v>0</v>
      </c>
      <c r="AG17" s="125">
        <v>0</v>
      </c>
      <c r="AH17" s="125">
        <v>0</v>
      </c>
      <c r="AI17" s="125">
        <v>0</v>
      </c>
      <c r="AJ17" s="125">
        <v>0</v>
      </c>
      <c r="AK17" s="125">
        <v>0</v>
      </c>
      <c r="AL17" s="125">
        <v>0</v>
      </c>
      <c r="AM17" s="125">
        <v>0</v>
      </c>
      <c r="AN17" s="125">
        <v>0</v>
      </c>
      <c r="AO17" s="125">
        <v>0</v>
      </c>
      <c r="AP17" s="125">
        <v>0</v>
      </c>
      <c r="AQ17" s="125">
        <v>0</v>
      </c>
      <c r="AR17" s="125">
        <v>0</v>
      </c>
      <c r="AS17" s="125">
        <v>0</v>
      </c>
      <c r="AT17" s="125">
        <v>0</v>
      </c>
      <c r="AU17" s="125">
        <v>71000</v>
      </c>
      <c r="AV17" s="125">
        <v>0</v>
      </c>
      <c r="AW17" s="125">
        <v>0</v>
      </c>
      <c r="AX17" s="125">
        <v>0</v>
      </c>
      <c r="AY17" s="125">
        <v>0</v>
      </c>
      <c r="AZ17" s="125">
        <v>0</v>
      </c>
      <c r="BA17" s="125">
        <v>0</v>
      </c>
      <c r="BB17" s="125">
        <v>0</v>
      </c>
      <c r="BC17" s="125">
        <v>0</v>
      </c>
      <c r="BD17" s="125">
        <v>0</v>
      </c>
      <c r="BE17" s="125">
        <v>175000</v>
      </c>
      <c r="BF17" s="125">
        <v>0</v>
      </c>
      <c r="BG17" s="125">
        <v>0</v>
      </c>
      <c r="BH17" s="125">
        <v>0</v>
      </c>
      <c r="BI17" s="125">
        <v>0</v>
      </c>
      <c r="BJ17" s="125">
        <v>0</v>
      </c>
      <c r="BK17" s="125">
        <v>0</v>
      </c>
      <c r="BL17" s="125">
        <v>0</v>
      </c>
      <c r="BM17" s="125">
        <v>0</v>
      </c>
      <c r="BN17" s="125">
        <v>0</v>
      </c>
      <c r="BO17" s="125">
        <v>0</v>
      </c>
      <c r="BP17" s="125">
        <v>0</v>
      </c>
      <c r="BQ17" s="125">
        <v>166000</v>
      </c>
      <c r="BR17" s="125">
        <v>0</v>
      </c>
      <c r="BS17" s="125">
        <v>0</v>
      </c>
      <c r="BT17" s="125">
        <v>0</v>
      </c>
      <c r="BU17" s="125">
        <v>0</v>
      </c>
      <c r="BV17" s="125">
        <v>0</v>
      </c>
      <c r="BW17" s="125">
        <v>0</v>
      </c>
      <c r="BX17" s="125">
        <v>0</v>
      </c>
      <c r="BY17" s="125">
        <v>0</v>
      </c>
      <c r="BZ17" s="125">
        <v>0</v>
      </c>
      <c r="CA17" s="125">
        <v>0</v>
      </c>
      <c r="CB17" s="125">
        <v>0</v>
      </c>
      <c r="CC17" s="125">
        <v>0</v>
      </c>
      <c r="CD17" s="125">
        <v>0</v>
      </c>
      <c r="CE17" s="125">
        <v>0</v>
      </c>
      <c r="CF17" s="125">
        <v>0</v>
      </c>
      <c r="CG17" s="125">
        <v>0</v>
      </c>
      <c r="CH17" s="125">
        <v>0</v>
      </c>
      <c r="CI17" s="125">
        <v>0</v>
      </c>
      <c r="CJ17" s="125">
        <v>0</v>
      </c>
      <c r="CK17" s="125">
        <v>0</v>
      </c>
      <c r="CL17" s="125">
        <v>0</v>
      </c>
      <c r="CM17" s="125">
        <v>0</v>
      </c>
      <c r="CN17" s="125">
        <v>0</v>
      </c>
      <c r="CO17" s="125">
        <v>0</v>
      </c>
      <c r="CP17" s="125">
        <v>0</v>
      </c>
      <c r="CQ17" s="125">
        <v>0</v>
      </c>
      <c r="CR17" s="125">
        <v>0</v>
      </c>
      <c r="CS17" s="125">
        <v>0</v>
      </c>
      <c r="CT17" s="125">
        <v>0</v>
      </c>
      <c r="CU17" s="125">
        <v>0</v>
      </c>
      <c r="CV17" s="125">
        <v>0</v>
      </c>
      <c r="CW17" s="125">
        <v>0</v>
      </c>
      <c r="CX17" s="125">
        <v>0</v>
      </c>
      <c r="CY17" s="125">
        <v>0</v>
      </c>
      <c r="CZ17" s="125">
        <v>0</v>
      </c>
      <c r="DA17" s="125">
        <v>0</v>
      </c>
    </row>
    <row r="18" spans="1:105" s="126" customFormat="1">
      <c r="A18" s="267"/>
      <c r="B18" s="122" t="s">
        <v>118</v>
      </c>
      <c r="C18" s="123">
        <v>255</v>
      </c>
      <c r="D18" s="124">
        <f t="shared" si="2"/>
        <v>6686000</v>
      </c>
      <c r="E18" s="125">
        <v>70000</v>
      </c>
      <c r="F18" s="125">
        <v>99000</v>
      </c>
      <c r="G18" s="125">
        <v>76000</v>
      </c>
      <c r="H18" s="125">
        <v>72000</v>
      </c>
      <c r="I18" s="125">
        <v>84000</v>
      </c>
      <c r="J18" s="125">
        <v>64000</v>
      </c>
      <c r="K18" s="125">
        <v>64000</v>
      </c>
      <c r="L18" s="125">
        <v>70000</v>
      </c>
      <c r="M18" s="125">
        <v>73000</v>
      </c>
      <c r="N18" s="125">
        <v>64000</v>
      </c>
      <c r="O18" s="125">
        <v>76000</v>
      </c>
      <c r="P18" s="125">
        <v>64000</v>
      </c>
      <c r="Q18" s="125">
        <v>71000</v>
      </c>
      <c r="R18" s="125">
        <v>74000</v>
      </c>
      <c r="S18" s="125">
        <v>64000</v>
      </c>
      <c r="T18" s="125">
        <v>64000</v>
      </c>
      <c r="U18" s="125">
        <v>73000</v>
      </c>
      <c r="V18" s="125">
        <v>88000</v>
      </c>
      <c r="W18" s="125">
        <v>81000</v>
      </c>
      <c r="X18" s="125">
        <v>64000</v>
      </c>
      <c r="Y18" s="125">
        <v>69000</v>
      </c>
      <c r="Z18" s="125">
        <v>64000</v>
      </c>
      <c r="AA18" s="125">
        <v>70000</v>
      </c>
      <c r="AB18" s="125">
        <v>70000</v>
      </c>
      <c r="AC18" s="125">
        <v>63000</v>
      </c>
      <c r="AD18" s="125">
        <v>66000</v>
      </c>
      <c r="AE18" s="125">
        <v>63000</v>
      </c>
      <c r="AF18" s="125">
        <v>65000</v>
      </c>
      <c r="AG18" s="125">
        <v>65000</v>
      </c>
      <c r="AH18" s="125">
        <v>63000</v>
      </c>
      <c r="AI18" s="125">
        <v>64000</v>
      </c>
      <c r="AJ18" s="125">
        <v>63000</v>
      </c>
      <c r="AK18" s="125">
        <v>69000</v>
      </c>
      <c r="AL18" s="125">
        <v>64000</v>
      </c>
      <c r="AM18" s="125">
        <v>64000</v>
      </c>
      <c r="AN18" s="125">
        <v>64000</v>
      </c>
      <c r="AO18" s="125">
        <v>64000</v>
      </c>
      <c r="AP18" s="125">
        <v>64000</v>
      </c>
      <c r="AQ18" s="125">
        <v>66000</v>
      </c>
      <c r="AR18" s="125">
        <v>64000</v>
      </c>
      <c r="AS18" s="125">
        <v>65000</v>
      </c>
      <c r="AT18" s="125">
        <v>70000</v>
      </c>
      <c r="AU18" s="125">
        <v>64000</v>
      </c>
      <c r="AV18" s="125">
        <v>63000</v>
      </c>
      <c r="AW18" s="125">
        <v>63000</v>
      </c>
      <c r="AX18" s="125">
        <v>63000</v>
      </c>
      <c r="AY18" s="125">
        <v>64000</v>
      </c>
      <c r="AZ18" s="125">
        <v>64000</v>
      </c>
      <c r="BA18" s="125">
        <v>64000</v>
      </c>
      <c r="BB18" s="125">
        <v>62000</v>
      </c>
      <c r="BC18" s="125">
        <v>64000</v>
      </c>
      <c r="BD18" s="125">
        <v>64000</v>
      </c>
      <c r="BE18" s="125">
        <v>74000</v>
      </c>
      <c r="BF18" s="125">
        <v>64000</v>
      </c>
      <c r="BG18" s="125">
        <v>64000</v>
      </c>
      <c r="BH18" s="125">
        <v>63000</v>
      </c>
      <c r="BI18" s="125">
        <v>64000</v>
      </c>
      <c r="BJ18" s="125">
        <v>64000</v>
      </c>
      <c r="BK18" s="125">
        <v>63000</v>
      </c>
      <c r="BL18" s="125">
        <v>69000</v>
      </c>
      <c r="BM18" s="125">
        <v>64000</v>
      </c>
      <c r="BN18" s="125">
        <v>64000</v>
      </c>
      <c r="BO18" s="125">
        <v>64000</v>
      </c>
      <c r="BP18" s="125">
        <v>64000</v>
      </c>
      <c r="BQ18" s="125">
        <v>66000</v>
      </c>
      <c r="BR18" s="125">
        <v>63000</v>
      </c>
      <c r="BS18" s="125">
        <v>64000</v>
      </c>
      <c r="BT18" s="125">
        <v>64000</v>
      </c>
      <c r="BU18" s="125">
        <v>64000</v>
      </c>
      <c r="BV18" s="125">
        <v>64000</v>
      </c>
      <c r="BW18" s="125">
        <v>64000</v>
      </c>
      <c r="BX18" s="125">
        <v>63000</v>
      </c>
      <c r="BY18" s="125">
        <v>65000</v>
      </c>
      <c r="BZ18" s="125">
        <v>64000</v>
      </c>
      <c r="CA18" s="125">
        <v>64000</v>
      </c>
      <c r="CB18" s="125">
        <v>63000</v>
      </c>
      <c r="CC18" s="125">
        <v>64000</v>
      </c>
      <c r="CD18" s="125">
        <v>64000</v>
      </c>
      <c r="CE18" s="125">
        <v>64000</v>
      </c>
      <c r="CF18" s="125">
        <v>64000</v>
      </c>
      <c r="CG18" s="125">
        <v>64000</v>
      </c>
      <c r="CH18" s="125">
        <v>64000</v>
      </c>
      <c r="CI18" s="125">
        <v>63000</v>
      </c>
      <c r="CJ18" s="125">
        <v>66000</v>
      </c>
      <c r="CK18" s="125">
        <v>64000</v>
      </c>
      <c r="CL18" s="125">
        <v>64000</v>
      </c>
      <c r="CM18" s="125">
        <v>63000</v>
      </c>
      <c r="CN18" s="125">
        <v>64000</v>
      </c>
      <c r="CO18" s="125">
        <v>64000</v>
      </c>
      <c r="CP18" s="125">
        <v>64000</v>
      </c>
      <c r="CQ18" s="125">
        <v>64000</v>
      </c>
      <c r="CR18" s="125">
        <v>64000</v>
      </c>
      <c r="CS18" s="125">
        <v>64000</v>
      </c>
      <c r="CT18" s="125">
        <v>64000</v>
      </c>
      <c r="CU18" s="125">
        <v>64000</v>
      </c>
      <c r="CV18" s="125">
        <v>64000</v>
      </c>
      <c r="CW18" s="125">
        <v>64000</v>
      </c>
      <c r="CX18" s="125">
        <v>63000</v>
      </c>
      <c r="CY18" s="125">
        <v>63000</v>
      </c>
      <c r="CZ18" s="125">
        <v>75000</v>
      </c>
      <c r="DA18" s="125">
        <v>63000</v>
      </c>
    </row>
    <row r="19" spans="1:105" s="131" customFormat="1">
      <c r="A19" s="267"/>
      <c r="B19" s="127" t="s">
        <v>119</v>
      </c>
      <c r="C19" s="128">
        <v>255</v>
      </c>
      <c r="D19" s="129">
        <f t="shared" si="2"/>
        <v>1842000</v>
      </c>
      <c r="E19" s="130">
        <v>60000</v>
      </c>
      <c r="F19" s="130">
        <v>120000</v>
      </c>
      <c r="G19" s="130">
        <v>90000</v>
      </c>
      <c r="H19" s="130">
        <v>60000</v>
      </c>
      <c r="I19" s="130">
        <v>90000</v>
      </c>
      <c r="J19" s="130">
        <v>30000</v>
      </c>
      <c r="K19" s="130">
        <v>30000</v>
      </c>
      <c r="L19" s="130">
        <v>30000</v>
      </c>
      <c r="M19" s="130">
        <v>60000</v>
      </c>
      <c r="N19" s="130">
        <v>0</v>
      </c>
      <c r="O19" s="130">
        <v>72000</v>
      </c>
      <c r="P19" s="130">
        <v>0</v>
      </c>
      <c r="Q19" s="130">
        <v>30000</v>
      </c>
      <c r="R19" s="130">
        <v>60000</v>
      </c>
      <c r="S19" s="130">
        <v>0</v>
      </c>
      <c r="T19" s="130">
        <v>0</v>
      </c>
      <c r="U19" s="130">
        <v>30000</v>
      </c>
      <c r="V19" s="130">
        <v>90000</v>
      </c>
      <c r="W19" s="130">
        <v>90000</v>
      </c>
      <c r="X19" s="130">
        <v>30000</v>
      </c>
      <c r="Y19" s="130">
        <v>60000</v>
      </c>
      <c r="Z19" s="130">
        <v>30000</v>
      </c>
      <c r="AA19" s="130">
        <v>60000</v>
      </c>
      <c r="AB19" s="130">
        <v>60000</v>
      </c>
      <c r="AC19" s="130">
        <v>0</v>
      </c>
      <c r="AD19" s="130">
        <v>0</v>
      </c>
      <c r="AE19" s="130">
        <v>0</v>
      </c>
      <c r="AF19" s="130">
        <v>0</v>
      </c>
      <c r="AG19" s="130">
        <v>30000</v>
      </c>
      <c r="AH19" s="130">
        <v>0</v>
      </c>
      <c r="AI19" s="130">
        <v>30000</v>
      </c>
      <c r="AJ19" s="130">
        <v>0</v>
      </c>
      <c r="AK19" s="130">
        <v>30000</v>
      </c>
      <c r="AL19" s="130">
        <v>0</v>
      </c>
      <c r="AM19" s="130">
        <v>0</v>
      </c>
      <c r="AN19" s="130">
        <v>0</v>
      </c>
      <c r="AO19" s="130">
        <v>0</v>
      </c>
      <c r="AP19" s="130">
        <v>0</v>
      </c>
      <c r="AQ19" s="130">
        <v>30000</v>
      </c>
      <c r="AR19" s="130">
        <v>0</v>
      </c>
      <c r="AS19" s="130">
        <v>0</v>
      </c>
      <c r="AT19" s="130">
        <v>0</v>
      </c>
      <c r="AU19" s="130">
        <v>0</v>
      </c>
      <c r="AV19" s="130">
        <v>0</v>
      </c>
      <c r="AW19" s="130">
        <v>0</v>
      </c>
      <c r="AX19" s="130">
        <v>0</v>
      </c>
      <c r="AY19" s="130">
        <v>0</v>
      </c>
      <c r="AZ19" s="130">
        <v>0</v>
      </c>
      <c r="BA19" s="130">
        <v>0</v>
      </c>
      <c r="BB19" s="130">
        <v>0</v>
      </c>
      <c r="BC19" s="130">
        <v>0</v>
      </c>
      <c r="BD19" s="130">
        <v>30000</v>
      </c>
      <c r="BE19" s="130">
        <v>30000</v>
      </c>
      <c r="BF19" s="130">
        <v>0</v>
      </c>
      <c r="BG19" s="130">
        <v>0</v>
      </c>
      <c r="BH19" s="130">
        <v>0</v>
      </c>
      <c r="BI19" s="130">
        <v>0</v>
      </c>
      <c r="BJ19" s="130">
        <v>0</v>
      </c>
      <c r="BK19" s="130">
        <v>0</v>
      </c>
      <c r="BL19" s="130">
        <v>30000</v>
      </c>
      <c r="BM19" s="130">
        <v>0</v>
      </c>
      <c r="BN19" s="130">
        <v>0</v>
      </c>
      <c r="BO19" s="130">
        <v>0</v>
      </c>
      <c r="BP19" s="130">
        <v>0</v>
      </c>
      <c r="BQ19" s="130">
        <v>0</v>
      </c>
      <c r="BR19" s="130">
        <v>0</v>
      </c>
      <c r="BS19" s="130">
        <v>0</v>
      </c>
      <c r="BT19" s="130">
        <v>0</v>
      </c>
      <c r="BU19" s="130">
        <v>0</v>
      </c>
      <c r="BV19" s="130">
        <v>30000</v>
      </c>
      <c r="BW19" s="130">
        <v>0</v>
      </c>
      <c r="BX19" s="130">
        <v>30000</v>
      </c>
      <c r="BY19" s="130">
        <v>30000</v>
      </c>
      <c r="BZ19" s="130">
        <v>0</v>
      </c>
      <c r="CA19" s="130">
        <v>30000</v>
      </c>
      <c r="CB19" s="130">
        <v>30000</v>
      </c>
      <c r="CC19" s="130">
        <v>0</v>
      </c>
      <c r="CD19" s="130">
        <v>0</v>
      </c>
      <c r="CE19" s="130">
        <v>0</v>
      </c>
      <c r="CF19" s="130">
        <v>0</v>
      </c>
      <c r="CG19" s="130">
        <v>30000</v>
      </c>
      <c r="CH19" s="130">
        <v>0</v>
      </c>
      <c r="CI19" s="130">
        <v>0</v>
      </c>
      <c r="CJ19" s="130">
        <v>0</v>
      </c>
      <c r="CK19" s="130">
        <v>0</v>
      </c>
      <c r="CL19" s="130">
        <v>0</v>
      </c>
      <c r="CM19" s="130">
        <v>0</v>
      </c>
      <c r="CN19" s="130">
        <v>0</v>
      </c>
      <c r="CO19" s="130">
        <v>30000</v>
      </c>
      <c r="CP19" s="130">
        <v>30000</v>
      </c>
      <c r="CQ19" s="130">
        <v>0</v>
      </c>
      <c r="CR19" s="130">
        <v>0</v>
      </c>
      <c r="CS19" s="130">
        <v>0</v>
      </c>
      <c r="CT19" s="130">
        <v>0</v>
      </c>
      <c r="CU19" s="130">
        <v>30000</v>
      </c>
      <c r="CV19" s="130">
        <v>30000</v>
      </c>
      <c r="CW19" s="130">
        <v>0</v>
      </c>
      <c r="CX19" s="130">
        <v>30000</v>
      </c>
      <c r="CY19" s="130">
        <v>30000</v>
      </c>
      <c r="CZ19" s="130">
        <v>90000</v>
      </c>
      <c r="DA19" s="130">
        <v>0</v>
      </c>
    </row>
    <row r="20" spans="1:105" s="131" customFormat="1">
      <c r="A20" s="267"/>
      <c r="B20" s="127" t="s">
        <v>120</v>
      </c>
      <c r="C20" s="128">
        <v>255</v>
      </c>
      <c r="D20" s="129">
        <f t="shared" si="2"/>
        <v>261000</v>
      </c>
      <c r="E20" s="130">
        <v>3000</v>
      </c>
      <c r="F20" s="130">
        <v>53000</v>
      </c>
      <c r="G20" s="130">
        <v>9000</v>
      </c>
      <c r="H20" s="130">
        <v>6000</v>
      </c>
      <c r="I20" s="130">
        <v>9000</v>
      </c>
      <c r="J20" s="130">
        <v>3000</v>
      </c>
      <c r="K20" s="130">
        <v>3000</v>
      </c>
      <c r="L20" s="130">
        <v>6000</v>
      </c>
      <c r="M20" s="130">
        <v>6000</v>
      </c>
      <c r="N20" s="130">
        <v>0</v>
      </c>
      <c r="O20" s="130">
        <v>6000</v>
      </c>
      <c r="P20" s="130">
        <v>0</v>
      </c>
      <c r="Q20" s="130">
        <v>3000</v>
      </c>
      <c r="R20" s="130">
        <v>6000</v>
      </c>
      <c r="S20" s="130">
        <v>0</v>
      </c>
      <c r="T20" s="130">
        <v>0</v>
      </c>
      <c r="U20" s="130">
        <v>6000</v>
      </c>
      <c r="V20" s="130">
        <v>9000</v>
      </c>
      <c r="W20" s="130">
        <v>15000</v>
      </c>
      <c r="X20" s="130">
        <v>6000</v>
      </c>
      <c r="Y20" s="130">
        <v>6000</v>
      </c>
      <c r="Z20" s="130">
        <v>6000</v>
      </c>
      <c r="AA20" s="130">
        <v>6000</v>
      </c>
      <c r="AB20" s="130">
        <v>6000</v>
      </c>
      <c r="AC20" s="130">
        <v>0</v>
      </c>
      <c r="AD20" s="130">
        <v>0</v>
      </c>
      <c r="AE20" s="130">
        <v>0</v>
      </c>
      <c r="AF20" s="130">
        <v>0</v>
      </c>
      <c r="AG20" s="130">
        <v>6000</v>
      </c>
      <c r="AH20" s="130">
        <v>0</v>
      </c>
      <c r="AI20" s="130">
        <v>3000</v>
      </c>
      <c r="AJ20" s="130">
        <v>0</v>
      </c>
      <c r="AK20" s="130">
        <v>3000</v>
      </c>
      <c r="AL20" s="130">
        <v>0</v>
      </c>
      <c r="AM20" s="130">
        <v>0</v>
      </c>
      <c r="AN20" s="130">
        <v>0</v>
      </c>
      <c r="AO20" s="130">
        <v>0</v>
      </c>
      <c r="AP20" s="130">
        <v>0</v>
      </c>
      <c r="AQ20" s="130">
        <v>3000</v>
      </c>
      <c r="AR20" s="130">
        <v>0</v>
      </c>
      <c r="AS20" s="130">
        <v>0</v>
      </c>
      <c r="AT20" s="130">
        <v>0</v>
      </c>
      <c r="AU20" s="130">
        <v>0</v>
      </c>
      <c r="AV20" s="130">
        <v>0</v>
      </c>
      <c r="AW20" s="130">
        <v>0</v>
      </c>
      <c r="AX20" s="130">
        <v>0</v>
      </c>
      <c r="AY20" s="130">
        <v>0</v>
      </c>
      <c r="AZ20" s="130">
        <v>0</v>
      </c>
      <c r="BA20" s="130">
        <v>0</v>
      </c>
      <c r="BB20" s="130">
        <v>0</v>
      </c>
      <c r="BC20" s="130">
        <v>0</v>
      </c>
      <c r="BD20" s="130">
        <v>3000</v>
      </c>
      <c r="BE20" s="130">
        <v>3000</v>
      </c>
      <c r="BF20" s="130">
        <v>0</v>
      </c>
      <c r="BG20" s="130">
        <v>0</v>
      </c>
      <c r="BH20" s="130">
        <v>0</v>
      </c>
      <c r="BI20" s="130">
        <v>0</v>
      </c>
      <c r="BJ20" s="130">
        <v>0</v>
      </c>
      <c r="BK20" s="130">
        <v>0</v>
      </c>
      <c r="BL20" s="130">
        <v>6000</v>
      </c>
      <c r="BM20" s="130">
        <v>0</v>
      </c>
      <c r="BN20" s="130">
        <v>0</v>
      </c>
      <c r="BO20" s="130">
        <v>0</v>
      </c>
      <c r="BP20" s="130">
        <v>0</v>
      </c>
      <c r="BQ20" s="130">
        <v>0</v>
      </c>
      <c r="BR20" s="130">
        <v>0</v>
      </c>
      <c r="BS20" s="130">
        <v>0</v>
      </c>
      <c r="BT20" s="130">
        <v>0</v>
      </c>
      <c r="BU20" s="130">
        <v>0</v>
      </c>
      <c r="BV20" s="130">
        <v>3000</v>
      </c>
      <c r="BW20" s="130">
        <v>0</v>
      </c>
      <c r="BX20" s="130">
        <v>6000</v>
      </c>
      <c r="BY20" s="130">
        <v>6000</v>
      </c>
      <c r="BZ20" s="130">
        <v>0</v>
      </c>
      <c r="CA20" s="130">
        <v>3000</v>
      </c>
      <c r="CB20" s="130">
        <v>3000</v>
      </c>
      <c r="CC20" s="130">
        <v>0</v>
      </c>
      <c r="CD20" s="130">
        <v>0</v>
      </c>
      <c r="CE20" s="130">
        <v>0</v>
      </c>
      <c r="CF20" s="130">
        <v>0</v>
      </c>
      <c r="CG20" s="130">
        <v>6000</v>
      </c>
      <c r="CH20" s="130">
        <v>0</v>
      </c>
      <c r="CI20" s="130">
        <v>0</v>
      </c>
      <c r="CJ20" s="130">
        <v>0</v>
      </c>
      <c r="CK20" s="130">
        <v>0</v>
      </c>
      <c r="CL20" s="130">
        <v>0</v>
      </c>
      <c r="CM20" s="130">
        <v>0</v>
      </c>
      <c r="CN20" s="130">
        <v>0</v>
      </c>
      <c r="CO20" s="130">
        <v>3000</v>
      </c>
      <c r="CP20" s="130">
        <v>3000</v>
      </c>
      <c r="CQ20" s="130">
        <v>0</v>
      </c>
      <c r="CR20" s="130">
        <v>0</v>
      </c>
      <c r="CS20" s="130">
        <v>0</v>
      </c>
      <c r="CT20" s="130">
        <v>0</v>
      </c>
      <c r="CU20" s="130">
        <v>3000</v>
      </c>
      <c r="CV20" s="130">
        <v>3000</v>
      </c>
      <c r="CW20" s="130">
        <v>0</v>
      </c>
      <c r="CX20" s="130">
        <v>4000</v>
      </c>
      <c r="CY20" s="130">
        <v>3000</v>
      </c>
      <c r="CZ20" s="130">
        <v>15000</v>
      </c>
      <c r="DA20" s="130">
        <v>0</v>
      </c>
    </row>
    <row r="21" spans="1:105" s="136" customFormat="1">
      <c r="A21" s="267"/>
      <c r="B21" s="132" t="s">
        <v>121</v>
      </c>
      <c r="C21" s="133">
        <v>256</v>
      </c>
      <c r="D21" s="134">
        <f t="shared" si="2"/>
        <v>1008000</v>
      </c>
      <c r="E21" s="135">
        <v>0</v>
      </c>
      <c r="F21" s="135">
        <v>0</v>
      </c>
      <c r="G21" s="135">
        <v>0</v>
      </c>
      <c r="H21" s="135">
        <v>25000</v>
      </c>
      <c r="I21" s="135">
        <v>0</v>
      </c>
      <c r="J21" s="135">
        <v>0</v>
      </c>
      <c r="K21" s="135">
        <v>0</v>
      </c>
      <c r="L21" s="135">
        <v>0</v>
      </c>
      <c r="M21" s="135">
        <v>0</v>
      </c>
      <c r="N21" s="135">
        <v>0</v>
      </c>
      <c r="O21" s="135">
        <v>0</v>
      </c>
      <c r="P21" s="135">
        <v>0</v>
      </c>
      <c r="Q21" s="135">
        <v>51000</v>
      </c>
      <c r="R21" s="135">
        <v>0</v>
      </c>
      <c r="S21" s="135">
        <v>0</v>
      </c>
      <c r="T21" s="135">
        <v>0</v>
      </c>
      <c r="U21" s="135">
        <v>0</v>
      </c>
      <c r="V21" s="135">
        <v>0</v>
      </c>
      <c r="W21" s="135">
        <v>0</v>
      </c>
      <c r="X21" s="135">
        <v>8000</v>
      </c>
      <c r="Y21" s="135">
        <v>0</v>
      </c>
      <c r="Z21" s="135">
        <v>0</v>
      </c>
      <c r="AA21" s="135">
        <v>0</v>
      </c>
      <c r="AB21" s="135">
        <v>0</v>
      </c>
      <c r="AC21" s="135">
        <v>25000</v>
      </c>
      <c r="AD21" s="135">
        <v>0</v>
      </c>
      <c r="AE21" s="135">
        <v>0</v>
      </c>
      <c r="AF21" s="135">
        <v>0</v>
      </c>
      <c r="AG21" s="135">
        <v>0</v>
      </c>
      <c r="AH21" s="135">
        <v>8000</v>
      </c>
      <c r="AI21" s="135">
        <v>0</v>
      </c>
      <c r="AJ21" s="135">
        <v>0</v>
      </c>
      <c r="AK21" s="135">
        <v>76000</v>
      </c>
      <c r="AL21" s="135">
        <v>25000</v>
      </c>
      <c r="AM21" s="135">
        <v>0</v>
      </c>
      <c r="AN21" s="135">
        <v>0</v>
      </c>
      <c r="AO21" s="135">
        <v>25000</v>
      </c>
      <c r="AP21" s="135">
        <v>0</v>
      </c>
      <c r="AQ21" s="135">
        <v>26000</v>
      </c>
      <c r="AR21" s="135">
        <v>51000</v>
      </c>
      <c r="AS21" s="135">
        <v>26000</v>
      </c>
      <c r="AT21" s="135">
        <v>85000</v>
      </c>
      <c r="AU21" s="135">
        <v>0</v>
      </c>
      <c r="AV21" s="135">
        <v>0</v>
      </c>
      <c r="AW21" s="135">
        <v>0</v>
      </c>
      <c r="AX21" s="135">
        <v>0</v>
      </c>
      <c r="AY21" s="135">
        <v>0</v>
      </c>
      <c r="AZ21" s="135">
        <v>0</v>
      </c>
      <c r="BA21" s="135">
        <v>25000</v>
      </c>
      <c r="BB21" s="135">
        <v>0</v>
      </c>
      <c r="BC21" s="135">
        <v>0</v>
      </c>
      <c r="BD21" s="135">
        <v>8000</v>
      </c>
      <c r="BE21" s="135">
        <v>102000</v>
      </c>
      <c r="BF21" s="135">
        <v>0</v>
      </c>
      <c r="BG21" s="135">
        <v>25000</v>
      </c>
      <c r="BH21" s="135">
        <v>0</v>
      </c>
      <c r="BI21" s="135">
        <v>0</v>
      </c>
      <c r="BJ21" s="135">
        <v>60000</v>
      </c>
      <c r="BK21" s="135">
        <v>0</v>
      </c>
      <c r="BL21" s="135">
        <v>0</v>
      </c>
      <c r="BM21" s="135">
        <v>25000</v>
      </c>
      <c r="BN21" s="135">
        <v>0</v>
      </c>
      <c r="BO21" s="135">
        <v>0</v>
      </c>
      <c r="BP21" s="135">
        <v>0</v>
      </c>
      <c r="BQ21" s="135">
        <v>51000</v>
      </c>
      <c r="BR21" s="135">
        <v>0</v>
      </c>
      <c r="BS21" s="135">
        <v>9000</v>
      </c>
      <c r="BT21" s="135">
        <v>0</v>
      </c>
      <c r="BU21" s="135">
        <v>26000</v>
      </c>
      <c r="BV21" s="135">
        <v>0</v>
      </c>
      <c r="BW21" s="135">
        <v>0</v>
      </c>
      <c r="BX21" s="135">
        <v>34000</v>
      </c>
      <c r="BY21" s="135">
        <v>0</v>
      </c>
      <c r="BZ21" s="135">
        <v>0</v>
      </c>
      <c r="CA21" s="135">
        <v>25000</v>
      </c>
      <c r="CB21" s="135">
        <v>0</v>
      </c>
      <c r="CC21" s="135">
        <v>0</v>
      </c>
      <c r="CD21" s="135">
        <v>0</v>
      </c>
      <c r="CE21" s="135">
        <v>0</v>
      </c>
      <c r="CF21" s="135">
        <v>60000</v>
      </c>
      <c r="CG21" s="135">
        <v>0</v>
      </c>
      <c r="CH21" s="135">
        <v>0</v>
      </c>
      <c r="CI21" s="135">
        <v>0</v>
      </c>
      <c r="CJ21" s="135">
        <v>0</v>
      </c>
      <c r="CK21" s="135">
        <v>0</v>
      </c>
      <c r="CL21" s="135">
        <v>0</v>
      </c>
      <c r="CM21" s="135">
        <v>0</v>
      </c>
      <c r="CN21" s="135">
        <v>0</v>
      </c>
      <c r="CO21" s="135">
        <v>0</v>
      </c>
      <c r="CP21" s="135">
        <v>0</v>
      </c>
      <c r="CQ21" s="135">
        <v>0</v>
      </c>
      <c r="CR21" s="135">
        <v>25000</v>
      </c>
      <c r="CS21" s="135">
        <v>0</v>
      </c>
      <c r="CT21" s="135">
        <v>34000</v>
      </c>
      <c r="CU21" s="135">
        <v>17000</v>
      </c>
      <c r="CV21" s="135">
        <v>0</v>
      </c>
      <c r="CW21" s="135">
        <v>0</v>
      </c>
      <c r="CX21" s="135">
        <v>0</v>
      </c>
      <c r="CY21" s="135">
        <v>0</v>
      </c>
      <c r="CZ21" s="135">
        <v>26000</v>
      </c>
      <c r="DA21" s="135">
        <v>25000</v>
      </c>
    </row>
    <row r="22" spans="1:105" s="136" customFormat="1">
      <c r="A22" s="267"/>
      <c r="B22" s="132" t="s">
        <v>122</v>
      </c>
      <c r="C22" s="133">
        <v>264</v>
      </c>
      <c r="D22" s="134">
        <f t="shared" si="2"/>
        <v>719000</v>
      </c>
      <c r="E22" s="135">
        <v>0</v>
      </c>
      <c r="F22" s="135">
        <v>0</v>
      </c>
      <c r="G22" s="135">
        <v>0</v>
      </c>
      <c r="H22" s="135">
        <v>21000</v>
      </c>
      <c r="I22" s="135">
        <v>0</v>
      </c>
      <c r="J22" s="135">
        <v>0</v>
      </c>
      <c r="K22" s="135">
        <v>0</v>
      </c>
      <c r="L22" s="135">
        <v>0</v>
      </c>
      <c r="M22" s="135">
        <v>0</v>
      </c>
      <c r="N22" s="135">
        <v>0</v>
      </c>
      <c r="O22" s="135">
        <v>0</v>
      </c>
      <c r="P22" s="135">
        <v>0</v>
      </c>
      <c r="Q22" s="135">
        <v>27000</v>
      </c>
      <c r="R22" s="135">
        <v>0</v>
      </c>
      <c r="S22" s="135">
        <v>0</v>
      </c>
      <c r="T22" s="135" t="s">
        <v>702</v>
      </c>
      <c r="U22" s="135">
        <v>0</v>
      </c>
      <c r="V22" s="135">
        <v>0</v>
      </c>
      <c r="W22" s="135">
        <v>0</v>
      </c>
      <c r="X22" s="135">
        <v>23000</v>
      </c>
      <c r="Y22" s="135">
        <v>0</v>
      </c>
      <c r="Z22" s="135">
        <v>0</v>
      </c>
      <c r="AA22" s="135">
        <v>0</v>
      </c>
      <c r="AB22" s="135">
        <v>0</v>
      </c>
      <c r="AC22" s="135">
        <v>23000</v>
      </c>
      <c r="AD22" s="135">
        <v>0</v>
      </c>
      <c r="AE22" s="135">
        <v>0</v>
      </c>
      <c r="AF22" s="135">
        <v>0</v>
      </c>
      <c r="AG22" s="135">
        <v>0</v>
      </c>
      <c r="AH22" s="135">
        <v>23000</v>
      </c>
      <c r="AI22" s="135">
        <v>0</v>
      </c>
      <c r="AJ22" s="135">
        <v>0</v>
      </c>
      <c r="AK22" s="135">
        <v>27000</v>
      </c>
      <c r="AL22" s="135">
        <v>23000</v>
      </c>
      <c r="AM22" s="135">
        <v>0</v>
      </c>
      <c r="AN22" s="135">
        <v>0</v>
      </c>
      <c r="AO22" s="135">
        <v>23000</v>
      </c>
      <c r="AP22" s="135">
        <v>0</v>
      </c>
      <c r="AQ22" s="135">
        <v>21000</v>
      </c>
      <c r="AR22" s="135">
        <v>8000</v>
      </c>
      <c r="AS22" s="135">
        <v>23000</v>
      </c>
      <c r="AT22" s="135">
        <v>31000</v>
      </c>
      <c r="AU22" s="135">
        <v>0</v>
      </c>
      <c r="AV22" s="135">
        <v>0</v>
      </c>
      <c r="AW22" s="135">
        <v>0</v>
      </c>
      <c r="AX22" s="135">
        <v>0</v>
      </c>
      <c r="AY22" s="135">
        <v>0</v>
      </c>
      <c r="AZ22" s="135">
        <v>0</v>
      </c>
      <c r="BA22" s="135">
        <v>23000</v>
      </c>
      <c r="BB22" s="135">
        <v>0</v>
      </c>
      <c r="BC22" s="135">
        <v>0</v>
      </c>
      <c r="BD22" s="135">
        <v>23000</v>
      </c>
      <c r="BE22" s="135">
        <v>27000</v>
      </c>
      <c r="BF22" s="135">
        <v>0</v>
      </c>
      <c r="BG22" s="135">
        <v>23000</v>
      </c>
      <c r="BH22" s="135">
        <v>0</v>
      </c>
      <c r="BI22" s="135">
        <v>0</v>
      </c>
      <c r="BJ22" s="135">
        <v>37000</v>
      </c>
      <c r="BK22" s="135">
        <v>0</v>
      </c>
      <c r="BL22" s="135">
        <v>0</v>
      </c>
      <c r="BM22" s="135">
        <v>23000</v>
      </c>
      <c r="BN22" s="135">
        <v>0</v>
      </c>
      <c r="BO22" s="135">
        <v>0</v>
      </c>
      <c r="BP22" s="135">
        <v>0</v>
      </c>
      <c r="BQ22" s="135">
        <v>7000</v>
      </c>
      <c r="BR22" s="135">
        <v>0</v>
      </c>
      <c r="BS22" s="135">
        <v>8000</v>
      </c>
      <c r="BT22" s="135">
        <v>0</v>
      </c>
      <c r="BU22" s="135">
        <v>23000</v>
      </c>
      <c r="BV22" s="135">
        <v>0</v>
      </c>
      <c r="BW22" s="135">
        <v>0</v>
      </c>
      <c r="BX22" s="135">
        <v>23000</v>
      </c>
      <c r="BY22" s="135">
        <v>0</v>
      </c>
      <c r="BZ22" s="135">
        <v>0</v>
      </c>
      <c r="CA22" s="135">
        <v>37000</v>
      </c>
      <c r="CB22" s="135">
        <v>0</v>
      </c>
      <c r="CC22" s="135">
        <v>0</v>
      </c>
      <c r="CD22" s="135">
        <v>0</v>
      </c>
      <c r="CE22" s="135">
        <v>0</v>
      </c>
      <c r="CF22" s="135">
        <v>37000</v>
      </c>
      <c r="CG22" s="135">
        <v>0</v>
      </c>
      <c r="CH22" s="135">
        <v>0</v>
      </c>
      <c r="CI22" s="135">
        <v>0</v>
      </c>
      <c r="CJ22" s="135">
        <v>0</v>
      </c>
      <c r="CK22" s="135">
        <v>0</v>
      </c>
      <c r="CL22" s="135">
        <v>0</v>
      </c>
      <c r="CM22" s="135">
        <v>0</v>
      </c>
      <c r="CN22" s="135">
        <v>0</v>
      </c>
      <c r="CO22" s="135">
        <v>0</v>
      </c>
      <c r="CP22" s="135">
        <v>0</v>
      </c>
      <c r="CQ22" s="135">
        <v>0</v>
      </c>
      <c r="CR22" s="135">
        <v>23000</v>
      </c>
      <c r="CS22" s="135">
        <v>0</v>
      </c>
      <c r="CT22" s="135">
        <v>37000</v>
      </c>
      <c r="CU22" s="135">
        <v>38000</v>
      </c>
      <c r="CV22" s="135">
        <v>0</v>
      </c>
      <c r="CW22" s="135">
        <v>0</v>
      </c>
      <c r="CX22" s="135">
        <v>0</v>
      </c>
      <c r="CY22" s="135">
        <v>0</v>
      </c>
      <c r="CZ22" s="135">
        <v>21000</v>
      </c>
      <c r="DA22" s="135">
        <v>36000</v>
      </c>
    </row>
    <row r="23" spans="1:105" s="136" customFormat="1" ht="32.4">
      <c r="A23" s="267"/>
      <c r="B23" s="132" t="s">
        <v>123</v>
      </c>
      <c r="C23" s="133" t="s">
        <v>124</v>
      </c>
      <c r="D23" s="134">
        <f>SUM(E23:DA23)</f>
        <v>16981000</v>
      </c>
      <c r="E23" s="135">
        <v>0</v>
      </c>
      <c r="F23" s="135">
        <v>0</v>
      </c>
      <c r="G23" s="135">
        <v>0</v>
      </c>
      <c r="H23" s="135">
        <v>515000</v>
      </c>
      <c r="I23" s="135">
        <v>0</v>
      </c>
      <c r="J23" s="135">
        <v>0</v>
      </c>
      <c r="K23" s="135">
        <v>0</v>
      </c>
      <c r="L23" s="135">
        <v>0</v>
      </c>
      <c r="M23" s="135">
        <v>0</v>
      </c>
      <c r="N23" s="135">
        <v>0</v>
      </c>
      <c r="O23" s="135">
        <v>0</v>
      </c>
      <c r="P23" s="135">
        <v>0</v>
      </c>
      <c r="Q23" s="135">
        <v>1029000</v>
      </c>
      <c r="R23" s="135">
        <v>0</v>
      </c>
      <c r="S23" s="135">
        <v>0</v>
      </c>
      <c r="T23" s="135">
        <v>0</v>
      </c>
      <c r="U23" s="135">
        <v>0</v>
      </c>
      <c r="V23" s="135">
        <v>0</v>
      </c>
      <c r="W23" s="135">
        <v>0</v>
      </c>
      <c r="X23" s="135">
        <v>515000</v>
      </c>
      <c r="Y23" s="135">
        <v>0</v>
      </c>
      <c r="Z23" s="135">
        <v>0</v>
      </c>
      <c r="AA23" s="135">
        <v>0</v>
      </c>
      <c r="AB23" s="135">
        <v>0</v>
      </c>
      <c r="AC23" s="135">
        <v>514000</v>
      </c>
      <c r="AD23" s="135">
        <v>0</v>
      </c>
      <c r="AE23" s="135">
        <v>0</v>
      </c>
      <c r="AF23" s="135">
        <v>0</v>
      </c>
      <c r="AG23" s="135">
        <v>0</v>
      </c>
      <c r="AH23" s="135">
        <v>515000</v>
      </c>
      <c r="AI23" s="135">
        <v>0</v>
      </c>
      <c r="AJ23" s="135">
        <v>0</v>
      </c>
      <c r="AK23" s="135">
        <v>769000</v>
      </c>
      <c r="AL23" s="135">
        <v>515000</v>
      </c>
      <c r="AM23" s="135">
        <v>0</v>
      </c>
      <c r="AN23" s="135">
        <v>0</v>
      </c>
      <c r="AO23" s="135">
        <v>515000</v>
      </c>
      <c r="AP23" s="135">
        <v>0</v>
      </c>
      <c r="AQ23" s="135">
        <v>514000</v>
      </c>
      <c r="AR23" s="135">
        <v>515000</v>
      </c>
      <c r="AS23" s="135">
        <v>514000</v>
      </c>
      <c r="AT23" s="135">
        <v>1029000</v>
      </c>
      <c r="AU23" s="135">
        <v>0</v>
      </c>
      <c r="AV23" s="135">
        <v>0</v>
      </c>
      <c r="AW23" s="135">
        <v>0</v>
      </c>
      <c r="AX23" s="135">
        <v>0</v>
      </c>
      <c r="AY23" s="135">
        <v>0</v>
      </c>
      <c r="AZ23" s="135">
        <v>0</v>
      </c>
      <c r="BA23" s="135">
        <v>515000</v>
      </c>
      <c r="BB23" s="135">
        <v>0</v>
      </c>
      <c r="BC23" s="135">
        <v>0</v>
      </c>
      <c r="BD23" s="135">
        <v>515000</v>
      </c>
      <c r="BE23" s="135">
        <v>769000</v>
      </c>
      <c r="BF23" s="135">
        <v>0</v>
      </c>
      <c r="BG23" s="135">
        <v>515000</v>
      </c>
      <c r="BH23" s="135">
        <v>0</v>
      </c>
      <c r="BI23" s="135">
        <v>0</v>
      </c>
      <c r="BJ23" s="135">
        <v>726000</v>
      </c>
      <c r="BK23" s="135">
        <v>0</v>
      </c>
      <c r="BL23" s="135">
        <v>0</v>
      </c>
      <c r="BM23" s="135">
        <v>514000</v>
      </c>
      <c r="BN23" s="135">
        <v>0</v>
      </c>
      <c r="BO23" s="135">
        <v>0</v>
      </c>
      <c r="BP23" s="135">
        <v>0</v>
      </c>
      <c r="BQ23" s="135">
        <v>515000</v>
      </c>
      <c r="BR23" s="135">
        <v>0</v>
      </c>
      <c r="BS23" s="135">
        <v>189000</v>
      </c>
      <c r="BT23" s="135">
        <v>0</v>
      </c>
      <c r="BU23" s="135">
        <v>515000</v>
      </c>
      <c r="BV23" s="135">
        <v>0</v>
      </c>
      <c r="BW23" s="135">
        <v>0</v>
      </c>
      <c r="BX23" s="135">
        <v>515000</v>
      </c>
      <c r="BY23" s="135">
        <v>0</v>
      </c>
      <c r="BZ23" s="135">
        <v>0</v>
      </c>
      <c r="CA23" s="135">
        <v>514000</v>
      </c>
      <c r="CB23" s="135">
        <v>0</v>
      </c>
      <c r="CC23" s="135">
        <v>0</v>
      </c>
      <c r="CD23" s="135">
        <v>0</v>
      </c>
      <c r="CE23" s="135">
        <v>0</v>
      </c>
      <c r="CF23" s="135">
        <v>726000</v>
      </c>
      <c r="CG23" s="135">
        <v>0</v>
      </c>
      <c r="CH23" s="135">
        <v>0</v>
      </c>
      <c r="CI23" s="135">
        <v>0</v>
      </c>
      <c r="CJ23" s="135">
        <v>0</v>
      </c>
      <c r="CK23" s="135">
        <v>0</v>
      </c>
      <c r="CL23" s="135">
        <v>0</v>
      </c>
      <c r="CM23" s="135">
        <v>0</v>
      </c>
      <c r="CN23" s="135">
        <v>0</v>
      </c>
      <c r="CO23" s="135">
        <v>0</v>
      </c>
      <c r="CP23" s="135">
        <v>0</v>
      </c>
      <c r="CQ23" s="135">
        <v>0</v>
      </c>
      <c r="CR23" s="135">
        <v>514000</v>
      </c>
      <c r="CS23" s="135">
        <v>0</v>
      </c>
      <c r="CT23" s="135">
        <v>726000</v>
      </c>
      <c r="CU23" s="135">
        <v>726000</v>
      </c>
      <c r="CV23" s="135">
        <v>0</v>
      </c>
      <c r="CW23" s="135">
        <v>0</v>
      </c>
      <c r="CX23" s="135">
        <v>0</v>
      </c>
      <c r="CY23" s="135">
        <v>0</v>
      </c>
      <c r="CZ23" s="135">
        <v>514000</v>
      </c>
      <c r="DA23" s="135">
        <v>514000</v>
      </c>
    </row>
    <row r="24" spans="1:105" s="126" customFormat="1">
      <c r="A24" s="267"/>
      <c r="B24" s="122" t="s">
        <v>125</v>
      </c>
      <c r="C24" s="123" t="s">
        <v>124</v>
      </c>
      <c r="D24" s="124">
        <f t="shared" si="2"/>
        <v>9865000</v>
      </c>
      <c r="E24" s="125">
        <v>164000</v>
      </c>
      <c r="F24" s="125">
        <v>138000</v>
      </c>
      <c r="G24" s="125">
        <v>164000</v>
      </c>
      <c r="H24" s="125">
        <v>68000</v>
      </c>
      <c r="I24" s="125">
        <v>69000</v>
      </c>
      <c r="J24" s="125">
        <v>86000</v>
      </c>
      <c r="K24" s="125">
        <v>101000</v>
      </c>
      <c r="L24" s="125">
        <v>68000</v>
      </c>
      <c r="M24" s="125">
        <v>164000</v>
      </c>
      <c r="N24" s="125">
        <v>65000</v>
      </c>
      <c r="O24" s="125">
        <v>69000</v>
      </c>
      <c r="P24" s="125">
        <v>68000</v>
      </c>
      <c r="Q24" s="125">
        <v>164000</v>
      </c>
      <c r="R24" s="125">
        <v>68000</v>
      </c>
      <c r="S24" s="125">
        <v>68000</v>
      </c>
      <c r="T24" s="125">
        <v>68000</v>
      </c>
      <c r="U24" s="125">
        <v>68000</v>
      </c>
      <c r="V24" s="125">
        <v>164000</v>
      </c>
      <c r="W24" s="125">
        <v>164000</v>
      </c>
      <c r="X24" s="125">
        <v>68000</v>
      </c>
      <c r="Y24" s="125">
        <v>164000</v>
      </c>
      <c r="Z24" s="125">
        <v>0</v>
      </c>
      <c r="AA24" s="125">
        <v>68000</v>
      </c>
      <c r="AB24" s="125">
        <v>89000</v>
      </c>
      <c r="AC24" s="125">
        <v>68000</v>
      </c>
      <c r="AD24" s="125">
        <v>68000</v>
      </c>
      <c r="AE24" s="125">
        <v>68000</v>
      </c>
      <c r="AF24" s="125">
        <v>68000</v>
      </c>
      <c r="AG24" s="125">
        <v>68000</v>
      </c>
      <c r="AH24" s="125">
        <v>128000</v>
      </c>
      <c r="AI24" s="125">
        <v>164000</v>
      </c>
      <c r="AJ24" s="125">
        <v>68000</v>
      </c>
      <c r="AK24" s="125">
        <v>164000</v>
      </c>
      <c r="AL24" s="125">
        <v>68000</v>
      </c>
      <c r="AM24" s="125">
        <v>164000</v>
      </c>
      <c r="AN24" s="125">
        <v>68000</v>
      </c>
      <c r="AO24" s="125">
        <v>164000</v>
      </c>
      <c r="AP24" s="125">
        <v>164000</v>
      </c>
      <c r="AQ24" s="125">
        <v>164000</v>
      </c>
      <c r="AR24" s="125">
        <v>164000</v>
      </c>
      <c r="AS24" s="125">
        <v>157000</v>
      </c>
      <c r="AT24" s="125">
        <v>55000</v>
      </c>
      <c r="AU24" s="125">
        <v>68000</v>
      </c>
      <c r="AV24" s="125">
        <v>164000</v>
      </c>
      <c r="AW24" s="125">
        <v>0</v>
      </c>
      <c r="AX24" s="125">
        <v>68000</v>
      </c>
      <c r="AY24" s="125">
        <v>164000</v>
      </c>
      <c r="AZ24" s="125">
        <v>164000</v>
      </c>
      <c r="BA24" s="125">
        <v>164000</v>
      </c>
      <c r="BB24" s="125">
        <v>88000</v>
      </c>
      <c r="BC24" s="125">
        <v>68000</v>
      </c>
      <c r="BD24" s="125">
        <v>68000</v>
      </c>
      <c r="BE24" s="125">
        <v>329000</v>
      </c>
      <c r="BF24" s="125">
        <v>108000</v>
      </c>
      <c r="BG24" s="125">
        <v>68000</v>
      </c>
      <c r="BH24" s="125">
        <v>68000</v>
      </c>
      <c r="BI24" s="125">
        <v>0</v>
      </c>
      <c r="BJ24" s="125">
        <v>164000</v>
      </c>
      <c r="BK24" s="125">
        <v>164000</v>
      </c>
      <c r="BL24" s="125">
        <v>0</v>
      </c>
      <c r="BM24" s="125">
        <v>164000</v>
      </c>
      <c r="BN24" s="125">
        <v>68000</v>
      </c>
      <c r="BO24" s="125">
        <v>68000</v>
      </c>
      <c r="BP24" s="125">
        <v>68000</v>
      </c>
      <c r="BQ24" s="125">
        <v>164000</v>
      </c>
      <c r="BR24" s="125">
        <v>164000</v>
      </c>
      <c r="BS24" s="125">
        <v>164000</v>
      </c>
      <c r="BT24" s="125">
        <v>80000</v>
      </c>
      <c r="BU24" s="125">
        <v>24000</v>
      </c>
      <c r="BV24" s="125">
        <v>164000</v>
      </c>
      <c r="BW24" s="125">
        <v>0</v>
      </c>
      <c r="BX24" s="125">
        <v>0</v>
      </c>
      <c r="BY24" s="125">
        <v>80000</v>
      </c>
      <c r="BZ24" s="125">
        <v>92000</v>
      </c>
      <c r="CA24" s="125">
        <v>80000</v>
      </c>
      <c r="CB24" s="125">
        <v>68000</v>
      </c>
      <c r="CC24" s="125">
        <v>68000</v>
      </c>
      <c r="CD24" s="125">
        <v>116000</v>
      </c>
      <c r="CE24" s="125">
        <v>92000</v>
      </c>
      <c r="CF24" s="125">
        <v>114000</v>
      </c>
      <c r="CG24" s="125">
        <v>92000</v>
      </c>
      <c r="CH24" s="125">
        <v>80000</v>
      </c>
      <c r="CI24" s="125">
        <v>86000</v>
      </c>
      <c r="CJ24" s="125">
        <v>0</v>
      </c>
      <c r="CK24" s="125">
        <v>68000</v>
      </c>
      <c r="CL24" s="125">
        <v>164000</v>
      </c>
      <c r="CM24" s="125">
        <v>68000</v>
      </c>
      <c r="CN24" s="125">
        <v>68000</v>
      </c>
      <c r="CO24" s="125">
        <v>58000</v>
      </c>
      <c r="CP24" s="125">
        <v>0</v>
      </c>
      <c r="CQ24" s="125">
        <v>68000</v>
      </c>
      <c r="CR24" s="125">
        <v>164000</v>
      </c>
      <c r="CS24" s="125">
        <v>68000</v>
      </c>
      <c r="CT24" s="125">
        <v>164000</v>
      </c>
      <c r="CU24" s="125">
        <v>68000</v>
      </c>
      <c r="CV24" s="125">
        <v>0</v>
      </c>
      <c r="CW24" s="125">
        <v>68000</v>
      </c>
      <c r="CX24" s="125">
        <v>164000</v>
      </c>
      <c r="CY24" s="125">
        <v>0</v>
      </c>
      <c r="CZ24" s="125">
        <v>89000</v>
      </c>
      <c r="DA24" s="125">
        <v>164000</v>
      </c>
    </row>
    <row r="25" spans="1:105" s="126" customFormat="1" ht="32.4">
      <c r="A25" s="267"/>
      <c r="B25" s="122" t="s">
        <v>126</v>
      </c>
      <c r="C25" s="123" t="s">
        <v>124</v>
      </c>
      <c r="D25" s="124">
        <f t="shared" si="2"/>
        <v>4220000</v>
      </c>
      <c r="E25" s="125">
        <v>60000</v>
      </c>
      <c r="F25" s="125">
        <v>0</v>
      </c>
      <c r="G25" s="125">
        <v>0</v>
      </c>
      <c r="H25" s="125">
        <v>80000</v>
      </c>
      <c r="I25" s="125">
        <v>0</v>
      </c>
      <c r="J25" s="125">
        <v>60000</v>
      </c>
      <c r="K25" s="125">
        <v>0</v>
      </c>
      <c r="L25" s="125">
        <v>0</v>
      </c>
      <c r="M25" s="125">
        <v>60000</v>
      </c>
      <c r="N25" s="125">
        <v>60000</v>
      </c>
      <c r="O25" s="125">
        <v>0</v>
      </c>
      <c r="P25" s="125">
        <v>0</v>
      </c>
      <c r="Q25" s="125">
        <v>60000</v>
      </c>
      <c r="R25" s="125">
        <v>80000</v>
      </c>
      <c r="S25" s="125">
        <v>0</v>
      </c>
      <c r="T25" s="125">
        <v>0</v>
      </c>
      <c r="U25" s="125">
        <v>0</v>
      </c>
      <c r="V25" s="125">
        <v>0</v>
      </c>
      <c r="W25" s="125">
        <v>0</v>
      </c>
      <c r="X25" s="125">
        <v>80000</v>
      </c>
      <c r="Y25" s="125">
        <v>60000</v>
      </c>
      <c r="Z25" s="125">
        <v>0</v>
      </c>
      <c r="AA25" s="125">
        <v>80000</v>
      </c>
      <c r="AB25" s="125">
        <v>0</v>
      </c>
      <c r="AC25" s="125">
        <v>0</v>
      </c>
      <c r="AD25" s="125">
        <v>80000</v>
      </c>
      <c r="AE25" s="125">
        <v>80000</v>
      </c>
      <c r="AF25" s="125">
        <v>80000</v>
      </c>
      <c r="AG25" s="125">
        <v>80000</v>
      </c>
      <c r="AH25" s="125">
        <v>0</v>
      </c>
      <c r="AI25" s="125">
        <v>80000</v>
      </c>
      <c r="AJ25" s="125">
        <v>80000</v>
      </c>
      <c r="AK25" s="125">
        <v>80000</v>
      </c>
      <c r="AL25" s="125">
        <v>0</v>
      </c>
      <c r="AM25" s="125">
        <v>60000</v>
      </c>
      <c r="AN25" s="125">
        <v>60000</v>
      </c>
      <c r="AO25" s="125">
        <v>60000</v>
      </c>
      <c r="AP25" s="125">
        <v>0</v>
      </c>
      <c r="AQ25" s="125">
        <v>0</v>
      </c>
      <c r="AR25" s="125">
        <v>0</v>
      </c>
      <c r="AS25" s="125">
        <v>0</v>
      </c>
      <c r="AT25" s="125">
        <v>80000</v>
      </c>
      <c r="AU25" s="125">
        <v>80000</v>
      </c>
      <c r="AV25" s="125">
        <v>60000</v>
      </c>
      <c r="AW25" s="125">
        <v>80000</v>
      </c>
      <c r="AX25" s="125">
        <v>0</v>
      </c>
      <c r="AY25" s="125">
        <v>80000</v>
      </c>
      <c r="AZ25" s="125">
        <v>0</v>
      </c>
      <c r="BA25" s="125">
        <v>60000</v>
      </c>
      <c r="BB25" s="125">
        <v>60000</v>
      </c>
      <c r="BC25" s="125">
        <v>60000</v>
      </c>
      <c r="BD25" s="125">
        <v>60000</v>
      </c>
      <c r="BE25" s="125">
        <v>80000</v>
      </c>
      <c r="BF25" s="125">
        <v>0</v>
      </c>
      <c r="BG25" s="125">
        <v>60000</v>
      </c>
      <c r="BH25" s="125">
        <v>80000</v>
      </c>
      <c r="BI25" s="125">
        <v>60000</v>
      </c>
      <c r="BJ25" s="125">
        <v>80000</v>
      </c>
      <c r="BK25" s="125">
        <v>0</v>
      </c>
      <c r="BL25" s="125">
        <v>0</v>
      </c>
      <c r="BM25" s="125">
        <v>80000</v>
      </c>
      <c r="BN25" s="125">
        <v>60000</v>
      </c>
      <c r="BO25" s="125">
        <v>0</v>
      </c>
      <c r="BP25" s="125">
        <v>60000</v>
      </c>
      <c r="BQ25" s="125">
        <v>80000</v>
      </c>
      <c r="BR25" s="125">
        <v>0</v>
      </c>
      <c r="BS25" s="125">
        <v>80000</v>
      </c>
      <c r="BT25" s="125">
        <v>80000</v>
      </c>
      <c r="BU25" s="125">
        <v>80000</v>
      </c>
      <c r="BV25" s="125">
        <v>80000</v>
      </c>
      <c r="BW25" s="125">
        <v>0</v>
      </c>
      <c r="BX25" s="125">
        <v>60000</v>
      </c>
      <c r="BY25" s="125">
        <v>60000</v>
      </c>
      <c r="BZ25" s="125">
        <v>80000</v>
      </c>
      <c r="CA25" s="125">
        <v>0</v>
      </c>
      <c r="CB25" s="125">
        <v>80000</v>
      </c>
      <c r="CC25" s="125">
        <v>60000</v>
      </c>
      <c r="CD25" s="125">
        <v>60000</v>
      </c>
      <c r="CE25" s="125">
        <v>0</v>
      </c>
      <c r="CF25" s="125">
        <v>0</v>
      </c>
      <c r="CG25" s="125">
        <v>60000</v>
      </c>
      <c r="CH25" s="125">
        <v>60000</v>
      </c>
      <c r="CI25" s="125">
        <v>0</v>
      </c>
      <c r="CJ25" s="125">
        <v>0</v>
      </c>
      <c r="CK25" s="125">
        <v>80000</v>
      </c>
      <c r="CL25" s="125">
        <v>60000</v>
      </c>
      <c r="CM25" s="125">
        <v>60000</v>
      </c>
      <c r="CN25" s="125">
        <v>60000</v>
      </c>
      <c r="CO25" s="125">
        <v>80000</v>
      </c>
      <c r="CP25" s="125">
        <v>60000</v>
      </c>
      <c r="CQ25" s="125">
        <v>0</v>
      </c>
      <c r="CR25" s="125">
        <v>0</v>
      </c>
      <c r="CS25" s="125">
        <v>60000</v>
      </c>
      <c r="CT25" s="125">
        <v>0</v>
      </c>
      <c r="CU25" s="125">
        <v>60000</v>
      </c>
      <c r="CV25" s="125">
        <v>0</v>
      </c>
      <c r="CW25" s="125">
        <v>60000</v>
      </c>
      <c r="CX25" s="125">
        <v>0</v>
      </c>
      <c r="CY25" s="125">
        <v>60000</v>
      </c>
      <c r="CZ25" s="125">
        <v>0</v>
      </c>
      <c r="DA25" s="125">
        <v>60000</v>
      </c>
    </row>
    <row r="26" spans="1:105" s="126" customFormat="1">
      <c r="A26" s="267"/>
      <c r="B26" s="122" t="s">
        <v>127</v>
      </c>
      <c r="C26" s="123" t="s">
        <v>128</v>
      </c>
      <c r="D26" s="124">
        <f t="shared" si="2"/>
        <v>4620000</v>
      </c>
      <c r="E26" s="125">
        <v>58000</v>
      </c>
      <c r="F26" s="125">
        <v>252000</v>
      </c>
      <c r="G26" s="125">
        <v>98000</v>
      </c>
      <c r="H26" s="125">
        <v>76000</v>
      </c>
      <c r="I26" s="125">
        <v>158000</v>
      </c>
      <c r="J26" s="125">
        <v>28000</v>
      </c>
      <c r="K26" s="125">
        <v>32000</v>
      </c>
      <c r="L26" s="125">
        <v>72000</v>
      </c>
      <c r="M26" s="125">
        <v>88000</v>
      </c>
      <c r="N26" s="125">
        <v>28000</v>
      </c>
      <c r="O26" s="125">
        <v>104000</v>
      </c>
      <c r="P26" s="125">
        <v>30000</v>
      </c>
      <c r="Q26" s="125">
        <v>78000</v>
      </c>
      <c r="R26" s="125">
        <v>94000</v>
      </c>
      <c r="S26" s="125">
        <v>30000</v>
      </c>
      <c r="T26" s="125">
        <v>32000</v>
      </c>
      <c r="U26" s="125">
        <v>82000</v>
      </c>
      <c r="V26" s="125">
        <v>178000</v>
      </c>
      <c r="W26" s="125">
        <v>136000</v>
      </c>
      <c r="X26" s="125">
        <v>28000</v>
      </c>
      <c r="Y26" s="125">
        <v>66000</v>
      </c>
      <c r="Z26" s="125">
        <v>34000</v>
      </c>
      <c r="AA26" s="125">
        <v>64000</v>
      </c>
      <c r="AB26" s="125">
        <v>70000</v>
      </c>
      <c r="AC26" s="125">
        <v>34000</v>
      </c>
      <c r="AD26" s="125">
        <v>42000</v>
      </c>
      <c r="AE26" s="125">
        <v>30000</v>
      </c>
      <c r="AF26" s="125">
        <v>36000</v>
      </c>
      <c r="AG26" s="125">
        <v>36000</v>
      </c>
      <c r="AH26" s="125">
        <v>28000</v>
      </c>
      <c r="AI26" s="125">
        <v>28000</v>
      </c>
      <c r="AJ26" s="125">
        <v>24000</v>
      </c>
      <c r="AK26" s="125">
        <v>58000</v>
      </c>
      <c r="AL26" s="125">
        <v>34000</v>
      </c>
      <c r="AM26" s="125">
        <v>28000</v>
      </c>
      <c r="AN26" s="125">
        <v>28000</v>
      </c>
      <c r="AO26" s="125">
        <v>28000</v>
      </c>
      <c r="AP26" s="125">
        <v>38000</v>
      </c>
      <c r="AQ26" s="125">
        <v>44000</v>
      </c>
      <c r="AR26" s="125">
        <v>34000</v>
      </c>
      <c r="AS26" s="125">
        <v>34000</v>
      </c>
      <c r="AT26" s="125">
        <v>72000</v>
      </c>
      <c r="AU26" s="125">
        <v>32000</v>
      </c>
      <c r="AV26" s="125">
        <v>28000</v>
      </c>
      <c r="AW26" s="125">
        <v>24000</v>
      </c>
      <c r="AX26" s="125">
        <v>32000</v>
      </c>
      <c r="AY26" s="125">
        <v>32000</v>
      </c>
      <c r="AZ26" s="125">
        <v>34000</v>
      </c>
      <c r="BA26" s="125">
        <v>36000</v>
      </c>
      <c r="BB26" s="125">
        <v>20000</v>
      </c>
      <c r="BC26" s="125">
        <v>30000</v>
      </c>
      <c r="BD26" s="125">
        <v>28000</v>
      </c>
      <c r="BE26" s="125">
        <v>108000</v>
      </c>
      <c r="BF26" s="125">
        <v>34000</v>
      </c>
      <c r="BG26" s="125">
        <v>36000</v>
      </c>
      <c r="BH26" s="125">
        <v>26000</v>
      </c>
      <c r="BI26" s="125">
        <v>32000</v>
      </c>
      <c r="BJ26" s="125">
        <v>32000</v>
      </c>
      <c r="BK26" s="125">
        <v>28000</v>
      </c>
      <c r="BL26" s="125">
        <v>68000</v>
      </c>
      <c r="BM26" s="125">
        <v>28000</v>
      </c>
      <c r="BN26" s="125">
        <v>32000</v>
      </c>
      <c r="BO26" s="125">
        <v>34000</v>
      </c>
      <c r="BP26" s="125">
        <v>28000</v>
      </c>
      <c r="BQ26" s="125">
        <v>42000</v>
      </c>
      <c r="BR26" s="125">
        <v>28000</v>
      </c>
      <c r="BS26" s="125">
        <v>28000</v>
      </c>
      <c r="BT26" s="125">
        <v>28000</v>
      </c>
      <c r="BU26" s="125">
        <v>34000</v>
      </c>
      <c r="BV26" s="125">
        <v>34000</v>
      </c>
      <c r="BW26" s="125">
        <v>30000</v>
      </c>
      <c r="BX26" s="125">
        <v>30000</v>
      </c>
      <c r="BY26" s="125">
        <v>38000</v>
      </c>
      <c r="BZ26" s="125">
        <v>32000</v>
      </c>
      <c r="CA26" s="125">
        <v>38000</v>
      </c>
      <c r="CB26" s="125">
        <v>26000</v>
      </c>
      <c r="CC26" s="125">
        <v>32000</v>
      </c>
      <c r="CD26" s="125">
        <v>28000</v>
      </c>
      <c r="CE26" s="125">
        <v>34000</v>
      </c>
      <c r="CF26" s="125">
        <v>36000</v>
      </c>
      <c r="CG26" s="125">
        <v>30000</v>
      </c>
      <c r="CH26" s="125">
        <v>32000</v>
      </c>
      <c r="CI26" s="125">
        <v>32000</v>
      </c>
      <c r="CJ26" s="125">
        <v>46000</v>
      </c>
      <c r="CK26" s="125">
        <v>32000</v>
      </c>
      <c r="CL26" s="125">
        <v>32000</v>
      </c>
      <c r="CM26" s="125">
        <v>30000</v>
      </c>
      <c r="CN26" s="125">
        <v>34000</v>
      </c>
      <c r="CO26" s="125">
        <v>32000</v>
      </c>
      <c r="CP26" s="125">
        <v>32000</v>
      </c>
      <c r="CQ26" s="125">
        <v>34000</v>
      </c>
      <c r="CR26" s="125">
        <v>36000</v>
      </c>
      <c r="CS26" s="125">
        <v>28000</v>
      </c>
      <c r="CT26" s="125">
        <v>34000</v>
      </c>
      <c r="CU26" s="125">
        <v>32000</v>
      </c>
      <c r="CV26" s="125">
        <v>34000</v>
      </c>
      <c r="CW26" s="125">
        <v>28000</v>
      </c>
      <c r="CX26" s="125">
        <v>28000</v>
      </c>
      <c r="CY26" s="125">
        <v>26000</v>
      </c>
      <c r="CZ26" s="125">
        <v>102000</v>
      </c>
      <c r="DA26" s="125">
        <v>34000</v>
      </c>
    </row>
    <row r="27" spans="1:105" s="126" customFormat="1">
      <c r="A27" s="267"/>
      <c r="B27" s="122" t="s">
        <v>129</v>
      </c>
      <c r="C27" s="123" t="s">
        <v>130</v>
      </c>
      <c r="D27" s="124">
        <f t="shared" si="2"/>
        <v>7251000</v>
      </c>
      <c r="E27" s="125">
        <v>60000</v>
      </c>
      <c r="F27" s="125">
        <v>751000</v>
      </c>
      <c r="G27" s="125">
        <v>0</v>
      </c>
      <c r="H27" s="125">
        <v>96000</v>
      </c>
      <c r="I27" s="125">
        <v>96000</v>
      </c>
      <c r="J27" s="125">
        <v>78000</v>
      </c>
      <c r="K27" s="125">
        <v>63000</v>
      </c>
      <c r="L27" s="125">
        <v>96000</v>
      </c>
      <c r="M27" s="125">
        <v>0</v>
      </c>
      <c r="N27" s="125">
        <v>98000</v>
      </c>
      <c r="O27" s="125">
        <v>95000</v>
      </c>
      <c r="P27" s="125">
        <v>96000</v>
      </c>
      <c r="Q27" s="125">
        <v>0</v>
      </c>
      <c r="R27" s="125">
        <v>96000</v>
      </c>
      <c r="S27" s="125">
        <v>96000</v>
      </c>
      <c r="T27" s="125">
        <v>96000</v>
      </c>
      <c r="U27" s="125">
        <v>96000</v>
      </c>
      <c r="V27" s="125">
        <v>0</v>
      </c>
      <c r="W27" s="125">
        <v>0</v>
      </c>
      <c r="X27" s="125">
        <v>96000</v>
      </c>
      <c r="Y27" s="125">
        <v>0</v>
      </c>
      <c r="Z27" s="125">
        <v>90000</v>
      </c>
      <c r="AA27" s="125">
        <v>96000</v>
      </c>
      <c r="AB27" s="125">
        <v>75000</v>
      </c>
      <c r="AC27" s="125">
        <v>96000</v>
      </c>
      <c r="AD27" s="125">
        <v>96000</v>
      </c>
      <c r="AE27" s="125">
        <v>96000</v>
      </c>
      <c r="AF27" s="125">
        <v>96000</v>
      </c>
      <c r="AG27" s="125">
        <v>96000</v>
      </c>
      <c r="AH27" s="125">
        <v>36000</v>
      </c>
      <c r="AI27" s="125">
        <v>0</v>
      </c>
      <c r="AJ27" s="125">
        <v>96000</v>
      </c>
      <c r="AK27" s="125">
        <v>0</v>
      </c>
      <c r="AL27" s="125">
        <v>96000</v>
      </c>
      <c r="AM27" s="125">
        <v>0</v>
      </c>
      <c r="AN27" s="125">
        <v>96000</v>
      </c>
      <c r="AO27" s="125">
        <v>0</v>
      </c>
      <c r="AP27" s="125">
        <v>0</v>
      </c>
      <c r="AQ27" s="125">
        <v>0</v>
      </c>
      <c r="AR27" s="125">
        <v>0</v>
      </c>
      <c r="AS27" s="125">
        <v>0</v>
      </c>
      <c r="AT27" s="125">
        <v>109000</v>
      </c>
      <c r="AU27" s="125">
        <v>96000</v>
      </c>
      <c r="AV27" s="125">
        <v>0</v>
      </c>
      <c r="AW27" s="125">
        <v>96000</v>
      </c>
      <c r="AX27" s="125">
        <v>96000</v>
      </c>
      <c r="AY27" s="125">
        <v>0</v>
      </c>
      <c r="AZ27" s="125">
        <v>0</v>
      </c>
      <c r="BA27" s="125">
        <v>0</v>
      </c>
      <c r="BB27" s="125">
        <v>76000</v>
      </c>
      <c r="BC27" s="125">
        <v>96000</v>
      </c>
      <c r="BD27" s="125">
        <v>96000</v>
      </c>
      <c r="BE27" s="125">
        <v>0</v>
      </c>
      <c r="BF27" s="125">
        <v>57000</v>
      </c>
      <c r="BG27" s="125">
        <v>96000</v>
      </c>
      <c r="BH27" s="125">
        <v>96000</v>
      </c>
      <c r="BI27" s="125">
        <v>96000</v>
      </c>
      <c r="BJ27" s="125">
        <v>0</v>
      </c>
      <c r="BK27" s="125">
        <v>0</v>
      </c>
      <c r="BL27" s="125">
        <v>96000</v>
      </c>
      <c r="BM27" s="125">
        <v>0</v>
      </c>
      <c r="BN27" s="125">
        <v>96000</v>
      </c>
      <c r="BO27" s="125">
        <v>96000</v>
      </c>
      <c r="BP27" s="125">
        <v>96000</v>
      </c>
      <c r="BQ27" s="125">
        <v>0</v>
      </c>
      <c r="BR27" s="125">
        <v>0</v>
      </c>
      <c r="BS27" s="125">
        <v>0</v>
      </c>
      <c r="BT27" s="125">
        <v>84000</v>
      </c>
      <c r="BU27" s="125">
        <v>140000</v>
      </c>
      <c r="BV27" s="125">
        <v>0</v>
      </c>
      <c r="BW27" s="125">
        <v>0</v>
      </c>
      <c r="BX27" s="125">
        <v>164000</v>
      </c>
      <c r="BY27" s="125">
        <v>84000</v>
      </c>
      <c r="BZ27" s="125">
        <v>72000</v>
      </c>
      <c r="CA27" s="125">
        <v>84000</v>
      </c>
      <c r="CB27" s="125">
        <v>96000</v>
      </c>
      <c r="CC27" s="125">
        <v>96000</v>
      </c>
      <c r="CD27" s="125">
        <v>48000</v>
      </c>
      <c r="CE27" s="125">
        <v>72000</v>
      </c>
      <c r="CF27" s="125">
        <v>100000</v>
      </c>
      <c r="CG27" s="125">
        <v>72000</v>
      </c>
      <c r="CH27" s="125">
        <v>84000</v>
      </c>
      <c r="CI27" s="125">
        <v>78000</v>
      </c>
      <c r="CJ27" s="125">
        <v>164000</v>
      </c>
      <c r="CK27" s="125">
        <v>96000</v>
      </c>
      <c r="CL27" s="125">
        <v>0</v>
      </c>
      <c r="CM27" s="125">
        <v>96000</v>
      </c>
      <c r="CN27" s="125">
        <v>96000</v>
      </c>
      <c r="CO27" s="125">
        <v>105000</v>
      </c>
      <c r="CP27" s="125">
        <v>164000</v>
      </c>
      <c r="CQ27" s="125">
        <v>96000</v>
      </c>
      <c r="CR27" s="125">
        <v>0</v>
      </c>
      <c r="CS27" s="125">
        <v>96000</v>
      </c>
      <c r="CT27" s="125">
        <v>0</v>
      </c>
      <c r="CU27" s="125">
        <v>96000</v>
      </c>
      <c r="CV27" s="125">
        <v>164000</v>
      </c>
      <c r="CW27" s="125">
        <v>96000</v>
      </c>
      <c r="CX27" s="125">
        <v>0</v>
      </c>
      <c r="CY27" s="125">
        <v>164000</v>
      </c>
      <c r="CZ27" s="125">
        <v>76000</v>
      </c>
      <c r="DA27" s="125">
        <v>0</v>
      </c>
    </row>
    <row r="28" spans="1:105" s="126" customFormat="1">
      <c r="A28" s="267"/>
      <c r="B28" s="122" t="s">
        <v>131</v>
      </c>
      <c r="C28" s="123">
        <v>291</v>
      </c>
      <c r="D28" s="124">
        <f t="shared" si="2"/>
        <v>4740000</v>
      </c>
      <c r="E28" s="125">
        <v>54000</v>
      </c>
      <c r="F28" s="125">
        <v>98000</v>
      </c>
      <c r="G28" s="125">
        <v>64000</v>
      </c>
      <c r="H28" s="125">
        <v>57000</v>
      </c>
      <c r="I28" s="125">
        <v>72000</v>
      </c>
      <c r="J28" s="125">
        <v>43000</v>
      </c>
      <c r="K28" s="125">
        <v>43000</v>
      </c>
      <c r="L28" s="125">
        <v>54000</v>
      </c>
      <c r="M28" s="125">
        <v>59000</v>
      </c>
      <c r="N28" s="125">
        <v>43000</v>
      </c>
      <c r="O28" s="125">
        <v>65000</v>
      </c>
      <c r="P28" s="125">
        <v>43000</v>
      </c>
      <c r="Q28" s="125">
        <v>56000</v>
      </c>
      <c r="R28" s="125">
        <v>61000</v>
      </c>
      <c r="S28" s="125">
        <v>43000</v>
      </c>
      <c r="T28" s="125">
        <v>42000</v>
      </c>
      <c r="U28" s="125">
        <v>58000</v>
      </c>
      <c r="V28" s="125">
        <v>72000</v>
      </c>
      <c r="W28" s="125">
        <v>72000</v>
      </c>
      <c r="X28" s="125">
        <v>44000</v>
      </c>
      <c r="Y28" s="125">
        <v>53000</v>
      </c>
      <c r="Z28" s="125">
        <v>43000</v>
      </c>
      <c r="AA28" s="125">
        <v>53000</v>
      </c>
      <c r="AB28" s="125">
        <v>54000</v>
      </c>
      <c r="AC28" s="125">
        <v>42000</v>
      </c>
      <c r="AD28" s="125">
        <v>47000</v>
      </c>
      <c r="AE28" s="125">
        <v>42000</v>
      </c>
      <c r="AF28" s="125">
        <v>45000</v>
      </c>
      <c r="AG28" s="125">
        <v>45000</v>
      </c>
      <c r="AH28" s="125">
        <v>42000</v>
      </c>
      <c r="AI28" s="125">
        <v>43000</v>
      </c>
      <c r="AJ28" s="125">
        <v>41000</v>
      </c>
      <c r="AK28" s="125">
        <v>52000</v>
      </c>
      <c r="AL28" s="125">
        <v>43000</v>
      </c>
      <c r="AM28" s="125">
        <v>43000</v>
      </c>
      <c r="AN28" s="125">
        <v>43000</v>
      </c>
      <c r="AO28" s="125">
        <v>43000</v>
      </c>
      <c r="AP28" s="125">
        <v>44000</v>
      </c>
      <c r="AQ28" s="125">
        <v>46000</v>
      </c>
      <c r="AR28" s="125">
        <v>43000</v>
      </c>
      <c r="AS28" s="125">
        <v>44000</v>
      </c>
      <c r="AT28" s="125">
        <v>54000</v>
      </c>
      <c r="AU28" s="125">
        <v>43000</v>
      </c>
      <c r="AV28" s="125">
        <v>42000</v>
      </c>
      <c r="AW28" s="125">
        <v>41000</v>
      </c>
      <c r="AX28" s="125">
        <v>42000</v>
      </c>
      <c r="AY28" s="125">
        <v>43000</v>
      </c>
      <c r="AZ28" s="125">
        <v>43000</v>
      </c>
      <c r="BA28" s="125">
        <v>44000</v>
      </c>
      <c r="BB28" s="125">
        <v>40000</v>
      </c>
      <c r="BC28" s="125">
        <v>43000</v>
      </c>
      <c r="BD28" s="125">
        <v>43000</v>
      </c>
      <c r="BE28" s="125">
        <v>72000</v>
      </c>
      <c r="BF28" s="125">
        <v>43000</v>
      </c>
      <c r="BG28" s="125">
        <v>43000</v>
      </c>
      <c r="BH28" s="125">
        <v>42000</v>
      </c>
      <c r="BI28" s="125">
        <v>43000</v>
      </c>
      <c r="BJ28" s="125">
        <v>43000</v>
      </c>
      <c r="BK28" s="125">
        <v>42000</v>
      </c>
      <c r="BL28" s="125">
        <v>53000</v>
      </c>
      <c r="BM28" s="125">
        <v>43000</v>
      </c>
      <c r="BN28" s="125">
        <v>43000</v>
      </c>
      <c r="BO28" s="125">
        <v>43000</v>
      </c>
      <c r="BP28" s="125">
        <v>43000</v>
      </c>
      <c r="BQ28" s="125">
        <v>46000</v>
      </c>
      <c r="BR28" s="125">
        <v>42000</v>
      </c>
      <c r="BS28" s="125">
        <v>43000</v>
      </c>
      <c r="BT28" s="125">
        <v>43000</v>
      </c>
      <c r="BU28" s="125">
        <v>44000</v>
      </c>
      <c r="BV28" s="125">
        <v>44000</v>
      </c>
      <c r="BW28" s="125">
        <v>43000</v>
      </c>
      <c r="BX28" s="125">
        <v>42000</v>
      </c>
      <c r="BY28" s="125">
        <v>45000</v>
      </c>
      <c r="BZ28" s="125">
        <v>43000</v>
      </c>
      <c r="CA28" s="125">
        <v>44000</v>
      </c>
      <c r="CB28" s="125">
        <v>42000</v>
      </c>
      <c r="CC28" s="125">
        <v>43000</v>
      </c>
      <c r="CD28" s="125">
        <v>43000</v>
      </c>
      <c r="CE28" s="125">
        <v>43000</v>
      </c>
      <c r="CF28" s="125">
        <v>43000</v>
      </c>
      <c r="CG28" s="125">
        <v>43000</v>
      </c>
      <c r="CH28" s="125">
        <v>43000</v>
      </c>
      <c r="CI28" s="125">
        <v>42000</v>
      </c>
      <c r="CJ28" s="125">
        <v>46000</v>
      </c>
      <c r="CK28" s="125">
        <v>43000</v>
      </c>
      <c r="CL28" s="125">
        <v>43000</v>
      </c>
      <c r="CM28" s="125">
        <v>42000</v>
      </c>
      <c r="CN28" s="125">
        <v>44000</v>
      </c>
      <c r="CO28" s="125">
        <v>43000</v>
      </c>
      <c r="CP28" s="125">
        <v>43000</v>
      </c>
      <c r="CQ28" s="125">
        <v>43000</v>
      </c>
      <c r="CR28" s="125">
        <v>43000</v>
      </c>
      <c r="CS28" s="125">
        <v>43000</v>
      </c>
      <c r="CT28" s="125">
        <v>43000</v>
      </c>
      <c r="CU28" s="125">
        <v>43000</v>
      </c>
      <c r="CV28" s="125">
        <v>43000</v>
      </c>
      <c r="CW28" s="125">
        <v>43000</v>
      </c>
      <c r="CX28" s="125">
        <v>42000</v>
      </c>
      <c r="CY28" s="125">
        <v>42000</v>
      </c>
      <c r="CZ28" s="125">
        <v>63000</v>
      </c>
      <c r="DA28" s="125">
        <v>42000</v>
      </c>
    </row>
    <row r="29" spans="1:105" s="166" customFormat="1">
      <c r="A29" s="267"/>
      <c r="B29" s="162" t="s">
        <v>132</v>
      </c>
      <c r="C29" s="163">
        <v>312</v>
      </c>
      <c r="D29" s="164">
        <f t="shared" ref="D29:D40" si="3">SUM(E29:DA29)</f>
        <v>2177000</v>
      </c>
      <c r="E29" s="165">
        <v>0</v>
      </c>
      <c r="F29" s="165">
        <v>0</v>
      </c>
      <c r="G29" s="165">
        <v>0</v>
      </c>
      <c r="H29" s="165">
        <v>58000</v>
      </c>
      <c r="I29" s="165">
        <v>0</v>
      </c>
      <c r="J29" s="165">
        <v>0</v>
      </c>
      <c r="K29" s="165">
        <v>0</v>
      </c>
      <c r="L29" s="165">
        <v>0</v>
      </c>
      <c r="M29" s="165">
        <v>0</v>
      </c>
      <c r="N29" s="165">
        <v>0</v>
      </c>
      <c r="O29" s="165">
        <v>0</v>
      </c>
      <c r="P29" s="165">
        <v>0</v>
      </c>
      <c r="Q29" s="165">
        <v>101000</v>
      </c>
      <c r="R29" s="165">
        <v>0</v>
      </c>
      <c r="S29" s="165">
        <v>0</v>
      </c>
      <c r="T29" s="165">
        <v>0</v>
      </c>
      <c r="U29" s="165">
        <v>0</v>
      </c>
      <c r="V29" s="165">
        <v>0</v>
      </c>
      <c r="W29" s="165">
        <v>0</v>
      </c>
      <c r="X29" s="165">
        <v>66000</v>
      </c>
      <c r="Y29" s="165">
        <v>0</v>
      </c>
      <c r="Z29" s="165">
        <v>0</v>
      </c>
      <c r="AA29" s="165">
        <v>0</v>
      </c>
      <c r="AB29" s="165">
        <v>0</v>
      </c>
      <c r="AC29" s="165">
        <v>56000</v>
      </c>
      <c r="AD29" s="165">
        <v>0</v>
      </c>
      <c r="AE29" s="165">
        <v>0</v>
      </c>
      <c r="AF29" s="165">
        <v>0</v>
      </c>
      <c r="AG29" s="165">
        <v>0</v>
      </c>
      <c r="AH29" s="165">
        <v>50000</v>
      </c>
      <c r="AI29" s="165">
        <v>0</v>
      </c>
      <c r="AJ29" s="165">
        <v>0</v>
      </c>
      <c r="AK29" s="165">
        <v>127000</v>
      </c>
      <c r="AL29" s="165">
        <v>55000</v>
      </c>
      <c r="AM29" s="165">
        <v>0</v>
      </c>
      <c r="AN29" s="165">
        <v>0</v>
      </c>
      <c r="AO29" s="165">
        <v>64000</v>
      </c>
      <c r="AP29" s="165">
        <v>0</v>
      </c>
      <c r="AQ29" s="165">
        <v>81000</v>
      </c>
      <c r="AR29" s="165">
        <v>55000</v>
      </c>
      <c r="AS29" s="165">
        <v>63000</v>
      </c>
      <c r="AT29" s="165">
        <v>100000</v>
      </c>
      <c r="AU29" s="165">
        <v>0</v>
      </c>
      <c r="AV29" s="165">
        <v>0</v>
      </c>
      <c r="AW29" s="165">
        <v>0</v>
      </c>
      <c r="AX29" s="165">
        <v>0</v>
      </c>
      <c r="AY29" s="165">
        <v>0</v>
      </c>
      <c r="AZ29" s="165">
        <v>0</v>
      </c>
      <c r="BA29" s="165">
        <v>60000</v>
      </c>
      <c r="BB29" s="165">
        <v>0</v>
      </c>
      <c r="BC29" s="165">
        <v>0</v>
      </c>
      <c r="BD29" s="165">
        <v>56000</v>
      </c>
      <c r="BE29" s="165">
        <v>173000</v>
      </c>
      <c r="BF29" s="165">
        <v>0</v>
      </c>
      <c r="BG29" s="165">
        <v>56000</v>
      </c>
      <c r="BH29" s="165">
        <v>0</v>
      </c>
      <c r="BI29" s="165">
        <v>0</v>
      </c>
      <c r="BJ29" s="165">
        <v>95000</v>
      </c>
      <c r="BK29" s="165">
        <v>0</v>
      </c>
      <c r="BL29" s="165">
        <v>0</v>
      </c>
      <c r="BM29" s="165">
        <v>79000</v>
      </c>
      <c r="BN29" s="165">
        <v>0</v>
      </c>
      <c r="BO29" s="165">
        <v>0</v>
      </c>
      <c r="BP29" s="165">
        <v>0</v>
      </c>
      <c r="BQ29" s="165">
        <v>46000</v>
      </c>
      <c r="BR29" s="165">
        <v>0</v>
      </c>
      <c r="BS29" s="165">
        <v>50000</v>
      </c>
      <c r="BT29" s="165">
        <v>0</v>
      </c>
      <c r="BU29" s="165">
        <v>66000</v>
      </c>
      <c r="BV29" s="165">
        <v>0</v>
      </c>
      <c r="BW29" s="165">
        <v>0</v>
      </c>
      <c r="BX29" s="165">
        <v>65000</v>
      </c>
      <c r="BY29" s="165">
        <v>0</v>
      </c>
      <c r="BZ29" s="165">
        <v>0</v>
      </c>
      <c r="CA29" s="165">
        <v>74000</v>
      </c>
      <c r="CB29" s="165">
        <v>0</v>
      </c>
      <c r="CC29" s="165">
        <v>0</v>
      </c>
      <c r="CD29" s="165">
        <v>0</v>
      </c>
      <c r="CE29" s="165">
        <v>0</v>
      </c>
      <c r="CF29" s="165">
        <v>94000</v>
      </c>
      <c r="CG29" s="165">
        <v>0</v>
      </c>
      <c r="CH29" s="165">
        <v>0</v>
      </c>
      <c r="CI29" s="165">
        <v>0</v>
      </c>
      <c r="CJ29" s="165">
        <v>0</v>
      </c>
      <c r="CK29" s="165">
        <v>0</v>
      </c>
      <c r="CL29" s="165">
        <v>0</v>
      </c>
      <c r="CM29" s="165">
        <v>0</v>
      </c>
      <c r="CN29" s="165">
        <v>0</v>
      </c>
      <c r="CO29" s="165">
        <v>0</v>
      </c>
      <c r="CP29" s="165">
        <v>0</v>
      </c>
      <c r="CQ29" s="165">
        <v>0</v>
      </c>
      <c r="CR29" s="165">
        <v>51000</v>
      </c>
      <c r="CS29" s="165">
        <v>0</v>
      </c>
      <c r="CT29" s="165">
        <v>109000</v>
      </c>
      <c r="CU29" s="165">
        <v>101000</v>
      </c>
      <c r="CV29" s="165">
        <v>0</v>
      </c>
      <c r="CW29" s="165">
        <v>0</v>
      </c>
      <c r="CX29" s="165">
        <v>0</v>
      </c>
      <c r="CY29" s="165">
        <v>0</v>
      </c>
      <c r="CZ29" s="165">
        <v>58000</v>
      </c>
      <c r="DA29" s="165">
        <v>68000</v>
      </c>
    </row>
    <row r="30" spans="1:105" s="131" customFormat="1">
      <c r="A30" s="267"/>
      <c r="B30" s="127" t="s">
        <v>133</v>
      </c>
      <c r="C30" s="128">
        <v>321</v>
      </c>
      <c r="D30" s="129">
        <f t="shared" si="3"/>
        <v>27687000</v>
      </c>
      <c r="E30" s="130">
        <v>308000</v>
      </c>
      <c r="F30" s="130">
        <v>730000</v>
      </c>
      <c r="G30" s="130">
        <v>363000</v>
      </c>
      <c r="H30" s="130">
        <v>327000</v>
      </c>
      <c r="I30" s="130">
        <v>463000</v>
      </c>
      <c r="J30" s="130">
        <v>247000</v>
      </c>
      <c r="K30" s="130">
        <v>247000</v>
      </c>
      <c r="L30" s="130">
        <v>309000</v>
      </c>
      <c r="M30" s="130">
        <v>340000</v>
      </c>
      <c r="N30" s="130">
        <v>247000</v>
      </c>
      <c r="O30" s="130">
        <v>369000</v>
      </c>
      <c r="P30" s="130">
        <v>247000</v>
      </c>
      <c r="Q30" s="130">
        <v>320000</v>
      </c>
      <c r="R30" s="130">
        <v>352000</v>
      </c>
      <c r="S30" s="130">
        <v>247000</v>
      </c>
      <c r="T30" s="130">
        <v>241000</v>
      </c>
      <c r="U30" s="130">
        <v>333000</v>
      </c>
      <c r="V30" s="130">
        <v>619000</v>
      </c>
      <c r="W30" s="130">
        <v>427000</v>
      </c>
      <c r="X30" s="130">
        <v>253000</v>
      </c>
      <c r="Y30" s="130">
        <v>302000</v>
      </c>
      <c r="Z30" s="130">
        <v>247000</v>
      </c>
      <c r="AA30" s="130">
        <v>302000</v>
      </c>
      <c r="AB30" s="130">
        <v>309000</v>
      </c>
      <c r="AC30" s="130">
        <v>241000</v>
      </c>
      <c r="AD30" s="130">
        <v>272000</v>
      </c>
      <c r="AE30" s="130">
        <v>241000</v>
      </c>
      <c r="AF30" s="130">
        <v>259000</v>
      </c>
      <c r="AG30" s="130">
        <v>259000</v>
      </c>
      <c r="AH30" s="130">
        <v>241000</v>
      </c>
      <c r="AI30" s="130">
        <v>247000</v>
      </c>
      <c r="AJ30" s="130">
        <v>235000</v>
      </c>
      <c r="AK30" s="130">
        <v>296000</v>
      </c>
      <c r="AL30" s="130">
        <v>247000</v>
      </c>
      <c r="AM30" s="130">
        <v>247000</v>
      </c>
      <c r="AN30" s="130">
        <v>247000</v>
      </c>
      <c r="AO30" s="130">
        <v>247000</v>
      </c>
      <c r="AP30" s="130">
        <v>253000</v>
      </c>
      <c r="AQ30" s="130">
        <v>266000</v>
      </c>
      <c r="AR30" s="130">
        <v>247000</v>
      </c>
      <c r="AS30" s="130">
        <v>254000</v>
      </c>
      <c r="AT30" s="130">
        <v>308000</v>
      </c>
      <c r="AU30" s="130">
        <v>248000</v>
      </c>
      <c r="AV30" s="130">
        <v>241000</v>
      </c>
      <c r="AW30" s="130">
        <v>235000</v>
      </c>
      <c r="AX30" s="130">
        <v>241000</v>
      </c>
      <c r="AY30" s="130">
        <v>247000</v>
      </c>
      <c r="AZ30" s="130">
        <v>247000</v>
      </c>
      <c r="BA30" s="130">
        <v>253000</v>
      </c>
      <c r="BB30" s="130">
        <v>228000</v>
      </c>
      <c r="BC30" s="130">
        <v>247000</v>
      </c>
      <c r="BD30" s="130">
        <v>247000</v>
      </c>
      <c r="BE30" s="130">
        <v>461000</v>
      </c>
      <c r="BF30" s="130">
        <v>247000</v>
      </c>
      <c r="BG30" s="130">
        <v>247000</v>
      </c>
      <c r="BH30" s="130">
        <v>241000</v>
      </c>
      <c r="BI30" s="130">
        <v>247000</v>
      </c>
      <c r="BJ30" s="130">
        <v>247000</v>
      </c>
      <c r="BK30" s="130">
        <v>241000</v>
      </c>
      <c r="BL30" s="130">
        <v>302000</v>
      </c>
      <c r="BM30" s="130">
        <v>247000</v>
      </c>
      <c r="BN30" s="130">
        <v>248000</v>
      </c>
      <c r="BO30" s="130">
        <v>247000</v>
      </c>
      <c r="BP30" s="130">
        <v>247000</v>
      </c>
      <c r="BQ30" s="130">
        <v>266000</v>
      </c>
      <c r="BR30" s="130">
        <v>241000</v>
      </c>
      <c r="BS30" s="130">
        <v>247000</v>
      </c>
      <c r="BT30" s="130">
        <v>247000</v>
      </c>
      <c r="BU30" s="130">
        <v>253000</v>
      </c>
      <c r="BV30" s="130">
        <v>253000</v>
      </c>
      <c r="BW30" s="130">
        <v>247000</v>
      </c>
      <c r="BX30" s="130">
        <v>241000</v>
      </c>
      <c r="BY30" s="130">
        <v>259000</v>
      </c>
      <c r="BZ30" s="130">
        <v>247000</v>
      </c>
      <c r="CA30" s="130">
        <v>253000</v>
      </c>
      <c r="CB30" s="130">
        <v>241000</v>
      </c>
      <c r="CC30" s="130">
        <v>247000</v>
      </c>
      <c r="CD30" s="130">
        <v>247000</v>
      </c>
      <c r="CE30" s="130">
        <v>247000</v>
      </c>
      <c r="CF30" s="130">
        <v>247000</v>
      </c>
      <c r="CG30" s="130">
        <v>247000</v>
      </c>
      <c r="CH30" s="130">
        <v>247000</v>
      </c>
      <c r="CI30" s="130">
        <v>241000</v>
      </c>
      <c r="CJ30" s="130">
        <v>266000</v>
      </c>
      <c r="CK30" s="130">
        <v>247000</v>
      </c>
      <c r="CL30" s="130">
        <v>247000</v>
      </c>
      <c r="CM30" s="130">
        <v>241000</v>
      </c>
      <c r="CN30" s="130">
        <v>253000</v>
      </c>
      <c r="CO30" s="130">
        <v>247000</v>
      </c>
      <c r="CP30" s="130">
        <v>247000</v>
      </c>
      <c r="CQ30" s="130">
        <v>247000</v>
      </c>
      <c r="CR30" s="130">
        <v>247000</v>
      </c>
      <c r="CS30" s="130">
        <v>247000</v>
      </c>
      <c r="CT30" s="130">
        <v>247000</v>
      </c>
      <c r="CU30" s="130">
        <v>247000</v>
      </c>
      <c r="CV30" s="130">
        <v>247000</v>
      </c>
      <c r="CW30" s="130">
        <v>247000</v>
      </c>
      <c r="CX30" s="130">
        <v>241000</v>
      </c>
      <c r="CY30" s="130">
        <v>241000</v>
      </c>
      <c r="CZ30" s="130">
        <v>357000</v>
      </c>
      <c r="DA30" s="130">
        <v>241000</v>
      </c>
    </row>
    <row r="31" spans="1:105" s="126" customFormat="1">
      <c r="A31" s="267"/>
      <c r="B31" s="122" t="s">
        <v>134</v>
      </c>
      <c r="C31" s="123">
        <v>321</v>
      </c>
      <c r="D31" s="124">
        <f t="shared" si="3"/>
        <v>43000</v>
      </c>
      <c r="E31" s="125">
        <v>0</v>
      </c>
      <c r="F31" s="125">
        <v>16000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v>0</v>
      </c>
      <c r="O31" s="125">
        <v>0</v>
      </c>
      <c r="P31" s="125">
        <v>0</v>
      </c>
      <c r="Q31" s="125">
        <v>0</v>
      </c>
      <c r="R31" s="125">
        <v>0</v>
      </c>
      <c r="S31" s="125">
        <v>0</v>
      </c>
      <c r="T31" s="125">
        <v>0</v>
      </c>
      <c r="U31" s="125">
        <v>0</v>
      </c>
      <c r="V31" s="125">
        <v>11000</v>
      </c>
      <c r="W31" s="125">
        <v>0</v>
      </c>
      <c r="X31" s="125">
        <v>0</v>
      </c>
      <c r="Y31" s="125">
        <v>0</v>
      </c>
      <c r="Z31" s="125">
        <v>0</v>
      </c>
      <c r="AA31" s="125">
        <v>0</v>
      </c>
      <c r="AB31" s="125">
        <v>0</v>
      </c>
      <c r="AC31" s="125">
        <v>0</v>
      </c>
      <c r="AD31" s="125">
        <v>0</v>
      </c>
      <c r="AE31" s="125">
        <v>0</v>
      </c>
      <c r="AF31" s="125">
        <v>0</v>
      </c>
      <c r="AG31" s="125">
        <v>0</v>
      </c>
      <c r="AH31" s="125">
        <v>0</v>
      </c>
      <c r="AI31" s="125">
        <v>0</v>
      </c>
      <c r="AJ31" s="125">
        <v>0</v>
      </c>
      <c r="AK31" s="125">
        <v>0</v>
      </c>
      <c r="AL31" s="125">
        <v>0</v>
      </c>
      <c r="AM31" s="125">
        <v>0</v>
      </c>
      <c r="AN31" s="125">
        <v>0</v>
      </c>
      <c r="AO31" s="125">
        <v>0</v>
      </c>
      <c r="AP31" s="125">
        <v>0</v>
      </c>
      <c r="AQ31" s="125">
        <v>0</v>
      </c>
      <c r="AR31" s="125">
        <v>0</v>
      </c>
      <c r="AS31" s="125">
        <v>0</v>
      </c>
      <c r="AT31" s="125">
        <v>0</v>
      </c>
      <c r="AU31" s="125">
        <v>0</v>
      </c>
      <c r="AV31" s="125">
        <v>0</v>
      </c>
      <c r="AW31" s="125">
        <v>0</v>
      </c>
      <c r="AX31" s="125">
        <v>0</v>
      </c>
      <c r="AY31" s="125">
        <v>0</v>
      </c>
      <c r="AZ31" s="125">
        <v>0</v>
      </c>
      <c r="BA31" s="125">
        <v>0</v>
      </c>
      <c r="BB31" s="125">
        <v>0</v>
      </c>
      <c r="BC31" s="125">
        <v>0</v>
      </c>
      <c r="BD31" s="125">
        <v>0</v>
      </c>
      <c r="BE31" s="125">
        <v>16000</v>
      </c>
      <c r="BF31" s="125">
        <v>0</v>
      </c>
      <c r="BG31" s="125">
        <v>0</v>
      </c>
      <c r="BH31" s="125">
        <v>0</v>
      </c>
      <c r="BI31" s="125">
        <v>0</v>
      </c>
      <c r="BJ31" s="125">
        <v>0</v>
      </c>
      <c r="BK31" s="125">
        <v>0</v>
      </c>
      <c r="BL31" s="125">
        <v>0</v>
      </c>
      <c r="BM31" s="125">
        <v>0</v>
      </c>
      <c r="BN31" s="125">
        <v>0</v>
      </c>
      <c r="BO31" s="125">
        <v>0</v>
      </c>
      <c r="BP31" s="125">
        <v>0</v>
      </c>
      <c r="BQ31" s="125">
        <v>0</v>
      </c>
      <c r="BR31" s="125">
        <v>0</v>
      </c>
      <c r="BS31" s="125">
        <v>0</v>
      </c>
      <c r="BT31" s="125">
        <v>0</v>
      </c>
      <c r="BU31" s="125">
        <v>0</v>
      </c>
      <c r="BV31" s="125">
        <v>0</v>
      </c>
      <c r="BW31" s="125">
        <v>0</v>
      </c>
      <c r="BX31" s="125">
        <v>0</v>
      </c>
      <c r="BY31" s="125">
        <v>0</v>
      </c>
      <c r="BZ31" s="125">
        <v>0</v>
      </c>
      <c r="CA31" s="125">
        <v>0</v>
      </c>
      <c r="CB31" s="125">
        <v>0</v>
      </c>
      <c r="CC31" s="125">
        <v>0</v>
      </c>
      <c r="CD31" s="125">
        <v>0</v>
      </c>
      <c r="CE31" s="125">
        <v>0</v>
      </c>
      <c r="CF31" s="125">
        <v>0</v>
      </c>
      <c r="CG31" s="125">
        <v>0</v>
      </c>
      <c r="CH31" s="125">
        <v>0</v>
      </c>
      <c r="CI31" s="125">
        <v>0</v>
      </c>
      <c r="CJ31" s="125">
        <v>0</v>
      </c>
      <c r="CK31" s="125">
        <v>0</v>
      </c>
      <c r="CL31" s="125">
        <v>0</v>
      </c>
      <c r="CM31" s="125">
        <v>0</v>
      </c>
      <c r="CN31" s="125">
        <v>0</v>
      </c>
      <c r="CO31" s="125">
        <v>0</v>
      </c>
      <c r="CP31" s="125">
        <v>0</v>
      </c>
      <c r="CQ31" s="125">
        <v>0</v>
      </c>
      <c r="CR31" s="125">
        <v>0</v>
      </c>
      <c r="CS31" s="125">
        <v>0</v>
      </c>
      <c r="CT31" s="125">
        <v>0</v>
      </c>
      <c r="CU31" s="125">
        <v>0</v>
      </c>
      <c r="CV31" s="125">
        <v>0</v>
      </c>
      <c r="CW31" s="125">
        <v>0</v>
      </c>
      <c r="CX31" s="125">
        <v>0</v>
      </c>
      <c r="CY31" s="125">
        <v>0</v>
      </c>
      <c r="CZ31" s="125">
        <v>0</v>
      </c>
      <c r="DA31" s="125">
        <v>0</v>
      </c>
    </row>
    <row r="32" spans="1:105" s="126" customFormat="1">
      <c r="A32" s="267"/>
      <c r="B32" s="122" t="s">
        <v>135</v>
      </c>
      <c r="C32" s="123" t="s">
        <v>136</v>
      </c>
      <c r="D32" s="124">
        <f t="shared" si="3"/>
        <v>2313000</v>
      </c>
      <c r="E32" s="125">
        <v>29000</v>
      </c>
      <c r="F32" s="125">
        <v>69000</v>
      </c>
      <c r="G32" s="125">
        <v>39000</v>
      </c>
      <c r="H32" s="125">
        <v>32000</v>
      </c>
      <c r="I32" s="125">
        <v>53000</v>
      </c>
      <c r="J32" s="125">
        <v>19000</v>
      </c>
      <c r="K32" s="125">
        <v>19000</v>
      </c>
      <c r="L32" s="125">
        <v>30000</v>
      </c>
      <c r="M32" s="125">
        <v>35000</v>
      </c>
      <c r="N32" s="125">
        <v>19000</v>
      </c>
      <c r="O32" s="125">
        <v>39000</v>
      </c>
      <c r="P32" s="125">
        <v>19000</v>
      </c>
      <c r="Q32" s="125">
        <v>31000</v>
      </c>
      <c r="R32" s="125">
        <v>37000</v>
      </c>
      <c r="S32" s="125">
        <v>20000</v>
      </c>
      <c r="T32" s="125">
        <v>18000</v>
      </c>
      <c r="U32" s="125">
        <v>34000</v>
      </c>
      <c r="V32" s="125">
        <v>56000</v>
      </c>
      <c r="W32" s="125">
        <v>49000</v>
      </c>
      <c r="X32" s="125">
        <v>20000</v>
      </c>
      <c r="Y32" s="125">
        <v>29000</v>
      </c>
      <c r="Z32" s="125">
        <v>20000</v>
      </c>
      <c r="AA32" s="125">
        <v>28000</v>
      </c>
      <c r="AB32" s="125">
        <v>29000</v>
      </c>
      <c r="AC32" s="125">
        <v>18000</v>
      </c>
      <c r="AD32" s="125">
        <v>23000</v>
      </c>
      <c r="AE32" s="125">
        <v>18000</v>
      </c>
      <c r="AF32" s="125">
        <v>21000</v>
      </c>
      <c r="AG32" s="125">
        <v>21000</v>
      </c>
      <c r="AH32" s="125">
        <v>18000</v>
      </c>
      <c r="AI32" s="125">
        <v>19000</v>
      </c>
      <c r="AJ32" s="125">
        <v>17000</v>
      </c>
      <c r="AK32" s="125">
        <v>27000</v>
      </c>
      <c r="AL32" s="125">
        <v>19000</v>
      </c>
      <c r="AM32" s="125">
        <v>19000</v>
      </c>
      <c r="AN32" s="125">
        <v>19000</v>
      </c>
      <c r="AO32" s="125">
        <v>19000</v>
      </c>
      <c r="AP32" s="125">
        <v>20000</v>
      </c>
      <c r="AQ32" s="125">
        <v>23000</v>
      </c>
      <c r="AR32" s="125">
        <v>19000</v>
      </c>
      <c r="AS32" s="125">
        <v>21000</v>
      </c>
      <c r="AT32" s="125">
        <v>30000</v>
      </c>
      <c r="AU32" s="125">
        <v>19000</v>
      </c>
      <c r="AV32" s="125">
        <v>18000</v>
      </c>
      <c r="AW32" s="125">
        <v>17000</v>
      </c>
      <c r="AX32" s="125">
        <v>18000</v>
      </c>
      <c r="AY32" s="125">
        <v>19000</v>
      </c>
      <c r="AZ32" s="125">
        <v>19000</v>
      </c>
      <c r="BA32" s="125">
        <v>20000</v>
      </c>
      <c r="BB32" s="125">
        <v>16000</v>
      </c>
      <c r="BC32" s="125">
        <v>19000</v>
      </c>
      <c r="BD32" s="125">
        <v>19000</v>
      </c>
      <c r="BE32" s="125">
        <v>37000</v>
      </c>
      <c r="BF32" s="125">
        <v>20000</v>
      </c>
      <c r="BG32" s="125">
        <v>19000</v>
      </c>
      <c r="BH32" s="125">
        <v>18000</v>
      </c>
      <c r="BI32" s="125">
        <v>20000</v>
      </c>
      <c r="BJ32" s="125">
        <v>19000</v>
      </c>
      <c r="BK32" s="125">
        <v>18000</v>
      </c>
      <c r="BL32" s="125">
        <v>29000</v>
      </c>
      <c r="BM32" s="125">
        <v>19000</v>
      </c>
      <c r="BN32" s="125">
        <v>20000</v>
      </c>
      <c r="BO32" s="125">
        <v>20000</v>
      </c>
      <c r="BP32" s="125">
        <v>19000</v>
      </c>
      <c r="BQ32" s="125">
        <v>22000</v>
      </c>
      <c r="BR32" s="125">
        <v>18000</v>
      </c>
      <c r="BS32" s="125">
        <v>19000</v>
      </c>
      <c r="BT32" s="125">
        <v>19000</v>
      </c>
      <c r="BU32" s="125">
        <v>21000</v>
      </c>
      <c r="BV32" s="125">
        <v>20000</v>
      </c>
      <c r="BW32" s="125">
        <v>20000</v>
      </c>
      <c r="BX32" s="125">
        <v>18000</v>
      </c>
      <c r="BY32" s="125">
        <v>21000</v>
      </c>
      <c r="BZ32" s="125">
        <v>19000</v>
      </c>
      <c r="CA32" s="125">
        <v>20000</v>
      </c>
      <c r="CB32" s="125">
        <v>18000</v>
      </c>
      <c r="CC32" s="125">
        <v>19000</v>
      </c>
      <c r="CD32" s="125">
        <v>19000</v>
      </c>
      <c r="CE32" s="125">
        <v>19000</v>
      </c>
      <c r="CF32" s="125">
        <v>19000</v>
      </c>
      <c r="CG32" s="125">
        <v>19000</v>
      </c>
      <c r="CH32" s="125">
        <v>19000</v>
      </c>
      <c r="CI32" s="125">
        <v>18000</v>
      </c>
      <c r="CJ32" s="125">
        <v>22000</v>
      </c>
      <c r="CK32" s="125">
        <v>19000</v>
      </c>
      <c r="CL32" s="125">
        <v>19000</v>
      </c>
      <c r="CM32" s="125">
        <v>18000</v>
      </c>
      <c r="CN32" s="125">
        <v>20000</v>
      </c>
      <c r="CO32" s="125">
        <v>19000</v>
      </c>
      <c r="CP32" s="125">
        <v>19000</v>
      </c>
      <c r="CQ32" s="125">
        <v>19000</v>
      </c>
      <c r="CR32" s="125">
        <v>19000</v>
      </c>
      <c r="CS32" s="125">
        <v>19000</v>
      </c>
      <c r="CT32" s="125">
        <v>19000</v>
      </c>
      <c r="CU32" s="125">
        <v>19000</v>
      </c>
      <c r="CV32" s="125">
        <v>19000</v>
      </c>
      <c r="CW32" s="125">
        <v>19000</v>
      </c>
      <c r="CX32" s="125">
        <v>18000</v>
      </c>
      <c r="CY32" s="125">
        <v>18000</v>
      </c>
      <c r="CZ32" s="125">
        <v>37000</v>
      </c>
      <c r="DA32" s="125">
        <v>18000</v>
      </c>
    </row>
    <row r="33" spans="1:105" s="126" customFormat="1">
      <c r="A33" s="267"/>
      <c r="B33" s="122" t="s">
        <v>137</v>
      </c>
      <c r="C33" s="123" t="s">
        <v>136</v>
      </c>
      <c r="D33" s="124">
        <f t="shared" si="3"/>
        <v>2780000</v>
      </c>
      <c r="E33" s="125">
        <v>43000</v>
      </c>
      <c r="F33" s="125">
        <v>272000</v>
      </c>
      <c r="G33" s="125">
        <v>97000</v>
      </c>
      <c r="H33" s="125">
        <v>50000</v>
      </c>
      <c r="I33" s="125">
        <v>205000</v>
      </c>
      <c r="J33" s="125">
        <v>14000</v>
      </c>
      <c r="K33" s="125">
        <v>21000</v>
      </c>
      <c r="L33" s="125">
        <v>58000</v>
      </c>
      <c r="M33" s="125">
        <v>96000</v>
      </c>
      <c r="N33" s="125">
        <v>26000</v>
      </c>
      <c r="O33" s="125">
        <v>104000</v>
      </c>
      <c r="P33" s="125">
        <v>8000</v>
      </c>
      <c r="Q33" s="125">
        <v>45000</v>
      </c>
      <c r="R33" s="125">
        <v>92000</v>
      </c>
      <c r="S33" s="125">
        <v>17000</v>
      </c>
      <c r="T33" s="125">
        <v>17000</v>
      </c>
      <c r="U33" s="125">
        <v>62000</v>
      </c>
      <c r="V33" s="125">
        <v>169000</v>
      </c>
      <c r="W33" s="125">
        <v>169000</v>
      </c>
      <c r="X33" s="125">
        <v>15000</v>
      </c>
      <c r="Y33" s="125">
        <v>56000</v>
      </c>
      <c r="Z33" s="125">
        <v>13000</v>
      </c>
      <c r="AA33" s="125">
        <v>45000</v>
      </c>
      <c r="AB33" s="125">
        <v>59000</v>
      </c>
      <c r="AC33" s="125">
        <v>11000</v>
      </c>
      <c r="AD33" s="125">
        <v>23000</v>
      </c>
      <c r="AE33" s="125">
        <v>16000</v>
      </c>
      <c r="AF33" s="125">
        <v>22000</v>
      </c>
      <c r="AG33" s="125">
        <v>30000</v>
      </c>
      <c r="AH33" s="125">
        <v>7000</v>
      </c>
      <c r="AI33" s="125">
        <v>7000</v>
      </c>
      <c r="AJ33" s="125">
        <v>4000</v>
      </c>
      <c r="AK33" s="125">
        <v>35000</v>
      </c>
      <c r="AL33" s="125">
        <v>9000</v>
      </c>
      <c r="AM33" s="125">
        <v>7000</v>
      </c>
      <c r="AN33" s="125">
        <v>7000</v>
      </c>
      <c r="AO33" s="125">
        <v>6000</v>
      </c>
      <c r="AP33" s="125">
        <v>13000</v>
      </c>
      <c r="AQ33" s="125">
        <v>26000</v>
      </c>
      <c r="AR33" s="125">
        <v>19000</v>
      </c>
      <c r="AS33" s="125">
        <v>22000</v>
      </c>
      <c r="AT33" s="125">
        <v>46000</v>
      </c>
      <c r="AU33" s="125">
        <v>7000</v>
      </c>
      <c r="AV33" s="125">
        <v>4000</v>
      </c>
      <c r="AW33" s="125">
        <v>2000</v>
      </c>
      <c r="AX33" s="125">
        <v>3000</v>
      </c>
      <c r="AY33" s="125">
        <v>15000</v>
      </c>
      <c r="AZ33" s="125">
        <v>11000</v>
      </c>
      <c r="BA33" s="125">
        <v>12000</v>
      </c>
      <c r="BB33" s="125">
        <v>4000</v>
      </c>
      <c r="BC33" s="125">
        <v>5000</v>
      </c>
      <c r="BD33" s="125">
        <v>3000</v>
      </c>
      <c r="BE33" s="125">
        <v>62000</v>
      </c>
      <c r="BF33" s="125">
        <v>7000</v>
      </c>
      <c r="BG33" s="125">
        <v>7000</v>
      </c>
      <c r="BH33" s="125">
        <v>4000</v>
      </c>
      <c r="BI33" s="125">
        <v>12000</v>
      </c>
      <c r="BJ33" s="125">
        <v>8000</v>
      </c>
      <c r="BK33" s="125">
        <v>4000</v>
      </c>
      <c r="BL33" s="125">
        <v>60000</v>
      </c>
      <c r="BM33" s="125">
        <v>7000</v>
      </c>
      <c r="BN33" s="125">
        <v>9000</v>
      </c>
      <c r="BO33" s="125">
        <v>9000</v>
      </c>
      <c r="BP33" s="125">
        <v>7000</v>
      </c>
      <c r="BQ33" s="125">
        <v>19000</v>
      </c>
      <c r="BR33" s="125">
        <v>5000</v>
      </c>
      <c r="BS33" s="125">
        <v>4000</v>
      </c>
      <c r="BT33" s="125">
        <v>5000</v>
      </c>
      <c r="BU33" s="125">
        <v>10000</v>
      </c>
      <c r="BV33" s="125">
        <v>15000</v>
      </c>
      <c r="BW33" s="125">
        <v>5000</v>
      </c>
      <c r="BX33" s="125">
        <v>7000</v>
      </c>
      <c r="BY33" s="125">
        <v>16000</v>
      </c>
      <c r="BZ33" s="125">
        <v>19000</v>
      </c>
      <c r="CA33" s="125">
        <v>17000</v>
      </c>
      <c r="CB33" s="125">
        <v>11000</v>
      </c>
      <c r="CC33" s="125">
        <v>13000</v>
      </c>
      <c r="CD33" s="125">
        <v>21000</v>
      </c>
      <c r="CE33" s="125">
        <v>19000</v>
      </c>
      <c r="CF33" s="125">
        <v>8000</v>
      </c>
      <c r="CG33" s="125">
        <v>7000</v>
      </c>
      <c r="CH33" s="125">
        <v>10000</v>
      </c>
      <c r="CI33" s="125">
        <v>9000</v>
      </c>
      <c r="CJ33" s="125">
        <v>11000</v>
      </c>
      <c r="CK33" s="125">
        <v>13000</v>
      </c>
      <c r="CL33" s="125">
        <v>9000</v>
      </c>
      <c r="CM33" s="125">
        <v>9000</v>
      </c>
      <c r="CN33" s="125">
        <v>8000</v>
      </c>
      <c r="CO33" s="125">
        <v>9000</v>
      </c>
      <c r="CP33" s="125">
        <v>12000</v>
      </c>
      <c r="CQ33" s="125">
        <v>10000</v>
      </c>
      <c r="CR33" s="125">
        <v>11000</v>
      </c>
      <c r="CS33" s="125">
        <v>7000</v>
      </c>
      <c r="CT33" s="125">
        <v>8000</v>
      </c>
      <c r="CU33" s="125">
        <v>11000</v>
      </c>
      <c r="CV33" s="125">
        <v>7000</v>
      </c>
      <c r="CW33" s="125">
        <v>5000</v>
      </c>
      <c r="CX33" s="125">
        <v>7000</v>
      </c>
      <c r="CY33" s="125">
        <v>7000</v>
      </c>
      <c r="CZ33" s="125">
        <v>81000</v>
      </c>
      <c r="DA33" s="125">
        <v>10000</v>
      </c>
    </row>
    <row r="34" spans="1:105" s="126" customFormat="1">
      <c r="A34" s="267"/>
      <c r="B34" s="122" t="s">
        <v>138</v>
      </c>
      <c r="C34" s="123" t="s">
        <v>136</v>
      </c>
      <c r="D34" s="124">
        <f t="shared" si="3"/>
        <v>1388000</v>
      </c>
      <c r="E34" s="125">
        <v>21000</v>
      </c>
      <c r="F34" s="125">
        <v>136000</v>
      </c>
      <c r="G34" s="125">
        <v>48000</v>
      </c>
      <c r="H34" s="125">
        <v>24000</v>
      </c>
      <c r="I34" s="125">
        <v>102000</v>
      </c>
      <c r="J34" s="125">
        <v>7000</v>
      </c>
      <c r="K34" s="125">
        <v>10000</v>
      </c>
      <c r="L34" s="125">
        <v>29000</v>
      </c>
      <c r="M34" s="125">
        <v>48000</v>
      </c>
      <c r="N34" s="125">
        <v>13000</v>
      </c>
      <c r="O34" s="125">
        <v>52000</v>
      </c>
      <c r="P34" s="125">
        <v>4000</v>
      </c>
      <c r="Q34" s="125">
        <v>23000</v>
      </c>
      <c r="R34" s="125">
        <v>46000</v>
      </c>
      <c r="S34" s="125">
        <v>9000</v>
      </c>
      <c r="T34" s="125">
        <v>9000</v>
      </c>
      <c r="U34" s="125">
        <v>31000</v>
      </c>
      <c r="V34" s="125">
        <v>85000</v>
      </c>
      <c r="W34" s="125">
        <v>85000</v>
      </c>
      <c r="X34" s="125">
        <v>8000</v>
      </c>
      <c r="Y34" s="125">
        <v>28000</v>
      </c>
      <c r="Z34" s="125">
        <v>6000</v>
      </c>
      <c r="AA34" s="125">
        <v>23000</v>
      </c>
      <c r="AB34" s="125">
        <v>30000</v>
      </c>
      <c r="AC34" s="125">
        <v>6000</v>
      </c>
      <c r="AD34" s="125">
        <v>12000</v>
      </c>
      <c r="AE34" s="125">
        <v>8000</v>
      </c>
      <c r="AF34" s="125">
        <v>11000</v>
      </c>
      <c r="AG34" s="125">
        <v>15000</v>
      </c>
      <c r="AH34" s="125">
        <v>3000</v>
      </c>
      <c r="AI34" s="125">
        <v>3000</v>
      </c>
      <c r="AJ34" s="125">
        <v>2000</v>
      </c>
      <c r="AK34" s="125">
        <v>17000</v>
      </c>
      <c r="AL34" s="125">
        <v>5000</v>
      </c>
      <c r="AM34" s="125">
        <v>3000</v>
      </c>
      <c r="AN34" s="125">
        <v>3000</v>
      </c>
      <c r="AO34" s="125">
        <v>3000</v>
      </c>
      <c r="AP34" s="125">
        <v>7000</v>
      </c>
      <c r="AQ34" s="125">
        <v>13000</v>
      </c>
      <c r="AR34" s="125">
        <v>9000</v>
      </c>
      <c r="AS34" s="125">
        <v>11000</v>
      </c>
      <c r="AT34" s="125">
        <v>23000</v>
      </c>
      <c r="AU34" s="125">
        <v>4000</v>
      </c>
      <c r="AV34" s="125">
        <v>2000</v>
      </c>
      <c r="AW34" s="125">
        <v>1000</v>
      </c>
      <c r="AX34" s="125">
        <v>2000</v>
      </c>
      <c r="AY34" s="125">
        <v>7000</v>
      </c>
      <c r="AZ34" s="125">
        <v>6000</v>
      </c>
      <c r="BA34" s="125">
        <v>5000</v>
      </c>
      <c r="BB34" s="125">
        <v>2000</v>
      </c>
      <c r="BC34" s="125">
        <v>2000</v>
      </c>
      <c r="BD34" s="125">
        <v>2000</v>
      </c>
      <c r="BE34" s="125">
        <v>31000</v>
      </c>
      <c r="BF34" s="125">
        <v>4000</v>
      </c>
      <c r="BG34" s="125">
        <v>3000</v>
      </c>
      <c r="BH34" s="125">
        <v>2000</v>
      </c>
      <c r="BI34" s="125">
        <v>6000</v>
      </c>
      <c r="BJ34" s="125">
        <v>4000</v>
      </c>
      <c r="BK34" s="125">
        <v>2000</v>
      </c>
      <c r="BL34" s="125">
        <v>30000</v>
      </c>
      <c r="BM34" s="125">
        <v>4000</v>
      </c>
      <c r="BN34" s="125">
        <v>4000</v>
      </c>
      <c r="BO34" s="125">
        <v>4000</v>
      </c>
      <c r="BP34" s="125">
        <v>3000</v>
      </c>
      <c r="BQ34" s="125">
        <v>9000</v>
      </c>
      <c r="BR34" s="125">
        <v>2000</v>
      </c>
      <c r="BS34" s="125">
        <v>2000</v>
      </c>
      <c r="BT34" s="125">
        <v>2000</v>
      </c>
      <c r="BU34" s="125">
        <v>5000</v>
      </c>
      <c r="BV34" s="125">
        <v>7000</v>
      </c>
      <c r="BW34" s="125">
        <v>3000</v>
      </c>
      <c r="BX34" s="125">
        <v>4000</v>
      </c>
      <c r="BY34" s="125">
        <v>8000</v>
      </c>
      <c r="BZ34" s="125">
        <v>9000</v>
      </c>
      <c r="CA34" s="125">
        <v>9000</v>
      </c>
      <c r="CB34" s="125">
        <v>6000</v>
      </c>
      <c r="CC34" s="125">
        <v>7000</v>
      </c>
      <c r="CD34" s="125">
        <v>10000</v>
      </c>
      <c r="CE34" s="125">
        <v>10000</v>
      </c>
      <c r="CF34" s="125">
        <v>4000</v>
      </c>
      <c r="CG34" s="125">
        <v>4000</v>
      </c>
      <c r="CH34" s="125">
        <v>5000</v>
      </c>
      <c r="CI34" s="125">
        <v>5000</v>
      </c>
      <c r="CJ34" s="125">
        <v>5000</v>
      </c>
      <c r="CK34" s="125">
        <v>7000</v>
      </c>
      <c r="CL34" s="125">
        <v>4000</v>
      </c>
      <c r="CM34" s="125">
        <v>5000</v>
      </c>
      <c r="CN34" s="125">
        <v>4000</v>
      </c>
      <c r="CO34" s="125">
        <v>4000</v>
      </c>
      <c r="CP34" s="125">
        <v>6000</v>
      </c>
      <c r="CQ34" s="125">
        <v>5000</v>
      </c>
      <c r="CR34" s="125">
        <v>5000</v>
      </c>
      <c r="CS34" s="125">
        <v>3000</v>
      </c>
      <c r="CT34" s="125">
        <v>4000</v>
      </c>
      <c r="CU34" s="125">
        <v>5000</v>
      </c>
      <c r="CV34" s="125">
        <v>4000</v>
      </c>
      <c r="CW34" s="125">
        <v>3000</v>
      </c>
      <c r="CX34" s="125">
        <v>3000</v>
      </c>
      <c r="CY34" s="125">
        <v>3000</v>
      </c>
      <c r="CZ34" s="125">
        <v>41000</v>
      </c>
      <c r="DA34" s="125">
        <v>5000</v>
      </c>
    </row>
    <row r="35" spans="1:105" s="126" customFormat="1" ht="32.4">
      <c r="A35" s="267"/>
      <c r="B35" s="122" t="s">
        <v>139</v>
      </c>
      <c r="C35" s="123" t="s">
        <v>136</v>
      </c>
      <c r="D35" s="124">
        <f t="shared" si="3"/>
        <v>916000</v>
      </c>
      <c r="E35" s="125">
        <v>12000</v>
      </c>
      <c r="F35" s="125">
        <v>12000</v>
      </c>
      <c r="G35" s="125">
        <v>24000</v>
      </c>
      <c r="H35" s="125">
        <v>56000</v>
      </c>
      <c r="I35" s="125">
        <v>36000</v>
      </c>
      <c r="J35" s="125">
        <v>0</v>
      </c>
      <c r="K35" s="125">
        <v>0</v>
      </c>
      <c r="L35" s="125">
        <v>0</v>
      </c>
      <c r="M35" s="125">
        <v>0</v>
      </c>
      <c r="N35" s="125">
        <v>0</v>
      </c>
      <c r="O35" s="125">
        <v>36000</v>
      </c>
      <c r="P35" s="125">
        <v>0</v>
      </c>
      <c r="Q35" s="125">
        <v>60000</v>
      </c>
      <c r="R35" s="125">
        <v>36000</v>
      </c>
      <c r="S35" s="125">
        <v>0</v>
      </c>
      <c r="T35" s="125">
        <v>0</v>
      </c>
      <c r="U35" s="125">
        <v>36000</v>
      </c>
      <c r="V35" s="125">
        <v>132000</v>
      </c>
      <c r="W35" s="125">
        <v>24000</v>
      </c>
      <c r="X35" s="125">
        <v>0</v>
      </c>
      <c r="Y35" s="125">
        <v>12000</v>
      </c>
      <c r="Z35" s="125">
        <v>0</v>
      </c>
      <c r="AA35" s="125">
        <v>12000</v>
      </c>
      <c r="AB35" s="125">
        <v>24000</v>
      </c>
      <c r="AC35" s="125">
        <v>0</v>
      </c>
      <c r="AD35" s="125">
        <v>24000</v>
      </c>
      <c r="AE35" s="125">
        <v>0</v>
      </c>
      <c r="AF35" s="125">
        <v>0</v>
      </c>
      <c r="AG35" s="125">
        <v>12000</v>
      </c>
      <c r="AH35" s="125">
        <v>0</v>
      </c>
      <c r="AI35" s="125">
        <v>0</v>
      </c>
      <c r="AJ35" s="125">
        <v>0</v>
      </c>
      <c r="AK35" s="125">
        <v>36000</v>
      </c>
      <c r="AL35" s="125">
        <v>0</v>
      </c>
      <c r="AM35" s="125">
        <v>0</v>
      </c>
      <c r="AN35" s="125">
        <v>0</v>
      </c>
      <c r="AO35" s="125">
        <v>0</v>
      </c>
      <c r="AP35" s="125">
        <v>0</v>
      </c>
      <c r="AQ35" s="125">
        <v>24000</v>
      </c>
      <c r="AR35" s="125">
        <v>0</v>
      </c>
      <c r="AS35" s="125">
        <v>0</v>
      </c>
      <c r="AT35" s="125">
        <v>36000</v>
      </c>
      <c r="AU35" s="125">
        <v>0</v>
      </c>
      <c r="AV35" s="125">
        <v>0</v>
      </c>
      <c r="AW35" s="125">
        <v>0</v>
      </c>
      <c r="AX35" s="125">
        <v>0</v>
      </c>
      <c r="AY35" s="125">
        <v>0</v>
      </c>
      <c r="AZ35" s="125">
        <v>0</v>
      </c>
      <c r="BA35" s="125">
        <v>12000</v>
      </c>
      <c r="BB35" s="125">
        <v>0</v>
      </c>
      <c r="BC35" s="125">
        <v>0</v>
      </c>
      <c r="BD35" s="125">
        <v>0</v>
      </c>
      <c r="BE35" s="125">
        <v>96000</v>
      </c>
      <c r="BF35" s="125">
        <v>0</v>
      </c>
      <c r="BG35" s="125">
        <v>0</v>
      </c>
      <c r="BH35" s="125">
        <v>0</v>
      </c>
      <c r="BI35" s="125">
        <v>0</v>
      </c>
      <c r="BJ35" s="125">
        <v>0</v>
      </c>
      <c r="BK35" s="125">
        <v>0</v>
      </c>
      <c r="BL35" s="125">
        <v>0</v>
      </c>
      <c r="BM35" s="125">
        <v>0</v>
      </c>
      <c r="BN35" s="125">
        <v>0</v>
      </c>
      <c r="BO35" s="125">
        <v>0</v>
      </c>
      <c r="BP35" s="125">
        <v>0</v>
      </c>
      <c r="BQ35" s="125">
        <v>24000</v>
      </c>
      <c r="BR35" s="125">
        <v>0</v>
      </c>
      <c r="BS35" s="125">
        <v>0</v>
      </c>
      <c r="BT35" s="125">
        <v>0</v>
      </c>
      <c r="BU35" s="125">
        <v>0</v>
      </c>
      <c r="BV35" s="125">
        <v>0</v>
      </c>
      <c r="BW35" s="125">
        <v>0</v>
      </c>
      <c r="BX35" s="125">
        <v>0</v>
      </c>
      <c r="BY35" s="125">
        <v>12000</v>
      </c>
      <c r="BZ35" s="125">
        <v>0</v>
      </c>
      <c r="CA35" s="125">
        <v>12000</v>
      </c>
      <c r="CB35" s="125">
        <v>0</v>
      </c>
      <c r="CC35" s="125">
        <v>0</v>
      </c>
      <c r="CD35" s="125">
        <v>0</v>
      </c>
      <c r="CE35" s="125">
        <v>0</v>
      </c>
      <c r="CF35" s="125">
        <v>0</v>
      </c>
      <c r="CG35" s="125">
        <v>12000</v>
      </c>
      <c r="CH35" s="125">
        <v>0</v>
      </c>
      <c r="CI35" s="125">
        <v>0</v>
      </c>
      <c r="CJ35" s="125">
        <v>44000</v>
      </c>
      <c r="CK35" s="125">
        <v>0</v>
      </c>
      <c r="CL35" s="125">
        <v>0</v>
      </c>
      <c r="CM35" s="125">
        <v>0</v>
      </c>
      <c r="CN35" s="125">
        <v>0</v>
      </c>
      <c r="CO35" s="125">
        <v>0</v>
      </c>
      <c r="CP35" s="125">
        <v>0</v>
      </c>
      <c r="CQ35" s="125">
        <v>0</v>
      </c>
      <c r="CR35" s="125">
        <v>0</v>
      </c>
      <c r="CS35" s="125">
        <v>0</v>
      </c>
      <c r="CT35" s="125">
        <v>0</v>
      </c>
      <c r="CU35" s="125">
        <v>0</v>
      </c>
      <c r="CV35" s="125">
        <v>0</v>
      </c>
      <c r="CW35" s="125">
        <v>0</v>
      </c>
      <c r="CX35" s="125">
        <v>0</v>
      </c>
      <c r="CY35" s="125">
        <v>0</v>
      </c>
      <c r="CZ35" s="125">
        <v>60000</v>
      </c>
      <c r="DA35" s="125">
        <v>0</v>
      </c>
    </row>
    <row r="36" spans="1:105" s="126" customFormat="1">
      <c r="A36" s="267"/>
      <c r="B36" s="122" t="s">
        <v>140</v>
      </c>
      <c r="C36" s="123" t="s">
        <v>136</v>
      </c>
      <c r="D36" s="124">
        <f t="shared" si="3"/>
        <v>502000</v>
      </c>
      <c r="E36" s="125">
        <v>8000</v>
      </c>
      <c r="F36" s="125">
        <v>8000</v>
      </c>
      <c r="G36" s="125">
        <v>14000</v>
      </c>
      <c r="H36" s="125">
        <v>33000</v>
      </c>
      <c r="I36" s="125">
        <v>22000</v>
      </c>
      <c r="J36" s="125">
        <v>0</v>
      </c>
      <c r="K36" s="125">
        <v>0</v>
      </c>
      <c r="L36" s="125">
        <v>0</v>
      </c>
      <c r="M36" s="125">
        <v>0</v>
      </c>
      <c r="N36" s="125">
        <v>0</v>
      </c>
      <c r="O36" s="125">
        <v>22000</v>
      </c>
      <c r="P36" s="125">
        <v>0</v>
      </c>
      <c r="Q36" s="125">
        <v>36000</v>
      </c>
      <c r="R36" s="125">
        <v>22000</v>
      </c>
      <c r="S36" s="125">
        <v>0</v>
      </c>
      <c r="T36" s="125">
        <v>0</v>
      </c>
      <c r="U36" s="125">
        <v>22000</v>
      </c>
      <c r="V36" s="125">
        <v>22000</v>
      </c>
      <c r="W36" s="125">
        <v>15000</v>
      </c>
      <c r="X36" s="125">
        <v>0</v>
      </c>
      <c r="Y36" s="125">
        <v>8000</v>
      </c>
      <c r="Z36" s="125">
        <v>0</v>
      </c>
      <c r="AA36" s="125">
        <v>8000</v>
      </c>
      <c r="AB36" s="125">
        <v>15000</v>
      </c>
      <c r="AC36" s="125">
        <v>0</v>
      </c>
      <c r="AD36" s="125">
        <v>15000</v>
      </c>
      <c r="AE36" s="125">
        <v>0</v>
      </c>
      <c r="AF36" s="125">
        <v>0</v>
      </c>
      <c r="AG36" s="125">
        <v>8000</v>
      </c>
      <c r="AH36" s="125">
        <v>0</v>
      </c>
      <c r="AI36" s="125">
        <v>0</v>
      </c>
      <c r="AJ36" s="125">
        <v>0</v>
      </c>
      <c r="AK36" s="125">
        <v>22000</v>
      </c>
      <c r="AL36" s="125">
        <v>0</v>
      </c>
      <c r="AM36" s="125">
        <v>0</v>
      </c>
      <c r="AN36" s="125">
        <v>0</v>
      </c>
      <c r="AO36" s="125">
        <v>0</v>
      </c>
      <c r="AP36" s="125">
        <v>0</v>
      </c>
      <c r="AQ36" s="125">
        <v>14000</v>
      </c>
      <c r="AR36" s="125">
        <v>0</v>
      </c>
      <c r="AS36" s="125">
        <v>0</v>
      </c>
      <c r="AT36" s="125">
        <v>21000</v>
      </c>
      <c r="AU36" s="125">
        <v>0</v>
      </c>
      <c r="AV36" s="125">
        <v>0</v>
      </c>
      <c r="AW36" s="125">
        <v>0</v>
      </c>
      <c r="AX36" s="125">
        <v>0</v>
      </c>
      <c r="AY36" s="125">
        <v>0</v>
      </c>
      <c r="AZ36" s="125">
        <v>0</v>
      </c>
      <c r="BA36" s="125">
        <v>8000</v>
      </c>
      <c r="BB36" s="125">
        <v>0</v>
      </c>
      <c r="BC36" s="125">
        <v>0</v>
      </c>
      <c r="BD36" s="125">
        <v>0</v>
      </c>
      <c r="BE36" s="125">
        <v>58000</v>
      </c>
      <c r="BF36" s="125">
        <v>0</v>
      </c>
      <c r="BG36" s="125">
        <v>0</v>
      </c>
      <c r="BH36" s="125">
        <v>0</v>
      </c>
      <c r="BI36" s="125">
        <v>0</v>
      </c>
      <c r="BJ36" s="125">
        <v>0</v>
      </c>
      <c r="BK36" s="125">
        <v>0</v>
      </c>
      <c r="BL36" s="125">
        <v>0</v>
      </c>
      <c r="BM36" s="125">
        <v>0</v>
      </c>
      <c r="BN36" s="125">
        <v>0</v>
      </c>
      <c r="BO36" s="125">
        <v>0</v>
      </c>
      <c r="BP36" s="125">
        <v>0</v>
      </c>
      <c r="BQ36" s="125">
        <v>15000</v>
      </c>
      <c r="BR36" s="125">
        <v>0</v>
      </c>
      <c r="BS36" s="125">
        <v>0</v>
      </c>
      <c r="BT36" s="125">
        <v>0</v>
      </c>
      <c r="BU36" s="125">
        <v>0</v>
      </c>
      <c r="BV36" s="125">
        <v>0</v>
      </c>
      <c r="BW36" s="125">
        <v>0</v>
      </c>
      <c r="BX36" s="125">
        <v>0</v>
      </c>
      <c r="BY36" s="125">
        <v>8000</v>
      </c>
      <c r="BZ36" s="125">
        <v>0</v>
      </c>
      <c r="CA36" s="125">
        <v>8000</v>
      </c>
      <c r="CB36" s="125">
        <v>0</v>
      </c>
      <c r="CC36" s="125">
        <v>0</v>
      </c>
      <c r="CD36" s="125">
        <v>0</v>
      </c>
      <c r="CE36" s="125">
        <v>0</v>
      </c>
      <c r="CF36" s="125">
        <v>0</v>
      </c>
      <c r="CG36" s="125">
        <v>8000</v>
      </c>
      <c r="CH36" s="125">
        <v>0</v>
      </c>
      <c r="CI36" s="125">
        <v>0</v>
      </c>
      <c r="CJ36" s="125">
        <v>26000</v>
      </c>
      <c r="CK36" s="125">
        <v>0</v>
      </c>
      <c r="CL36" s="125">
        <v>0</v>
      </c>
      <c r="CM36" s="125">
        <v>0</v>
      </c>
      <c r="CN36" s="125">
        <v>0</v>
      </c>
      <c r="CO36" s="125">
        <v>0</v>
      </c>
      <c r="CP36" s="125">
        <v>0</v>
      </c>
      <c r="CQ36" s="125">
        <v>0</v>
      </c>
      <c r="CR36" s="125">
        <v>0</v>
      </c>
      <c r="CS36" s="125">
        <v>0</v>
      </c>
      <c r="CT36" s="125">
        <v>0</v>
      </c>
      <c r="CU36" s="125">
        <v>0</v>
      </c>
      <c r="CV36" s="125">
        <v>0</v>
      </c>
      <c r="CW36" s="125">
        <v>0</v>
      </c>
      <c r="CX36" s="125">
        <v>0</v>
      </c>
      <c r="CY36" s="125">
        <v>0</v>
      </c>
      <c r="CZ36" s="125">
        <v>36000</v>
      </c>
      <c r="DA36" s="125">
        <v>0</v>
      </c>
    </row>
    <row r="37" spans="1:105" s="166" customFormat="1">
      <c r="A37" s="267"/>
      <c r="B37" s="162" t="s">
        <v>141</v>
      </c>
      <c r="C37" s="163">
        <v>646</v>
      </c>
      <c r="D37" s="164">
        <f t="shared" si="3"/>
        <v>275000</v>
      </c>
      <c r="E37" s="165">
        <v>0</v>
      </c>
      <c r="F37" s="165">
        <v>0</v>
      </c>
      <c r="G37" s="165">
        <v>0</v>
      </c>
      <c r="H37" s="165">
        <v>6000</v>
      </c>
      <c r="I37" s="165">
        <v>0</v>
      </c>
      <c r="J37" s="165">
        <v>0</v>
      </c>
      <c r="K37" s="165">
        <v>0</v>
      </c>
      <c r="L37" s="165">
        <v>0</v>
      </c>
      <c r="M37" s="165">
        <v>0</v>
      </c>
      <c r="N37" s="165">
        <v>0</v>
      </c>
      <c r="O37" s="165">
        <v>0</v>
      </c>
      <c r="P37" s="165">
        <v>0</v>
      </c>
      <c r="Q37" s="165">
        <v>18000</v>
      </c>
      <c r="R37" s="165">
        <v>0</v>
      </c>
      <c r="S37" s="165">
        <v>0</v>
      </c>
      <c r="T37" s="165">
        <v>0</v>
      </c>
      <c r="U37" s="165">
        <v>0</v>
      </c>
      <c r="V37" s="165">
        <v>0</v>
      </c>
      <c r="W37" s="165">
        <v>0</v>
      </c>
      <c r="X37" s="165">
        <v>5000</v>
      </c>
      <c r="Y37" s="165">
        <v>0</v>
      </c>
      <c r="Z37" s="165">
        <v>0</v>
      </c>
      <c r="AA37" s="165">
        <v>0</v>
      </c>
      <c r="AB37" s="165">
        <v>0</v>
      </c>
      <c r="AC37" s="165">
        <v>5000</v>
      </c>
      <c r="AD37" s="165">
        <v>0</v>
      </c>
      <c r="AE37" s="165">
        <v>0</v>
      </c>
      <c r="AF37" s="165">
        <v>0</v>
      </c>
      <c r="AG37" s="165">
        <v>0</v>
      </c>
      <c r="AH37" s="165">
        <v>5000</v>
      </c>
      <c r="AI37" s="165">
        <v>0</v>
      </c>
      <c r="AJ37" s="165">
        <v>0</v>
      </c>
      <c r="AK37" s="165">
        <v>18000</v>
      </c>
      <c r="AL37" s="165">
        <v>5000</v>
      </c>
      <c r="AM37" s="165">
        <v>0</v>
      </c>
      <c r="AN37" s="165">
        <v>0</v>
      </c>
      <c r="AO37" s="165">
        <v>5000</v>
      </c>
      <c r="AP37" s="165">
        <v>0</v>
      </c>
      <c r="AQ37" s="165">
        <v>6000</v>
      </c>
      <c r="AR37" s="165">
        <v>11000</v>
      </c>
      <c r="AS37" s="165">
        <v>5000</v>
      </c>
      <c r="AT37" s="165">
        <v>18000</v>
      </c>
      <c r="AU37" s="165">
        <v>0</v>
      </c>
      <c r="AV37" s="165">
        <v>0</v>
      </c>
      <c r="AW37" s="165">
        <v>0</v>
      </c>
      <c r="AX37" s="165">
        <v>0</v>
      </c>
      <c r="AY37" s="165">
        <v>0</v>
      </c>
      <c r="AZ37" s="165">
        <v>0</v>
      </c>
      <c r="BA37" s="165">
        <v>5000</v>
      </c>
      <c r="BB37" s="165">
        <v>0</v>
      </c>
      <c r="BC37" s="165">
        <v>0</v>
      </c>
      <c r="BD37" s="165">
        <v>5000</v>
      </c>
      <c r="BE37" s="165">
        <v>18000</v>
      </c>
      <c r="BF37" s="165">
        <v>0</v>
      </c>
      <c r="BG37" s="165">
        <v>5000</v>
      </c>
      <c r="BH37" s="165">
        <v>0</v>
      </c>
      <c r="BI37" s="165">
        <v>0</v>
      </c>
      <c r="BJ37" s="165">
        <v>16000</v>
      </c>
      <c r="BK37" s="165">
        <v>0</v>
      </c>
      <c r="BL37" s="165">
        <v>0</v>
      </c>
      <c r="BM37" s="165">
        <v>5000</v>
      </c>
      <c r="BN37" s="165">
        <v>0</v>
      </c>
      <c r="BO37" s="165">
        <v>0</v>
      </c>
      <c r="BP37" s="165">
        <v>0</v>
      </c>
      <c r="BQ37" s="165">
        <v>11000</v>
      </c>
      <c r="BR37" s="165">
        <v>0</v>
      </c>
      <c r="BS37" s="165">
        <v>11000</v>
      </c>
      <c r="BT37" s="165">
        <v>0</v>
      </c>
      <c r="BU37" s="165">
        <v>4000</v>
      </c>
      <c r="BV37" s="165">
        <v>0</v>
      </c>
      <c r="BW37" s="165">
        <v>0</v>
      </c>
      <c r="BX37" s="165">
        <v>5000</v>
      </c>
      <c r="BY37" s="165">
        <v>0</v>
      </c>
      <c r="BZ37" s="165">
        <v>0</v>
      </c>
      <c r="CA37" s="165">
        <v>12000</v>
      </c>
      <c r="CB37" s="165">
        <v>0</v>
      </c>
      <c r="CC37" s="165">
        <v>0</v>
      </c>
      <c r="CD37" s="165">
        <v>0</v>
      </c>
      <c r="CE37" s="165">
        <v>0</v>
      </c>
      <c r="CF37" s="165">
        <v>16000</v>
      </c>
      <c r="CG37" s="165">
        <v>0</v>
      </c>
      <c r="CH37" s="165">
        <v>0</v>
      </c>
      <c r="CI37" s="165">
        <v>0</v>
      </c>
      <c r="CJ37" s="165">
        <v>0</v>
      </c>
      <c r="CK37" s="165">
        <v>0</v>
      </c>
      <c r="CL37" s="165">
        <v>0</v>
      </c>
      <c r="CM37" s="165">
        <v>0</v>
      </c>
      <c r="CN37" s="165">
        <v>0</v>
      </c>
      <c r="CO37" s="165">
        <v>0</v>
      </c>
      <c r="CP37" s="165">
        <v>0</v>
      </c>
      <c r="CQ37" s="165">
        <v>0</v>
      </c>
      <c r="CR37" s="165">
        <v>5000</v>
      </c>
      <c r="CS37" s="165">
        <v>0</v>
      </c>
      <c r="CT37" s="165">
        <v>16000</v>
      </c>
      <c r="CU37" s="165">
        <v>16000</v>
      </c>
      <c r="CV37" s="165">
        <v>0</v>
      </c>
      <c r="CW37" s="165">
        <v>0</v>
      </c>
      <c r="CX37" s="165">
        <v>0</v>
      </c>
      <c r="CY37" s="165">
        <v>0</v>
      </c>
      <c r="CZ37" s="165">
        <v>6000</v>
      </c>
      <c r="DA37" s="165">
        <v>12000</v>
      </c>
    </row>
    <row r="38" spans="1:105" s="136" customFormat="1">
      <c r="A38" s="267"/>
      <c r="B38" s="132" t="s">
        <v>142</v>
      </c>
      <c r="C38" s="133">
        <v>661</v>
      </c>
      <c r="D38" s="134">
        <f t="shared" si="3"/>
        <v>33000</v>
      </c>
      <c r="E38" s="135">
        <v>0</v>
      </c>
      <c r="F38" s="135">
        <v>0</v>
      </c>
      <c r="G38" s="135">
        <v>0</v>
      </c>
      <c r="H38" s="135">
        <v>1000</v>
      </c>
      <c r="I38" s="135">
        <v>0</v>
      </c>
      <c r="J38" s="135">
        <v>0</v>
      </c>
      <c r="K38" s="135">
        <v>0</v>
      </c>
      <c r="L38" s="135">
        <v>0</v>
      </c>
      <c r="M38" s="135">
        <v>0</v>
      </c>
      <c r="N38" s="135">
        <v>0</v>
      </c>
      <c r="O38" s="135">
        <v>0</v>
      </c>
      <c r="P38" s="135">
        <v>0</v>
      </c>
      <c r="Q38" s="135">
        <v>1000</v>
      </c>
      <c r="R38" s="135">
        <v>0</v>
      </c>
      <c r="S38" s="135">
        <v>0</v>
      </c>
      <c r="T38" s="135">
        <v>0</v>
      </c>
      <c r="U38" s="135">
        <v>0</v>
      </c>
      <c r="V38" s="135">
        <v>0</v>
      </c>
      <c r="W38" s="135">
        <v>0</v>
      </c>
      <c r="X38" s="135">
        <v>1000</v>
      </c>
      <c r="Y38" s="135">
        <v>0</v>
      </c>
      <c r="Z38" s="135">
        <v>0</v>
      </c>
      <c r="AA38" s="135">
        <v>0</v>
      </c>
      <c r="AB38" s="135">
        <v>0</v>
      </c>
      <c r="AC38" s="135">
        <v>1000</v>
      </c>
      <c r="AD38" s="135">
        <v>0</v>
      </c>
      <c r="AE38" s="135">
        <v>0</v>
      </c>
      <c r="AF38" s="135">
        <v>0</v>
      </c>
      <c r="AG38" s="135">
        <v>0</v>
      </c>
      <c r="AH38" s="135">
        <v>1000</v>
      </c>
      <c r="AI38" s="135">
        <v>0</v>
      </c>
      <c r="AJ38" s="135">
        <v>0</v>
      </c>
      <c r="AK38" s="135">
        <v>2000</v>
      </c>
      <c r="AL38" s="135">
        <v>1000</v>
      </c>
      <c r="AM38" s="135">
        <v>0</v>
      </c>
      <c r="AN38" s="135">
        <v>0</v>
      </c>
      <c r="AO38" s="135">
        <v>1000</v>
      </c>
      <c r="AP38" s="135">
        <v>0</v>
      </c>
      <c r="AQ38" s="135">
        <v>1000</v>
      </c>
      <c r="AR38" s="135">
        <v>1000</v>
      </c>
      <c r="AS38" s="135">
        <v>1000</v>
      </c>
      <c r="AT38" s="135">
        <v>2000</v>
      </c>
      <c r="AU38" s="135">
        <v>0</v>
      </c>
      <c r="AV38" s="135">
        <v>0</v>
      </c>
      <c r="AW38" s="135">
        <v>0</v>
      </c>
      <c r="AX38" s="135">
        <v>0</v>
      </c>
      <c r="AY38" s="135">
        <v>0</v>
      </c>
      <c r="AZ38" s="135">
        <v>0</v>
      </c>
      <c r="BA38" s="135">
        <v>1000</v>
      </c>
      <c r="BB38" s="135">
        <v>0</v>
      </c>
      <c r="BC38" s="135">
        <v>0</v>
      </c>
      <c r="BD38" s="135">
        <v>1000</v>
      </c>
      <c r="BE38" s="135">
        <v>2000</v>
      </c>
      <c r="BF38" s="135">
        <v>0</v>
      </c>
      <c r="BG38" s="135">
        <v>1000</v>
      </c>
      <c r="BH38" s="135">
        <v>0</v>
      </c>
      <c r="BI38" s="135">
        <v>0</v>
      </c>
      <c r="BJ38" s="135">
        <v>2000</v>
      </c>
      <c r="BK38" s="135">
        <v>0</v>
      </c>
      <c r="BL38" s="135">
        <v>0</v>
      </c>
      <c r="BM38" s="135">
        <v>1000</v>
      </c>
      <c r="BN38" s="135">
        <v>0</v>
      </c>
      <c r="BO38" s="135">
        <v>0</v>
      </c>
      <c r="BP38" s="135">
        <v>0</v>
      </c>
      <c r="BQ38" s="135">
        <v>1000</v>
      </c>
      <c r="BR38" s="135">
        <v>0</v>
      </c>
      <c r="BS38" s="135">
        <v>0</v>
      </c>
      <c r="BT38" s="135">
        <v>0</v>
      </c>
      <c r="BU38" s="135">
        <v>1000</v>
      </c>
      <c r="BV38" s="135">
        <v>0</v>
      </c>
      <c r="BW38" s="135">
        <v>0</v>
      </c>
      <c r="BX38" s="135">
        <v>1000</v>
      </c>
      <c r="BY38" s="135">
        <v>0</v>
      </c>
      <c r="BZ38" s="135">
        <v>0</v>
      </c>
      <c r="CA38" s="135">
        <v>1000</v>
      </c>
      <c r="CB38" s="135">
        <v>0</v>
      </c>
      <c r="CC38" s="135">
        <v>0</v>
      </c>
      <c r="CD38" s="135">
        <v>0</v>
      </c>
      <c r="CE38" s="135">
        <v>0</v>
      </c>
      <c r="CF38" s="135">
        <v>2000</v>
      </c>
      <c r="CG38" s="135">
        <v>0</v>
      </c>
      <c r="CH38" s="135">
        <v>0</v>
      </c>
      <c r="CI38" s="135">
        <v>0</v>
      </c>
      <c r="CJ38" s="135">
        <v>0</v>
      </c>
      <c r="CK38" s="135">
        <v>0</v>
      </c>
      <c r="CL38" s="135">
        <v>0</v>
      </c>
      <c r="CM38" s="135">
        <v>0</v>
      </c>
      <c r="CN38" s="135">
        <v>0</v>
      </c>
      <c r="CO38" s="135">
        <v>0</v>
      </c>
      <c r="CP38" s="135">
        <v>0</v>
      </c>
      <c r="CQ38" s="135">
        <v>0</v>
      </c>
      <c r="CR38" s="135">
        <v>1000</v>
      </c>
      <c r="CS38" s="135">
        <v>0</v>
      </c>
      <c r="CT38" s="135">
        <v>1000</v>
      </c>
      <c r="CU38" s="135">
        <v>1000</v>
      </c>
      <c r="CV38" s="135">
        <v>0</v>
      </c>
      <c r="CW38" s="135">
        <v>0</v>
      </c>
      <c r="CX38" s="135">
        <v>0</v>
      </c>
      <c r="CY38" s="135">
        <v>0</v>
      </c>
      <c r="CZ38" s="135">
        <v>1000</v>
      </c>
      <c r="DA38" s="135">
        <v>1000</v>
      </c>
    </row>
    <row r="39" spans="1:105" s="136" customFormat="1">
      <c r="A39" s="267"/>
      <c r="B39" s="132" t="s">
        <v>143</v>
      </c>
      <c r="C39" s="133">
        <v>663</v>
      </c>
      <c r="D39" s="134">
        <f t="shared" si="3"/>
        <v>218000</v>
      </c>
      <c r="E39" s="135">
        <v>0</v>
      </c>
      <c r="F39" s="135">
        <v>0</v>
      </c>
      <c r="G39" s="135">
        <v>0</v>
      </c>
      <c r="H39" s="135">
        <v>7000</v>
      </c>
      <c r="I39" s="135">
        <v>0</v>
      </c>
      <c r="J39" s="135">
        <v>0</v>
      </c>
      <c r="K39" s="135">
        <v>0</v>
      </c>
      <c r="L39" s="135">
        <v>0</v>
      </c>
      <c r="M39" s="135">
        <v>0</v>
      </c>
      <c r="N39" s="135">
        <v>0</v>
      </c>
      <c r="O39" s="135">
        <v>0</v>
      </c>
      <c r="P39" s="135">
        <v>0</v>
      </c>
      <c r="Q39" s="135">
        <v>13000</v>
      </c>
      <c r="R39" s="135">
        <v>0</v>
      </c>
      <c r="S39" s="135">
        <v>0</v>
      </c>
      <c r="T39" s="135">
        <v>0</v>
      </c>
      <c r="U39" s="135">
        <v>0</v>
      </c>
      <c r="V39" s="135">
        <v>0</v>
      </c>
      <c r="W39" s="135">
        <v>0</v>
      </c>
      <c r="X39" s="135">
        <v>5000</v>
      </c>
      <c r="Y39" s="135">
        <v>0</v>
      </c>
      <c r="Z39" s="135">
        <v>0</v>
      </c>
      <c r="AA39" s="135">
        <v>0</v>
      </c>
      <c r="AB39" s="135">
        <v>0</v>
      </c>
      <c r="AC39" s="135">
        <v>5000</v>
      </c>
      <c r="AD39" s="135">
        <v>0</v>
      </c>
      <c r="AE39" s="135">
        <v>0</v>
      </c>
      <c r="AF39" s="135">
        <v>0</v>
      </c>
      <c r="AG39" s="135">
        <v>0</v>
      </c>
      <c r="AH39" s="135">
        <v>5000</v>
      </c>
      <c r="AI39" s="135">
        <v>0</v>
      </c>
      <c r="AJ39" s="135">
        <v>0</v>
      </c>
      <c r="AK39" s="135">
        <v>13000</v>
      </c>
      <c r="AL39" s="135">
        <v>5000</v>
      </c>
      <c r="AM39" s="135">
        <v>0</v>
      </c>
      <c r="AN39" s="135">
        <v>0</v>
      </c>
      <c r="AO39" s="135">
        <v>5000</v>
      </c>
      <c r="AP39" s="135">
        <v>0</v>
      </c>
      <c r="AQ39" s="135">
        <v>7000</v>
      </c>
      <c r="AR39" s="135">
        <v>6000</v>
      </c>
      <c r="AS39" s="135">
        <v>5000</v>
      </c>
      <c r="AT39" s="135">
        <v>11000</v>
      </c>
      <c r="AU39" s="135">
        <v>0</v>
      </c>
      <c r="AV39" s="135">
        <v>0</v>
      </c>
      <c r="AW39" s="135">
        <v>0</v>
      </c>
      <c r="AX39" s="135">
        <v>0</v>
      </c>
      <c r="AY39" s="135">
        <v>0</v>
      </c>
      <c r="AZ39" s="135">
        <v>0</v>
      </c>
      <c r="BA39" s="135">
        <v>5000</v>
      </c>
      <c r="BB39" s="135">
        <v>0</v>
      </c>
      <c r="BC39" s="135">
        <v>0</v>
      </c>
      <c r="BD39" s="135">
        <v>5000</v>
      </c>
      <c r="BE39" s="135">
        <v>11000</v>
      </c>
      <c r="BF39" s="135">
        <v>0</v>
      </c>
      <c r="BG39" s="135">
        <v>5000</v>
      </c>
      <c r="BH39" s="135">
        <v>0</v>
      </c>
      <c r="BI39" s="135">
        <v>0</v>
      </c>
      <c r="BJ39" s="135">
        <v>11000</v>
      </c>
      <c r="BK39" s="135">
        <v>0</v>
      </c>
      <c r="BL39" s="135">
        <v>0</v>
      </c>
      <c r="BM39" s="135">
        <v>5000</v>
      </c>
      <c r="BN39" s="135">
        <v>0</v>
      </c>
      <c r="BO39" s="135">
        <v>0</v>
      </c>
      <c r="BP39" s="135">
        <v>0</v>
      </c>
      <c r="BQ39" s="135">
        <v>6000</v>
      </c>
      <c r="BR39" s="135">
        <v>0</v>
      </c>
      <c r="BS39" s="135">
        <v>6000</v>
      </c>
      <c r="BT39" s="135">
        <v>0</v>
      </c>
      <c r="BU39" s="135">
        <v>5000</v>
      </c>
      <c r="BV39" s="135">
        <v>0</v>
      </c>
      <c r="BW39" s="135">
        <v>0</v>
      </c>
      <c r="BX39" s="135">
        <v>5000</v>
      </c>
      <c r="BY39" s="135">
        <v>0</v>
      </c>
      <c r="BZ39" s="135">
        <v>0</v>
      </c>
      <c r="CA39" s="135">
        <v>11000</v>
      </c>
      <c r="CB39" s="135">
        <v>0</v>
      </c>
      <c r="CC39" s="135">
        <v>0</v>
      </c>
      <c r="CD39" s="135">
        <v>0</v>
      </c>
      <c r="CE39" s="135">
        <v>0</v>
      </c>
      <c r="CF39" s="135">
        <v>11000</v>
      </c>
      <c r="CG39" s="135">
        <v>0</v>
      </c>
      <c r="CH39" s="135">
        <v>0</v>
      </c>
      <c r="CI39" s="135">
        <v>0</v>
      </c>
      <c r="CJ39" s="135">
        <v>0</v>
      </c>
      <c r="CK39" s="135">
        <v>0</v>
      </c>
      <c r="CL39" s="135">
        <v>0</v>
      </c>
      <c r="CM39" s="135">
        <v>0</v>
      </c>
      <c r="CN39" s="135">
        <v>0</v>
      </c>
      <c r="CO39" s="135">
        <v>0</v>
      </c>
      <c r="CP39" s="135">
        <v>0</v>
      </c>
      <c r="CQ39" s="135">
        <v>0</v>
      </c>
      <c r="CR39" s="135">
        <v>5000</v>
      </c>
      <c r="CS39" s="135">
        <v>0</v>
      </c>
      <c r="CT39" s="135">
        <v>11000</v>
      </c>
      <c r="CU39" s="135">
        <v>11000</v>
      </c>
      <c r="CV39" s="135">
        <v>0</v>
      </c>
      <c r="CW39" s="135">
        <v>0</v>
      </c>
      <c r="CX39" s="135">
        <v>0</v>
      </c>
      <c r="CY39" s="135">
        <v>0</v>
      </c>
      <c r="CZ39" s="135">
        <v>7000</v>
      </c>
      <c r="DA39" s="135">
        <v>11000</v>
      </c>
    </row>
    <row r="40" spans="1:105" s="136" customFormat="1">
      <c r="A40" s="267"/>
      <c r="B40" s="122" t="s">
        <v>144</v>
      </c>
      <c r="C40" s="123">
        <v>744</v>
      </c>
      <c r="D40" s="134">
        <f t="shared" si="3"/>
        <v>1018000</v>
      </c>
      <c r="E40" s="135">
        <v>6000</v>
      </c>
      <c r="F40" s="135">
        <v>72000</v>
      </c>
      <c r="G40" s="135">
        <v>18000</v>
      </c>
      <c r="H40" s="135">
        <v>30000</v>
      </c>
      <c r="I40" s="135">
        <v>42000</v>
      </c>
      <c r="J40" s="135">
        <v>24000</v>
      </c>
      <c r="K40" s="135">
        <v>18000</v>
      </c>
      <c r="L40" s="135">
        <v>12000</v>
      </c>
      <c r="M40" s="135">
        <v>12000</v>
      </c>
      <c r="N40" s="135">
        <v>12000</v>
      </c>
      <c r="O40" s="135">
        <v>6000</v>
      </c>
      <c r="P40" s="135">
        <v>0</v>
      </c>
      <c r="Q40" s="135">
        <v>6000</v>
      </c>
      <c r="R40" s="135">
        <v>6000</v>
      </c>
      <c r="S40" s="135">
        <v>6000</v>
      </c>
      <c r="T40" s="135">
        <v>6000</v>
      </c>
      <c r="U40" s="135">
        <v>12000</v>
      </c>
      <c r="V40" s="135">
        <v>30000</v>
      </c>
      <c r="W40" s="135">
        <v>24000</v>
      </c>
      <c r="X40" s="135">
        <v>18000</v>
      </c>
      <c r="Y40" s="135">
        <v>24000</v>
      </c>
      <c r="Z40" s="135">
        <v>14000</v>
      </c>
      <c r="AA40" s="135">
        <v>42000</v>
      </c>
      <c r="AB40" s="135">
        <v>18000</v>
      </c>
      <c r="AC40" s="135">
        <v>0</v>
      </c>
      <c r="AD40" s="135">
        <v>6000</v>
      </c>
      <c r="AE40" s="135">
        <v>0</v>
      </c>
      <c r="AF40" s="135">
        <v>6000</v>
      </c>
      <c r="AG40" s="135">
        <v>12000</v>
      </c>
      <c r="AH40" s="135">
        <v>0</v>
      </c>
      <c r="AI40" s="135">
        <v>6000</v>
      </c>
      <c r="AJ40" s="135">
        <v>6000</v>
      </c>
      <c r="AK40" s="135">
        <v>24000</v>
      </c>
      <c r="AL40" s="135">
        <v>12000</v>
      </c>
      <c r="AM40" s="135">
        <v>0</v>
      </c>
      <c r="AN40" s="135">
        <v>6000</v>
      </c>
      <c r="AO40" s="135">
        <v>6000</v>
      </c>
      <c r="AP40" s="135">
        <v>12000</v>
      </c>
      <c r="AQ40" s="135">
        <v>18000</v>
      </c>
      <c r="AR40" s="135">
        <v>12000</v>
      </c>
      <c r="AS40" s="135">
        <v>18000</v>
      </c>
      <c r="AT40" s="135">
        <v>18000</v>
      </c>
      <c r="AU40" s="135">
        <v>6000</v>
      </c>
      <c r="AV40" s="135">
        <v>24000</v>
      </c>
      <c r="AW40" s="135">
        <v>12000</v>
      </c>
      <c r="AX40" s="135">
        <v>0</v>
      </c>
      <c r="AY40" s="135">
        <v>6000</v>
      </c>
      <c r="AZ40" s="135">
        <v>12000</v>
      </c>
      <c r="BA40" s="135">
        <v>6000</v>
      </c>
      <c r="BB40" s="135">
        <v>0</v>
      </c>
      <c r="BC40" s="135">
        <v>6000</v>
      </c>
      <c r="BD40" s="135">
        <v>12000</v>
      </c>
      <c r="BE40" s="135">
        <v>18000</v>
      </c>
      <c r="BF40" s="135">
        <v>0</v>
      </c>
      <c r="BG40" s="135">
        <v>12000</v>
      </c>
      <c r="BH40" s="135">
        <v>0</v>
      </c>
      <c r="BI40" s="135">
        <v>6000</v>
      </c>
      <c r="BJ40" s="135">
        <v>6000</v>
      </c>
      <c r="BK40" s="135">
        <v>0</v>
      </c>
      <c r="BL40" s="135">
        <v>12000</v>
      </c>
      <c r="BM40" s="135">
        <v>0</v>
      </c>
      <c r="BN40" s="135">
        <v>6000</v>
      </c>
      <c r="BO40" s="135">
        <v>12000</v>
      </c>
      <c r="BP40" s="135">
        <v>0</v>
      </c>
      <c r="BQ40" s="135">
        <v>24000</v>
      </c>
      <c r="BR40" s="135">
        <v>0</v>
      </c>
      <c r="BS40" s="135">
        <v>6000</v>
      </c>
      <c r="BT40" s="135">
        <v>0</v>
      </c>
      <c r="BU40" s="135">
        <v>18000</v>
      </c>
      <c r="BV40" s="135">
        <v>6000</v>
      </c>
      <c r="BW40" s="135">
        <v>6000</v>
      </c>
      <c r="BX40" s="135">
        <v>0</v>
      </c>
      <c r="BY40" s="135">
        <v>18000</v>
      </c>
      <c r="BZ40" s="135">
        <v>6000</v>
      </c>
      <c r="CA40" s="135">
        <v>12000</v>
      </c>
      <c r="CB40" s="135">
        <v>6000</v>
      </c>
      <c r="CC40" s="135">
        <v>18000</v>
      </c>
      <c r="CD40" s="135">
        <v>6000</v>
      </c>
      <c r="CE40" s="135">
        <v>0</v>
      </c>
      <c r="CF40" s="135">
        <v>20000</v>
      </c>
      <c r="CG40" s="135">
        <v>6000</v>
      </c>
      <c r="CH40" s="135">
        <v>12000</v>
      </c>
      <c r="CI40" s="135">
        <v>0</v>
      </c>
      <c r="CJ40" s="135">
        <v>6000</v>
      </c>
      <c r="CK40" s="135">
        <v>6000</v>
      </c>
      <c r="CL40" s="135">
        <v>0</v>
      </c>
      <c r="CM40" s="135">
        <v>0</v>
      </c>
      <c r="CN40" s="135">
        <v>6000</v>
      </c>
      <c r="CO40" s="135">
        <v>12000</v>
      </c>
      <c r="CP40" s="135">
        <v>6000</v>
      </c>
      <c r="CQ40" s="135">
        <v>0</v>
      </c>
      <c r="CR40" s="135">
        <v>0</v>
      </c>
      <c r="CS40" s="135">
        <v>6000</v>
      </c>
      <c r="CT40" s="135">
        <v>6000</v>
      </c>
      <c r="CU40" s="135">
        <v>12000</v>
      </c>
      <c r="CV40" s="135">
        <v>0</v>
      </c>
      <c r="CW40" s="135">
        <v>6000</v>
      </c>
      <c r="CX40" s="135">
        <v>6000</v>
      </c>
      <c r="CY40" s="135">
        <v>6000</v>
      </c>
      <c r="CZ40" s="135">
        <v>0</v>
      </c>
      <c r="DA40" s="135">
        <v>0</v>
      </c>
    </row>
    <row r="41" spans="1:105" s="126" customFormat="1">
      <c r="A41" s="267"/>
      <c r="B41" s="137" t="s">
        <v>145</v>
      </c>
      <c r="C41" s="123" t="s">
        <v>146</v>
      </c>
      <c r="D41" s="124">
        <f t="shared" si="2"/>
        <v>1555000</v>
      </c>
      <c r="E41" s="125">
        <v>14000</v>
      </c>
      <c r="F41" s="125">
        <v>0</v>
      </c>
      <c r="G41" s="125">
        <v>108000</v>
      </c>
      <c r="H41" s="125">
        <v>0</v>
      </c>
      <c r="I41" s="125">
        <v>0</v>
      </c>
      <c r="J41" s="125">
        <v>0</v>
      </c>
      <c r="K41" s="125">
        <v>0</v>
      </c>
      <c r="L41" s="125">
        <v>0</v>
      </c>
      <c r="M41" s="125">
        <v>0</v>
      </c>
      <c r="N41" s="125">
        <v>0</v>
      </c>
      <c r="O41" s="125">
        <v>0</v>
      </c>
      <c r="P41" s="125">
        <v>0</v>
      </c>
      <c r="Q41" s="125">
        <v>268000</v>
      </c>
      <c r="R41" s="125">
        <v>0</v>
      </c>
      <c r="S41" s="125">
        <v>0</v>
      </c>
      <c r="T41" s="125">
        <v>0</v>
      </c>
      <c r="U41" s="125">
        <v>0</v>
      </c>
      <c r="V41" s="125">
        <v>0</v>
      </c>
      <c r="W41" s="125">
        <v>0</v>
      </c>
      <c r="X41" s="125">
        <v>0</v>
      </c>
      <c r="Y41" s="125">
        <v>0</v>
      </c>
      <c r="Z41" s="125">
        <v>0</v>
      </c>
      <c r="AA41" s="125">
        <v>0</v>
      </c>
      <c r="AB41" s="125">
        <v>0</v>
      </c>
      <c r="AC41" s="125">
        <v>0</v>
      </c>
      <c r="AD41" s="125">
        <v>0</v>
      </c>
      <c r="AE41" s="125">
        <v>0</v>
      </c>
      <c r="AF41" s="125">
        <v>0</v>
      </c>
      <c r="AG41" s="125">
        <v>0</v>
      </c>
      <c r="AH41" s="125">
        <v>0</v>
      </c>
      <c r="AI41" s="125">
        <v>0</v>
      </c>
      <c r="AJ41" s="125">
        <v>0</v>
      </c>
      <c r="AK41" s="125">
        <v>0</v>
      </c>
      <c r="AL41" s="125">
        <v>0</v>
      </c>
      <c r="AM41" s="125">
        <v>0</v>
      </c>
      <c r="AN41" s="125">
        <v>0</v>
      </c>
      <c r="AO41" s="125">
        <v>0</v>
      </c>
      <c r="AP41" s="125">
        <v>0</v>
      </c>
      <c r="AQ41" s="125">
        <v>0</v>
      </c>
      <c r="AR41" s="125">
        <v>100000</v>
      </c>
      <c r="AS41" s="125">
        <v>0</v>
      </c>
      <c r="AT41" s="125">
        <v>0</v>
      </c>
      <c r="AU41" s="125">
        <v>0</v>
      </c>
      <c r="AV41" s="125">
        <v>0</v>
      </c>
      <c r="AW41" s="125">
        <v>0</v>
      </c>
      <c r="AX41" s="125">
        <v>0</v>
      </c>
      <c r="AY41" s="125">
        <v>0</v>
      </c>
      <c r="AZ41" s="125">
        <v>0</v>
      </c>
      <c r="BA41" s="125">
        <v>0</v>
      </c>
      <c r="BB41" s="125">
        <v>0</v>
      </c>
      <c r="BC41" s="125">
        <v>40000</v>
      </c>
      <c r="BD41" s="125">
        <v>0</v>
      </c>
      <c r="BE41" s="125">
        <v>0</v>
      </c>
      <c r="BF41" s="125">
        <v>0</v>
      </c>
      <c r="BG41" s="125">
        <v>0</v>
      </c>
      <c r="BH41" s="125">
        <v>80000</v>
      </c>
      <c r="BI41" s="125">
        <v>0</v>
      </c>
      <c r="BJ41" s="125">
        <v>50000</v>
      </c>
      <c r="BK41" s="125">
        <v>0</v>
      </c>
      <c r="BL41" s="125">
        <v>0</v>
      </c>
      <c r="BM41" s="125">
        <v>0</v>
      </c>
      <c r="BN41" s="125">
        <v>0</v>
      </c>
      <c r="BO41" s="125">
        <v>0</v>
      </c>
      <c r="BP41" s="125">
        <v>0</v>
      </c>
      <c r="BQ41" s="125">
        <v>0</v>
      </c>
      <c r="BR41" s="125">
        <v>0</v>
      </c>
      <c r="BS41" s="125">
        <v>0</v>
      </c>
      <c r="BT41" s="125">
        <v>0</v>
      </c>
      <c r="BU41" s="125">
        <v>0</v>
      </c>
      <c r="BV41" s="125">
        <v>0</v>
      </c>
      <c r="BW41" s="125">
        <v>0</v>
      </c>
      <c r="BX41" s="125">
        <v>0</v>
      </c>
      <c r="BY41" s="125">
        <v>0</v>
      </c>
      <c r="BZ41" s="125">
        <v>0</v>
      </c>
      <c r="CA41" s="125">
        <v>500000</v>
      </c>
      <c r="CB41" s="125">
        <v>0</v>
      </c>
      <c r="CC41" s="125">
        <v>0</v>
      </c>
      <c r="CD41" s="125">
        <v>0</v>
      </c>
      <c r="CE41" s="125">
        <v>115000</v>
      </c>
      <c r="CF41" s="125">
        <v>200000</v>
      </c>
      <c r="CG41" s="125">
        <v>0</v>
      </c>
      <c r="CH41" s="125">
        <v>0</v>
      </c>
      <c r="CI41" s="125">
        <v>0</v>
      </c>
      <c r="CJ41" s="125">
        <v>0</v>
      </c>
      <c r="CK41" s="125">
        <v>0</v>
      </c>
      <c r="CL41" s="125">
        <v>0</v>
      </c>
      <c r="CM41" s="125">
        <v>0</v>
      </c>
      <c r="CN41" s="125">
        <v>80000</v>
      </c>
      <c r="CO41" s="125">
        <v>0</v>
      </c>
      <c r="CP41" s="125">
        <v>0</v>
      </c>
      <c r="CQ41" s="125">
        <v>0</v>
      </c>
      <c r="CR41" s="125">
        <v>0</v>
      </c>
      <c r="CS41" s="125">
        <v>0</v>
      </c>
      <c r="CT41" s="125">
        <v>0</v>
      </c>
      <c r="CU41" s="125">
        <v>0</v>
      </c>
      <c r="CV41" s="125">
        <v>0</v>
      </c>
      <c r="CW41" s="125">
        <v>0</v>
      </c>
      <c r="CX41" s="125">
        <v>0</v>
      </c>
      <c r="CY41" s="125">
        <v>0</v>
      </c>
      <c r="CZ41" s="125">
        <v>0</v>
      </c>
      <c r="DA41" s="125">
        <v>0</v>
      </c>
    </row>
    <row r="42" spans="1:105" s="126" customFormat="1">
      <c r="A42" s="267"/>
      <c r="B42" s="137" t="s">
        <v>147</v>
      </c>
      <c r="C42" s="123" t="s">
        <v>146</v>
      </c>
      <c r="D42" s="124">
        <f t="shared" si="2"/>
        <v>240000</v>
      </c>
      <c r="E42" s="125">
        <v>0</v>
      </c>
      <c r="F42" s="125">
        <v>0</v>
      </c>
      <c r="G42" s="125">
        <v>0</v>
      </c>
      <c r="H42" s="125">
        <v>0</v>
      </c>
      <c r="I42" s="125">
        <v>0</v>
      </c>
      <c r="J42" s="125">
        <v>0</v>
      </c>
      <c r="K42" s="125">
        <v>0</v>
      </c>
      <c r="L42" s="125">
        <v>0</v>
      </c>
      <c r="M42" s="125">
        <v>0</v>
      </c>
      <c r="N42" s="125">
        <v>0</v>
      </c>
      <c r="O42" s="125">
        <v>0</v>
      </c>
      <c r="P42" s="125">
        <v>0</v>
      </c>
      <c r="Q42" s="125">
        <v>60000</v>
      </c>
      <c r="R42" s="125">
        <v>0</v>
      </c>
      <c r="S42" s="125">
        <v>0</v>
      </c>
      <c r="T42" s="125">
        <v>0</v>
      </c>
      <c r="U42" s="125">
        <v>0</v>
      </c>
      <c r="V42" s="125">
        <v>0</v>
      </c>
      <c r="W42" s="125">
        <v>0</v>
      </c>
      <c r="X42" s="125">
        <v>0</v>
      </c>
      <c r="Y42" s="125">
        <v>0</v>
      </c>
      <c r="Z42" s="125">
        <v>0</v>
      </c>
      <c r="AA42" s="125">
        <v>0</v>
      </c>
      <c r="AB42" s="125">
        <v>0</v>
      </c>
      <c r="AC42" s="125">
        <v>0</v>
      </c>
      <c r="AD42" s="125">
        <v>0</v>
      </c>
      <c r="AE42" s="125">
        <v>0</v>
      </c>
      <c r="AF42" s="125">
        <v>0</v>
      </c>
      <c r="AG42" s="125">
        <v>0</v>
      </c>
      <c r="AH42" s="125">
        <v>0</v>
      </c>
      <c r="AI42" s="125">
        <v>0</v>
      </c>
      <c r="AJ42" s="125">
        <v>0</v>
      </c>
      <c r="AK42" s="125">
        <v>0</v>
      </c>
      <c r="AL42" s="125">
        <v>0</v>
      </c>
      <c r="AM42" s="125">
        <v>0</v>
      </c>
      <c r="AN42" s="125">
        <v>0</v>
      </c>
      <c r="AO42" s="125">
        <v>0</v>
      </c>
      <c r="AP42" s="125">
        <v>0</v>
      </c>
      <c r="AQ42" s="125">
        <v>0</v>
      </c>
      <c r="AR42" s="125">
        <v>0</v>
      </c>
      <c r="AS42" s="125">
        <v>0</v>
      </c>
      <c r="AT42" s="125">
        <v>0</v>
      </c>
      <c r="AU42" s="125">
        <v>50000</v>
      </c>
      <c r="AV42" s="125">
        <v>0</v>
      </c>
      <c r="AW42" s="125">
        <v>0</v>
      </c>
      <c r="AX42" s="125">
        <v>0</v>
      </c>
      <c r="AY42" s="125">
        <v>0</v>
      </c>
      <c r="AZ42" s="125">
        <v>0</v>
      </c>
      <c r="BA42" s="125">
        <v>0</v>
      </c>
      <c r="BB42" s="125">
        <v>0</v>
      </c>
      <c r="BC42" s="125">
        <v>0</v>
      </c>
      <c r="BD42" s="125">
        <v>0</v>
      </c>
      <c r="BE42" s="125">
        <v>80000</v>
      </c>
      <c r="BF42" s="125">
        <v>0</v>
      </c>
      <c r="BG42" s="125">
        <v>0</v>
      </c>
      <c r="BH42" s="125">
        <v>0</v>
      </c>
      <c r="BI42" s="125">
        <v>0</v>
      </c>
      <c r="BJ42" s="125">
        <v>0</v>
      </c>
      <c r="BK42" s="125">
        <v>0</v>
      </c>
      <c r="BL42" s="125">
        <v>0</v>
      </c>
      <c r="BM42" s="125">
        <v>0</v>
      </c>
      <c r="BN42" s="125">
        <v>0</v>
      </c>
      <c r="BO42" s="125">
        <v>0</v>
      </c>
      <c r="BP42" s="125">
        <v>0</v>
      </c>
      <c r="BQ42" s="125">
        <v>50000</v>
      </c>
      <c r="BR42" s="125">
        <v>0</v>
      </c>
      <c r="BS42" s="125">
        <v>0</v>
      </c>
      <c r="BT42" s="125">
        <v>0</v>
      </c>
      <c r="BU42" s="125">
        <v>0</v>
      </c>
      <c r="BV42" s="125">
        <v>0</v>
      </c>
      <c r="BW42" s="125">
        <v>0</v>
      </c>
      <c r="BX42" s="125">
        <v>0</v>
      </c>
      <c r="BY42" s="125">
        <v>0</v>
      </c>
      <c r="BZ42" s="125">
        <v>0</v>
      </c>
      <c r="CA42" s="125">
        <v>0</v>
      </c>
      <c r="CB42" s="125">
        <v>0</v>
      </c>
      <c r="CC42" s="125">
        <v>0</v>
      </c>
      <c r="CD42" s="125">
        <v>0</v>
      </c>
      <c r="CE42" s="125">
        <v>0</v>
      </c>
      <c r="CF42" s="125">
        <v>0</v>
      </c>
      <c r="CG42" s="125">
        <v>0</v>
      </c>
      <c r="CH42" s="125">
        <v>0</v>
      </c>
      <c r="CI42" s="125">
        <v>0</v>
      </c>
      <c r="CJ42" s="125">
        <v>0</v>
      </c>
      <c r="CK42" s="125">
        <v>0</v>
      </c>
      <c r="CL42" s="125">
        <v>0</v>
      </c>
      <c r="CM42" s="125">
        <v>0</v>
      </c>
      <c r="CN42" s="125">
        <v>0</v>
      </c>
      <c r="CO42" s="125">
        <v>0</v>
      </c>
      <c r="CP42" s="125">
        <v>0</v>
      </c>
      <c r="CQ42" s="125">
        <v>0</v>
      </c>
      <c r="CR42" s="125">
        <v>0</v>
      </c>
      <c r="CS42" s="125">
        <v>0</v>
      </c>
      <c r="CT42" s="125">
        <v>0</v>
      </c>
      <c r="CU42" s="125">
        <v>0</v>
      </c>
      <c r="CV42" s="125">
        <v>0</v>
      </c>
      <c r="CW42" s="125">
        <v>0</v>
      </c>
      <c r="CX42" s="125">
        <v>0</v>
      </c>
      <c r="CY42" s="125">
        <v>0</v>
      </c>
      <c r="CZ42" s="125">
        <v>0</v>
      </c>
      <c r="DA42" s="125">
        <v>0</v>
      </c>
    </row>
    <row r="43" spans="1:105" s="126" customFormat="1">
      <c r="A43" s="267"/>
      <c r="B43" s="157" t="s">
        <v>679</v>
      </c>
      <c r="C43" s="123" t="s">
        <v>146</v>
      </c>
      <c r="D43" s="124">
        <f t="shared" si="2"/>
        <v>450000</v>
      </c>
      <c r="E43" s="125">
        <v>0</v>
      </c>
      <c r="F43" s="125">
        <v>0</v>
      </c>
      <c r="G43" s="125">
        <v>0</v>
      </c>
      <c r="H43" s="125">
        <v>0</v>
      </c>
      <c r="I43" s="125">
        <v>300000</v>
      </c>
      <c r="J43" s="125">
        <v>0</v>
      </c>
      <c r="K43" s="125">
        <v>0</v>
      </c>
      <c r="L43" s="125">
        <v>150000</v>
      </c>
      <c r="M43" s="125">
        <v>0</v>
      </c>
      <c r="N43" s="125">
        <v>0</v>
      </c>
      <c r="O43" s="125">
        <v>0</v>
      </c>
      <c r="P43" s="125">
        <v>0</v>
      </c>
      <c r="Q43" s="125">
        <v>0</v>
      </c>
      <c r="R43" s="125">
        <v>0</v>
      </c>
      <c r="S43" s="125">
        <v>0</v>
      </c>
      <c r="T43" s="125">
        <v>0</v>
      </c>
      <c r="U43" s="125">
        <v>0</v>
      </c>
      <c r="V43" s="125">
        <v>0</v>
      </c>
      <c r="W43" s="125">
        <v>0</v>
      </c>
      <c r="X43" s="125">
        <v>0</v>
      </c>
      <c r="Y43" s="125">
        <v>0</v>
      </c>
      <c r="Z43" s="125">
        <v>0</v>
      </c>
      <c r="AA43" s="125">
        <v>0</v>
      </c>
      <c r="AB43" s="125">
        <v>0</v>
      </c>
      <c r="AC43" s="125">
        <v>0</v>
      </c>
      <c r="AD43" s="125">
        <v>0</v>
      </c>
      <c r="AE43" s="125">
        <v>0</v>
      </c>
      <c r="AF43" s="125">
        <v>0</v>
      </c>
      <c r="AG43" s="125">
        <v>0</v>
      </c>
      <c r="AH43" s="125">
        <v>0</v>
      </c>
      <c r="AI43" s="125">
        <v>0</v>
      </c>
      <c r="AJ43" s="125">
        <v>0</v>
      </c>
      <c r="AK43" s="125">
        <v>0</v>
      </c>
      <c r="AL43" s="125">
        <v>0</v>
      </c>
      <c r="AM43" s="125">
        <v>0</v>
      </c>
      <c r="AN43" s="125">
        <v>0</v>
      </c>
      <c r="AO43" s="125">
        <v>0</v>
      </c>
      <c r="AP43" s="125">
        <v>0</v>
      </c>
      <c r="AQ43" s="125">
        <v>0</v>
      </c>
      <c r="AR43" s="125">
        <v>0</v>
      </c>
      <c r="AS43" s="125">
        <v>0</v>
      </c>
      <c r="AT43" s="125">
        <v>0</v>
      </c>
      <c r="AU43" s="125">
        <v>0</v>
      </c>
      <c r="AV43" s="125">
        <v>0</v>
      </c>
      <c r="AW43" s="125">
        <v>0</v>
      </c>
      <c r="AX43" s="125">
        <v>0</v>
      </c>
      <c r="AY43" s="125">
        <v>0</v>
      </c>
      <c r="AZ43" s="125">
        <v>0</v>
      </c>
      <c r="BA43" s="125">
        <v>0</v>
      </c>
      <c r="BB43" s="125">
        <v>0</v>
      </c>
      <c r="BC43" s="125">
        <v>0</v>
      </c>
      <c r="BD43" s="125">
        <v>0</v>
      </c>
      <c r="BE43" s="125">
        <v>0</v>
      </c>
      <c r="BF43" s="125">
        <v>0</v>
      </c>
      <c r="BG43" s="125">
        <v>0</v>
      </c>
      <c r="BH43" s="125">
        <v>0</v>
      </c>
      <c r="BI43" s="125">
        <v>0</v>
      </c>
      <c r="BJ43" s="125">
        <v>0</v>
      </c>
      <c r="BK43" s="125">
        <v>0</v>
      </c>
      <c r="BL43" s="125">
        <v>0</v>
      </c>
      <c r="BM43" s="125">
        <v>0</v>
      </c>
      <c r="BN43" s="125">
        <v>0</v>
      </c>
      <c r="BO43" s="125">
        <v>0</v>
      </c>
      <c r="BP43" s="125">
        <v>0</v>
      </c>
      <c r="BQ43" s="125">
        <v>0</v>
      </c>
      <c r="BR43" s="125">
        <v>0</v>
      </c>
      <c r="BS43" s="125">
        <v>0</v>
      </c>
      <c r="BT43" s="125">
        <v>0</v>
      </c>
      <c r="BU43" s="125">
        <v>0</v>
      </c>
      <c r="BV43" s="125">
        <v>0</v>
      </c>
      <c r="BW43" s="125">
        <v>0</v>
      </c>
      <c r="BX43" s="125">
        <v>0</v>
      </c>
      <c r="BY43" s="125">
        <v>0</v>
      </c>
      <c r="BZ43" s="125">
        <v>0</v>
      </c>
      <c r="CA43" s="125">
        <v>0</v>
      </c>
      <c r="CB43" s="125">
        <v>0</v>
      </c>
      <c r="CC43" s="125">
        <v>0</v>
      </c>
      <c r="CD43" s="125">
        <v>0</v>
      </c>
      <c r="CE43" s="125">
        <v>0</v>
      </c>
      <c r="CF43" s="125">
        <v>0</v>
      </c>
      <c r="CG43" s="125">
        <v>0</v>
      </c>
      <c r="CH43" s="125">
        <v>0</v>
      </c>
      <c r="CI43" s="125">
        <v>0</v>
      </c>
      <c r="CJ43" s="125">
        <v>0</v>
      </c>
      <c r="CK43" s="125">
        <v>0</v>
      </c>
      <c r="CL43" s="125">
        <v>0</v>
      </c>
      <c r="CM43" s="125">
        <v>0</v>
      </c>
      <c r="CN43" s="125">
        <v>0</v>
      </c>
      <c r="CO43" s="125">
        <v>0</v>
      </c>
      <c r="CP43" s="125">
        <v>0</v>
      </c>
      <c r="CQ43" s="125">
        <v>0</v>
      </c>
      <c r="CR43" s="125">
        <v>0</v>
      </c>
      <c r="CS43" s="125">
        <v>0</v>
      </c>
      <c r="CT43" s="125">
        <v>0</v>
      </c>
      <c r="CU43" s="125">
        <v>0</v>
      </c>
      <c r="CV43" s="125">
        <v>0</v>
      </c>
      <c r="CW43" s="125">
        <v>0</v>
      </c>
      <c r="CX43" s="125">
        <v>0</v>
      </c>
      <c r="CY43" s="125">
        <v>0</v>
      </c>
      <c r="CZ43" s="125">
        <v>0</v>
      </c>
      <c r="DA43" s="125">
        <v>0</v>
      </c>
    </row>
    <row r="44" spans="1:105" s="126" customFormat="1">
      <c r="A44" s="267"/>
      <c r="B44" s="137" t="s">
        <v>148</v>
      </c>
      <c r="C44" s="123" t="s">
        <v>146</v>
      </c>
      <c r="D44" s="124">
        <f t="shared" si="2"/>
        <v>4660000</v>
      </c>
      <c r="E44" s="125">
        <v>4000</v>
      </c>
      <c r="F44" s="125">
        <v>600000</v>
      </c>
      <c r="G44" s="125">
        <v>50000</v>
      </c>
      <c r="H44" s="125">
        <v>290000</v>
      </c>
      <c r="I44" s="125">
        <v>100000</v>
      </c>
      <c r="J44" s="125">
        <v>3000</v>
      </c>
      <c r="K44" s="125">
        <v>100000</v>
      </c>
      <c r="L44" s="125">
        <v>270000</v>
      </c>
      <c r="M44" s="125">
        <v>50000</v>
      </c>
      <c r="N44" s="125">
        <v>10000</v>
      </c>
      <c r="O44" s="125">
        <v>365000</v>
      </c>
      <c r="P44" s="125">
        <v>0</v>
      </c>
      <c r="Q44" s="125">
        <v>20000</v>
      </c>
      <c r="R44" s="125">
        <v>20000</v>
      </c>
      <c r="S44" s="125">
        <v>5000</v>
      </c>
      <c r="T44" s="125">
        <v>25000</v>
      </c>
      <c r="U44" s="125">
        <v>265000</v>
      </c>
      <c r="V44" s="125">
        <v>450000</v>
      </c>
      <c r="W44" s="125">
        <v>75000</v>
      </c>
      <c r="X44" s="125">
        <v>20000</v>
      </c>
      <c r="Y44" s="125">
        <v>30000</v>
      </c>
      <c r="Z44" s="125">
        <v>15000</v>
      </c>
      <c r="AA44" s="125">
        <v>100000</v>
      </c>
      <c r="AB44" s="125">
        <v>60000</v>
      </c>
      <c r="AC44" s="125">
        <v>0</v>
      </c>
      <c r="AD44" s="125">
        <v>200000</v>
      </c>
      <c r="AE44" s="125">
        <v>20000</v>
      </c>
      <c r="AF44" s="125">
        <v>0</v>
      </c>
      <c r="AG44" s="125">
        <v>0</v>
      </c>
      <c r="AH44" s="125">
        <v>0</v>
      </c>
      <c r="AI44" s="125">
        <v>0</v>
      </c>
      <c r="AJ44" s="125">
        <v>18000</v>
      </c>
      <c r="AK44" s="125">
        <v>120000</v>
      </c>
      <c r="AL44" s="125">
        <v>0</v>
      </c>
      <c r="AM44" s="125">
        <v>0</v>
      </c>
      <c r="AN44" s="125">
        <v>0</v>
      </c>
      <c r="AO44" s="125">
        <v>0</v>
      </c>
      <c r="AP44" s="125">
        <v>50000</v>
      </c>
      <c r="AQ44" s="125">
        <v>20000</v>
      </c>
      <c r="AR44" s="125">
        <v>5000</v>
      </c>
      <c r="AS44" s="125">
        <v>15000</v>
      </c>
      <c r="AT44" s="125">
        <v>30000</v>
      </c>
      <c r="AU44" s="125">
        <v>10000</v>
      </c>
      <c r="AV44" s="125">
        <v>0</v>
      </c>
      <c r="AW44" s="125">
        <v>0</v>
      </c>
      <c r="AX44" s="125">
        <v>0</v>
      </c>
      <c r="AY44" s="125">
        <v>5000</v>
      </c>
      <c r="AZ44" s="125">
        <v>0</v>
      </c>
      <c r="BA44" s="125">
        <v>10000</v>
      </c>
      <c r="BB44" s="125">
        <v>10000</v>
      </c>
      <c r="BC44" s="125">
        <v>0</v>
      </c>
      <c r="BD44" s="125">
        <v>0</v>
      </c>
      <c r="BE44" s="125">
        <v>390000</v>
      </c>
      <c r="BF44" s="125">
        <v>6000</v>
      </c>
      <c r="BG44" s="125">
        <v>0</v>
      </c>
      <c r="BH44" s="125">
        <v>0</v>
      </c>
      <c r="BI44" s="125">
        <v>3000</v>
      </c>
      <c r="BJ44" s="125">
        <v>0</v>
      </c>
      <c r="BK44" s="125">
        <v>0</v>
      </c>
      <c r="BL44" s="125">
        <v>90000</v>
      </c>
      <c r="BM44" s="125">
        <v>7000</v>
      </c>
      <c r="BN44" s="125">
        <v>6000</v>
      </c>
      <c r="BO44" s="125">
        <v>0</v>
      </c>
      <c r="BP44" s="125">
        <v>0</v>
      </c>
      <c r="BQ44" s="125">
        <v>40000</v>
      </c>
      <c r="BR44" s="125">
        <v>0</v>
      </c>
      <c r="BS44" s="125">
        <v>0</v>
      </c>
      <c r="BT44" s="125">
        <v>0</v>
      </c>
      <c r="BU44" s="125">
        <v>6000</v>
      </c>
      <c r="BV44" s="125">
        <v>4000</v>
      </c>
      <c r="BW44" s="125">
        <v>0</v>
      </c>
      <c r="BX44" s="125">
        <v>0</v>
      </c>
      <c r="BY44" s="125">
        <v>35000</v>
      </c>
      <c r="BZ44" s="125">
        <v>10000</v>
      </c>
      <c r="CA44" s="125">
        <v>30000</v>
      </c>
      <c r="CB44" s="125">
        <v>50000</v>
      </c>
      <c r="CC44" s="125">
        <v>10000</v>
      </c>
      <c r="CD44" s="125">
        <v>6000</v>
      </c>
      <c r="CE44" s="125">
        <v>80000</v>
      </c>
      <c r="CF44" s="125">
        <v>30000</v>
      </c>
      <c r="CG44" s="125">
        <v>36000</v>
      </c>
      <c r="CH44" s="125">
        <v>0</v>
      </c>
      <c r="CI44" s="125">
        <v>6000</v>
      </c>
      <c r="CJ44" s="125">
        <v>30000</v>
      </c>
      <c r="CK44" s="125">
        <v>10000</v>
      </c>
      <c r="CL44" s="125">
        <v>3000</v>
      </c>
      <c r="CM44" s="125">
        <v>0</v>
      </c>
      <c r="CN44" s="125">
        <v>5000</v>
      </c>
      <c r="CO44" s="125">
        <v>60000</v>
      </c>
      <c r="CP44" s="125">
        <v>15000</v>
      </c>
      <c r="CQ44" s="125">
        <v>0</v>
      </c>
      <c r="CR44" s="125">
        <v>3000</v>
      </c>
      <c r="CS44" s="125">
        <v>0</v>
      </c>
      <c r="CT44" s="125">
        <v>0</v>
      </c>
      <c r="CU44" s="125">
        <v>3000</v>
      </c>
      <c r="CV44" s="125">
        <v>0</v>
      </c>
      <c r="CW44" s="125">
        <v>0</v>
      </c>
      <c r="CX44" s="125">
        <v>0</v>
      </c>
      <c r="CY44" s="125">
        <v>0</v>
      </c>
      <c r="CZ44" s="125">
        <v>200000</v>
      </c>
      <c r="DA44" s="125">
        <v>46000</v>
      </c>
    </row>
    <row r="45" spans="1:105" s="126" customFormat="1">
      <c r="A45" s="267"/>
      <c r="B45" s="137" t="s">
        <v>678</v>
      </c>
      <c r="C45" s="123" t="s">
        <v>146</v>
      </c>
      <c r="D45" s="124">
        <f t="shared" si="2"/>
        <v>254000</v>
      </c>
      <c r="E45" s="125">
        <v>0</v>
      </c>
      <c r="F45" s="125">
        <v>170000</v>
      </c>
      <c r="G45" s="125">
        <v>5000</v>
      </c>
      <c r="H45" s="125">
        <v>13000</v>
      </c>
      <c r="I45" s="125">
        <v>10000</v>
      </c>
      <c r="J45" s="125">
        <v>0</v>
      </c>
      <c r="K45" s="125">
        <v>0</v>
      </c>
      <c r="L45" s="125">
        <v>0</v>
      </c>
      <c r="M45" s="125">
        <v>0</v>
      </c>
      <c r="N45" s="125">
        <v>0</v>
      </c>
      <c r="O45" s="125">
        <v>0</v>
      </c>
      <c r="P45" s="125">
        <v>0</v>
      </c>
      <c r="Q45" s="125">
        <v>0</v>
      </c>
      <c r="R45" s="125">
        <v>2000</v>
      </c>
      <c r="S45" s="125">
        <v>0</v>
      </c>
      <c r="T45" s="125">
        <v>0</v>
      </c>
      <c r="U45" s="125">
        <v>0</v>
      </c>
      <c r="V45" s="125">
        <v>10000</v>
      </c>
      <c r="W45" s="125">
        <v>5000</v>
      </c>
      <c r="X45" s="125">
        <v>0</v>
      </c>
      <c r="Y45" s="125">
        <v>0</v>
      </c>
      <c r="Z45" s="125">
        <v>0</v>
      </c>
      <c r="AA45" s="125">
        <v>0</v>
      </c>
      <c r="AB45" s="125">
        <v>6000</v>
      </c>
      <c r="AC45" s="125">
        <v>0</v>
      </c>
      <c r="AD45" s="125">
        <v>0</v>
      </c>
      <c r="AE45" s="125">
        <v>0</v>
      </c>
      <c r="AF45" s="125">
        <v>0</v>
      </c>
      <c r="AG45" s="125">
        <v>0</v>
      </c>
      <c r="AH45" s="125">
        <v>0</v>
      </c>
      <c r="AI45" s="125">
        <v>0</v>
      </c>
      <c r="AJ45" s="125">
        <v>0</v>
      </c>
      <c r="AK45" s="125">
        <v>0</v>
      </c>
      <c r="AL45" s="125">
        <v>0</v>
      </c>
      <c r="AM45" s="125">
        <v>0</v>
      </c>
      <c r="AN45" s="125">
        <v>0</v>
      </c>
      <c r="AO45" s="125">
        <v>0</v>
      </c>
      <c r="AP45" s="125">
        <v>0</v>
      </c>
      <c r="AQ45" s="125">
        <v>0</v>
      </c>
      <c r="AR45" s="125">
        <v>0</v>
      </c>
      <c r="AS45" s="125">
        <v>0</v>
      </c>
      <c r="AT45" s="125">
        <v>5000</v>
      </c>
      <c r="AU45" s="125">
        <v>0</v>
      </c>
      <c r="AV45" s="125">
        <v>0</v>
      </c>
      <c r="AW45" s="125">
        <v>0</v>
      </c>
      <c r="AX45" s="125">
        <v>0</v>
      </c>
      <c r="AY45" s="125">
        <v>0</v>
      </c>
      <c r="AZ45" s="125">
        <v>0</v>
      </c>
      <c r="BA45" s="125">
        <v>0</v>
      </c>
      <c r="BB45" s="125">
        <v>0</v>
      </c>
      <c r="BC45" s="125">
        <v>0</v>
      </c>
      <c r="BD45" s="125">
        <v>0</v>
      </c>
      <c r="BE45" s="125">
        <v>0</v>
      </c>
      <c r="BF45" s="125">
        <v>0</v>
      </c>
      <c r="BG45" s="125">
        <v>1000</v>
      </c>
      <c r="BH45" s="125">
        <v>0</v>
      </c>
      <c r="BI45" s="125">
        <v>0</v>
      </c>
      <c r="BJ45" s="125">
        <v>0</v>
      </c>
      <c r="BK45" s="125">
        <v>0</v>
      </c>
      <c r="BL45" s="125">
        <v>10000</v>
      </c>
      <c r="BM45" s="125">
        <v>0</v>
      </c>
      <c r="BN45" s="125">
        <v>0</v>
      </c>
      <c r="BO45" s="125">
        <v>0</v>
      </c>
      <c r="BP45" s="125">
        <v>0</v>
      </c>
      <c r="BQ45" s="125">
        <v>0</v>
      </c>
      <c r="BR45" s="125">
        <v>0</v>
      </c>
      <c r="BS45" s="125">
        <v>0</v>
      </c>
      <c r="BT45" s="125">
        <v>0</v>
      </c>
      <c r="BU45" s="125">
        <v>0</v>
      </c>
      <c r="BV45" s="125">
        <v>0</v>
      </c>
      <c r="BW45" s="125">
        <v>0</v>
      </c>
      <c r="BX45" s="125">
        <v>0</v>
      </c>
      <c r="BY45" s="125">
        <v>3000</v>
      </c>
      <c r="BZ45" s="125">
        <v>0</v>
      </c>
      <c r="CA45" s="125">
        <v>0</v>
      </c>
      <c r="CB45" s="125">
        <v>0</v>
      </c>
      <c r="CC45" s="125">
        <v>0</v>
      </c>
      <c r="CD45" s="125">
        <v>0</v>
      </c>
      <c r="CE45" s="125">
        <v>0</v>
      </c>
      <c r="CF45" s="125">
        <v>0</v>
      </c>
      <c r="CG45" s="125">
        <v>0</v>
      </c>
      <c r="CH45" s="125">
        <v>0</v>
      </c>
      <c r="CI45" s="125">
        <v>0</v>
      </c>
      <c r="CJ45" s="125">
        <v>0</v>
      </c>
      <c r="CK45" s="125">
        <v>0</v>
      </c>
      <c r="CL45" s="125">
        <v>0</v>
      </c>
      <c r="CM45" s="125">
        <v>0</v>
      </c>
      <c r="CN45" s="125">
        <v>0</v>
      </c>
      <c r="CO45" s="125">
        <v>0</v>
      </c>
      <c r="CP45" s="125">
        <v>0</v>
      </c>
      <c r="CQ45" s="125">
        <v>0</v>
      </c>
      <c r="CR45" s="125">
        <v>0</v>
      </c>
      <c r="CS45" s="125">
        <v>0</v>
      </c>
      <c r="CT45" s="125">
        <v>0</v>
      </c>
      <c r="CU45" s="125">
        <v>0</v>
      </c>
      <c r="CV45" s="125">
        <v>0</v>
      </c>
      <c r="CW45" s="125">
        <v>0</v>
      </c>
      <c r="CX45" s="125">
        <v>2000</v>
      </c>
      <c r="CY45" s="125">
        <v>0</v>
      </c>
      <c r="CZ45" s="125">
        <v>8000</v>
      </c>
      <c r="DA45" s="125">
        <v>4000</v>
      </c>
    </row>
    <row r="46" spans="1:105" s="126" customFormat="1">
      <c r="A46" s="267"/>
      <c r="B46" s="127" t="s">
        <v>177</v>
      </c>
      <c r="C46" s="123"/>
      <c r="D46" s="125">
        <f t="shared" ref="D46:AI46" si="4">SUM(D14:D45)</f>
        <v>132918000</v>
      </c>
      <c r="E46" s="125">
        <f t="shared" si="4"/>
        <v>1379000</v>
      </c>
      <c r="F46" s="125">
        <f t="shared" si="4"/>
        <v>5301000</v>
      </c>
      <c r="G46" s="125">
        <f t="shared" si="4"/>
        <v>1826000</v>
      </c>
      <c r="H46" s="125">
        <f t="shared" si="4"/>
        <v>2462000</v>
      </c>
      <c r="I46" s="125">
        <f t="shared" si="4"/>
        <v>2680000</v>
      </c>
      <c r="J46" s="125">
        <f t="shared" si="4"/>
        <v>901000</v>
      </c>
      <c r="K46" s="125">
        <f t="shared" si="4"/>
        <v>946000</v>
      </c>
      <c r="L46" s="125">
        <f t="shared" si="4"/>
        <v>1718000</v>
      </c>
      <c r="M46" s="125">
        <f t="shared" si="4"/>
        <v>1586000</v>
      </c>
      <c r="N46" s="125">
        <f t="shared" si="4"/>
        <v>880000</v>
      </c>
      <c r="O46" s="125">
        <f t="shared" si="4"/>
        <v>2053000</v>
      </c>
      <c r="P46" s="125">
        <f t="shared" si="4"/>
        <v>774000</v>
      </c>
      <c r="Q46" s="125">
        <f t="shared" si="4"/>
        <v>3225000</v>
      </c>
      <c r="R46" s="125">
        <f t="shared" si="4"/>
        <v>1683000</v>
      </c>
      <c r="S46" s="125">
        <f t="shared" si="4"/>
        <v>800000</v>
      </c>
      <c r="T46" s="125">
        <f t="shared" si="4"/>
        <v>789000</v>
      </c>
      <c r="U46" s="125">
        <f t="shared" si="4"/>
        <v>1685000</v>
      </c>
      <c r="V46" s="125">
        <f t="shared" si="4"/>
        <v>3054000</v>
      </c>
      <c r="W46" s="125">
        <f t="shared" si="4"/>
        <v>2130000</v>
      </c>
      <c r="X46" s="125">
        <f t="shared" si="4"/>
        <v>1592000</v>
      </c>
      <c r="Y46" s="125">
        <f t="shared" si="4"/>
        <v>1354000</v>
      </c>
      <c r="Z46" s="125">
        <f t="shared" si="4"/>
        <v>777000</v>
      </c>
      <c r="AA46" s="125">
        <f t="shared" si="4"/>
        <v>1444000</v>
      </c>
      <c r="AB46" s="125">
        <f t="shared" si="4"/>
        <v>1379000</v>
      </c>
      <c r="AC46" s="125">
        <f t="shared" si="4"/>
        <v>1379000</v>
      </c>
      <c r="AD46" s="125">
        <f t="shared" si="4"/>
        <v>1265000</v>
      </c>
      <c r="AE46" s="125">
        <f t="shared" si="4"/>
        <v>853000</v>
      </c>
      <c r="AF46" s="125">
        <f t="shared" si="4"/>
        <v>952000</v>
      </c>
      <c r="AG46" s="125">
        <f t="shared" si="4"/>
        <v>1026000</v>
      </c>
      <c r="AH46" s="125">
        <f t="shared" si="4"/>
        <v>1344000</v>
      </c>
      <c r="AI46" s="125">
        <f t="shared" si="4"/>
        <v>889000</v>
      </c>
      <c r="AJ46" s="125">
        <f t="shared" ref="AJ46:BO46" si="5">SUM(AJ14:AJ45)</f>
        <v>798000</v>
      </c>
      <c r="AK46" s="125">
        <f t="shared" si="5"/>
        <v>2434000</v>
      </c>
      <c r="AL46" s="125">
        <f t="shared" si="5"/>
        <v>1421000</v>
      </c>
      <c r="AM46" s="125">
        <f t="shared" si="5"/>
        <v>830000</v>
      </c>
      <c r="AN46" s="125">
        <f t="shared" si="5"/>
        <v>836000</v>
      </c>
      <c r="AO46" s="125">
        <f t="shared" si="5"/>
        <v>1473000</v>
      </c>
      <c r="AP46" s="125">
        <f t="shared" si="5"/>
        <v>884000</v>
      </c>
      <c r="AQ46" s="125">
        <f t="shared" si="5"/>
        <v>1680000</v>
      </c>
      <c r="AR46" s="125">
        <f t="shared" si="5"/>
        <v>1558000</v>
      </c>
      <c r="AS46" s="125">
        <f t="shared" si="5"/>
        <v>1497000</v>
      </c>
      <c r="AT46" s="125">
        <f t="shared" si="5"/>
        <v>2638000</v>
      </c>
      <c r="AU46" s="125">
        <f t="shared" si="5"/>
        <v>993000</v>
      </c>
      <c r="AV46" s="125">
        <f t="shared" si="5"/>
        <v>817000</v>
      </c>
      <c r="AW46" s="125">
        <f t="shared" si="5"/>
        <v>715000</v>
      </c>
      <c r="AX46" s="125">
        <f t="shared" si="5"/>
        <v>736000</v>
      </c>
      <c r="AY46" s="125">
        <f t="shared" si="5"/>
        <v>877000</v>
      </c>
      <c r="AZ46" s="125">
        <f t="shared" si="5"/>
        <v>795000</v>
      </c>
      <c r="BA46" s="125">
        <f t="shared" si="5"/>
        <v>1547000</v>
      </c>
      <c r="BB46" s="125">
        <f t="shared" si="5"/>
        <v>723000</v>
      </c>
      <c r="BC46" s="125">
        <f t="shared" si="5"/>
        <v>875000</v>
      </c>
      <c r="BD46" s="125">
        <f t="shared" si="5"/>
        <v>1483000</v>
      </c>
      <c r="BE46" s="125">
        <f t="shared" si="5"/>
        <v>3798000</v>
      </c>
      <c r="BF46" s="125">
        <f t="shared" si="5"/>
        <v>785000</v>
      </c>
      <c r="BG46" s="125">
        <f t="shared" si="5"/>
        <v>1481000</v>
      </c>
      <c r="BH46" s="125">
        <f t="shared" si="5"/>
        <v>891000</v>
      </c>
      <c r="BI46" s="125">
        <f t="shared" si="5"/>
        <v>784000</v>
      </c>
      <c r="BJ46" s="125">
        <f t="shared" si="5"/>
        <v>1859000</v>
      </c>
      <c r="BK46" s="125">
        <f t="shared" si="5"/>
        <v>733000</v>
      </c>
      <c r="BL46" s="125">
        <f t="shared" si="5"/>
        <v>1242000</v>
      </c>
      <c r="BM46" s="125">
        <f t="shared" si="5"/>
        <v>1510000</v>
      </c>
      <c r="BN46" s="125">
        <f t="shared" si="5"/>
        <v>851000</v>
      </c>
      <c r="BO46" s="125">
        <f t="shared" si="5"/>
        <v>792000</v>
      </c>
      <c r="BP46" s="125">
        <f t="shared" ref="BP46:CU46" si="6">SUM(BP14:BP45)</f>
        <v>830000</v>
      </c>
      <c r="BQ46" s="125">
        <f t="shared" si="6"/>
        <v>1937000</v>
      </c>
      <c r="BR46" s="125">
        <f t="shared" si="6"/>
        <v>734000</v>
      </c>
      <c r="BS46" s="125">
        <f t="shared" si="6"/>
        <v>1125000</v>
      </c>
      <c r="BT46" s="125">
        <f t="shared" si="6"/>
        <v>847000</v>
      </c>
      <c r="BU46" s="125">
        <f t="shared" si="6"/>
        <v>1558000</v>
      </c>
      <c r="BV46" s="125">
        <f t="shared" si="6"/>
        <v>943000</v>
      </c>
      <c r="BW46" s="125">
        <f t="shared" si="6"/>
        <v>613000</v>
      </c>
      <c r="BX46" s="125">
        <f t="shared" si="6"/>
        <v>1484000</v>
      </c>
      <c r="BY46" s="125">
        <f t="shared" si="6"/>
        <v>1031000</v>
      </c>
      <c r="BZ46" s="125">
        <f t="shared" si="6"/>
        <v>888000</v>
      </c>
      <c r="CA46" s="125">
        <f t="shared" si="6"/>
        <v>2097000</v>
      </c>
      <c r="CB46" s="125">
        <f t="shared" si="6"/>
        <v>911000</v>
      </c>
      <c r="CC46" s="125">
        <f t="shared" si="6"/>
        <v>872000</v>
      </c>
      <c r="CD46" s="125">
        <f t="shared" si="6"/>
        <v>863000</v>
      </c>
      <c r="CE46" s="125">
        <f t="shared" si="6"/>
        <v>990000</v>
      </c>
      <c r="CF46" s="125">
        <f t="shared" si="6"/>
        <v>2026000</v>
      </c>
      <c r="CG46" s="125">
        <f t="shared" si="6"/>
        <v>931000</v>
      </c>
      <c r="CH46" s="125">
        <f t="shared" si="6"/>
        <v>851000</v>
      </c>
      <c r="CI46" s="125">
        <f t="shared" si="6"/>
        <v>751000</v>
      </c>
      <c r="CJ46" s="125">
        <f t="shared" si="6"/>
        <v>999000</v>
      </c>
      <c r="CK46" s="125">
        <f t="shared" si="6"/>
        <v>880000</v>
      </c>
      <c r="CL46" s="125">
        <f t="shared" si="6"/>
        <v>840000</v>
      </c>
      <c r="CM46" s="125">
        <f t="shared" si="6"/>
        <v>803000</v>
      </c>
      <c r="CN46" s="125">
        <f t="shared" si="6"/>
        <v>961000</v>
      </c>
      <c r="CO46" s="125">
        <f t="shared" si="6"/>
        <v>961000</v>
      </c>
      <c r="CP46" s="125">
        <f t="shared" si="6"/>
        <v>896000</v>
      </c>
      <c r="CQ46" s="125">
        <f t="shared" si="6"/>
        <v>781000</v>
      </c>
      <c r="CR46" s="125">
        <f t="shared" si="6"/>
        <v>1411000</v>
      </c>
      <c r="CS46" s="125">
        <f t="shared" si="6"/>
        <v>836000</v>
      </c>
      <c r="CT46" s="125">
        <f t="shared" si="6"/>
        <v>1718000</v>
      </c>
      <c r="CU46" s="125">
        <f t="shared" si="6"/>
        <v>1798000</v>
      </c>
      <c r="CV46" s="125">
        <f t="shared" ref="CV46:DA46" si="7">SUM(CV14:CV45)</f>
        <v>810000</v>
      </c>
      <c r="CW46" s="125">
        <f t="shared" si="7"/>
        <v>834000</v>
      </c>
      <c r="CX46" s="125">
        <f t="shared" si="7"/>
        <v>779000</v>
      </c>
      <c r="CY46" s="125">
        <f t="shared" si="7"/>
        <v>834000</v>
      </c>
      <c r="CZ46" s="125">
        <f t="shared" si="7"/>
        <v>2508000</v>
      </c>
      <c r="DA46" s="125">
        <f t="shared" si="7"/>
        <v>1525000</v>
      </c>
    </row>
    <row r="47" spans="1:105" s="142" customFormat="1" ht="16.5" customHeight="1">
      <c r="A47" s="261" t="s">
        <v>149</v>
      </c>
      <c r="B47" s="138" t="s">
        <v>150</v>
      </c>
      <c r="C47" s="139">
        <v>113</v>
      </c>
      <c r="D47" s="140">
        <f>SUM(E47:DA47)</f>
        <v>1920180000</v>
      </c>
      <c r="E47" s="141">
        <v>24165000</v>
      </c>
      <c r="F47" s="141">
        <v>114634000</v>
      </c>
      <c r="G47" s="141">
        <v>42148000</v>
      </c>
      <c r="H47" s="141">
        <v>33047000</v>
      </c>
      <c r="I47" s="141">
        <v>69630000</v>
      </c>
      <c r="J47" s="141">
        <v>13622000</v>
      </c>
      <c r="K47" s="141">
        <v>14776000</v>
      </c>
      <c r="L47" s="141">
        <v>31109000</v>
      </c>
      <c r="M47" s="141">
        <v>40190000</v>
      </c>
      <c r="N47" s="141">
        <v>14300000</v>
      </c>
      <c r="O47" s="141">
        <v>46863000</v>
      </c>
      <c r="P47" s="141">
        <v>13166000</v>
      </c>
      <c r="Q47" s="141">
        <v>28277000</v>
      </c>
      <c r="R47" s="141">
        <v>43087000</v>
      </c>
      <c r="S47" s="141">
        <v>13937000</v>
      </c>
      <c r="T47" s="141">
        <v>12436000</v>
      </c>
      <c r="U47" s="141">
        <v>29395000</v>
      </c>
      <c r="V47" s="141">
        <v>75860000</v>
      </c>
      <c r="W47" s="141">
        <v>59631000</v>
      </c>
      <c r="X47" s="141">
        <v>14308000</v>
      </c>
      <c r="Y47" s="141">
        <v>28488000</v>
      </c>
      <c r="Z47" s="141">
        <v>14141000</v>
      </c>
      <c r="AA47" s="141">
        <v>25793000</v>
      </c>
      <c r="AB47" s="141">
        <v>31559000</v>
      </c>
      <c r="AC47" s="141">
        <v>13046000</v>
      </c>
      <c r="AD47" s="141">
        <v>18697000</v>
      </c>
      <c r="AE47" s="141">
        <v>13676000</v>
      </c>
      <c r="AF47" s="141">
        <v>13322000</v>
      </c>
      <c r="AG47" s="141">
        <v>14986000</v>
      </c>
      <c r="AH47" s="141">
        <v>11386000</v>
      </c>
      <c r="AI47" s="141">
        <v>13388000</v>
      </c>
      <c r="AJ47" s="141">
        <v>11265000</v>
      </c>
      <c r="AK47" s="141">
        <v>24037000</v>
      </c>
      <c r="AL47" s="141">
        <v>11554000</v>
      </c>
      <c r="AM47" s="141">
        <v>10847000</v>
      </c>
      <c r="AN47" s="141">
        <v>12894000</v>
      </c>
      <c r="AO47" s="141">
        <v>13224000</v>
      </c>
      <c r="AP47" s="141">
        <v>14228000</v>
      </c>
      <c r="AQ47" s="141">
        <v>16380000</v>
      </c>
      <c r="AR47" s="141">
        <v>13239000</v>
      </c>
      <c r="AS47" s="141">
        <v>12974000</v>
      </c>
      <c r="AT47" s="141">
        <v>27396000</v>
      </c>
      <c r="AU47" s="141">
        <v>12219000</v>
      </c>
      <c r="AV47" s="141">
        <v>9731000</v>
      </c>
      <c r="AW47" s="141">
        <v>9904000</v>
      </c>
      <c r="AX47" s="141">
        <v>11837000</v>
      </c>
      <c r="AY47" s="141">
        <v>12152000</v>
      </c>
      <c r="AZ47" s="141">
        <v>11479000</v>
      </c>
      <c r="BA47" s="141">
        <v>14942000</v>
      </c>
      <c r="BB47" s="141">
        <v>8311000</v>
      </c>
      <c r="BC47" s="141">
        <v>11582000</v>
      </c>
      <c r="BD47" s="141">
        <v>10838000</v>
      </c>
      <c r="BE47" s="141">
        <v>42217000</v>
      </c>
      <c r="BF47" s="141">
        <v>12099000</v>
      </c>
      <c r="BG47" s="141">
        <v>13410000</v>
      </c>
      <c r="BH47" s="141">
        <v>10316000</v>
      </c>
      <c r="BI47" s="141">
        <v>9754000</v>
      </c>
      <c r="BJ47" s="141">
        <v>10619000</v>
      </c>
      <c r="BK47" s="141">
        <v>9096000</v>
      </c>
      <c r="BL47" s="141">
        <v>28478000</v>
      </c>
      <c r="BM47" s="141">
        <v>9403000</v>
      </c>
      <c r="BN47" s="141">
        <v>11787000</v>
      </c>
      <c r="BO47" s="141">
        <v>12733000</v>
      </c>
      <c r="BP47" s="141">
        <v>11383000</v>
      </c>
      <c r="BQ47" s="141">
        <v>14922000</v>
      </c>
      <c r="BR47" s="141">
        <v>9839000</v>
      </c>
      <c r="BS47" s="141">
        <v>9175000</v>
      </c>
      <c r="BT47" s="141">
        <v>10323000</v>
      </c>
      <c r="BU47" s="141">
        <v>11298000</v>
      </c>
      <c r="BV47" s="141">
        <v>11730000</v>
      </c>
      <c r="BW47" s="141">
        <v>10590000</v>
      </c>
      <c r="BX47" s="141">
        <v>10522000</v>
      </c>
      <c r="BY47" s="141">
        <v>17461000</v>
      </c>
      <c r="BZ47" s="141">
        <v>15281000</v>
      </c>
      <c r="CA47" s="141">
        <v>14919000</v>
      </c>
      <c r="CB47" s="141">
        <v>12718000</v>
      </c>
      <c r="CC47" s="141">
        <v>14899000</v>
      </c>
      <c r="CD47" s="141">
        <v>15368000</v>
      </c>
      <c r="CE47" s="141">
        <v>14096000</v>
      </c>
      <c r="CF47" s="141">
        <v>15472000</v>
      </c>
      <c r="CG47" s="141">
        <v>14805000</v>
      </c>
      <c r="CH47" s="141">
        <v>15500000</v>
      </c>
      <c r="CI47" s="141">
        <v>14214000</v>
      </c>
      <c r="CJ47" s="141">
        <v>17894000</v>
      </c>
      <c r="CK47" s="141">
        <v>14471000</v>
      </c>
      <c r="CL47" s="141">
        <v>14601000</v>
      </c>
      <c r="CM47" s="141">
        <v>13052000</v>
      </c>
      <c r="CN47" s="141">
        <v>14171000</v>
      </c>
      <c r="CO47" s="141">
        <v>15790000</v>
      </c>
      <c r="CP47" s="141">
        <v>15124000</v>
      </c>
      <c r="CQ47" s="141">
        <v>14054000</v>
      </c>
      <c r="CR47" s="141">
        <v>13791000</v>
      </c>
      <c r="CS47" s="141">
        <v>13540000</v>
      </c>
      <c r="CT47" s="141">
        <v>13268000</v>
      </c>
      <c r="CU47" s="141">
        <v>13197000</v>
      </c>
      <c r="CV47" s="141">
        <v>12538000</v>
      </c>
      <c r="CW47" s="141">
        <v>10800000</v>
      </c>
      <c r="CX47" s="141">
        <v>9986000</v>
      </c>
      <c r="CY47" s="141">
        <v>10059000</v>
      </c>
      <c r="CZ47" s="141">
        <v>43234000</v>
      </c>
      <c r="DA47" s="141">
        <v>12087000</v>
      </c>
    </row>
    <row r="48" spans="1:105" s="142" customFormat="1" ht="16.5" customHeight="1">
      <c r="A48" s="262"/>
      <c r="B48" s="138" t="s">
        <v>527</v>
      </c>
      <c r="C48" s="139">
        <v>114</v>
      </c>
      <c r="D48" s="140">
        <f>SUM(E48:DA48)</f>
        <v>19098000</v>
      </c>
      <c r="E48" s="141">
        <v>0</v>
      </c>
      <c r="F48" s="141">
        <v>812000</v>
      </c>
      <c r="G48" s="141">
        <v>405000</v>
      </c>
      <c r="H48" s="141">
        <v>0</v>
      </c>
      <c r="I48" s="141">
        <v>406000</v>
      </c>
      <c r="J48" s="141">
        <v>0</v>
      </c>
      <c r="K48" s="141">
        <v>406000</v>
      </c>
      <c r="L48" s="141">
        <v>406000</v>
      </c>
      <c r="M48" s="141">
        <v>0</v>
      </c>
      <c r="N48" s="141">
        <v>0</v>
      </c>
      <c r="O48" s="141">
        <v>812000</v>
      </c>
      <c r="P48" s="141">
        <v>406000</v>
      </c>
      <c r="Q48" s="141">
        <v>0</v>
      </c>
      <c r="R48" s="141">
        <v>0</v>
      </c>
      <c r="S48" s="141">
        <v>406000</v>
      </c>
      <c r="T48" s="141">
        <v>812000</v>
      </c>
      <c r="U48" s="141">
        <v>406000</v>
      </c>
      <c r="V48" s="141">
        <v>406000</v>
      </c>
      <c r="W48" s="141">
        <v>405000</v>
      </c>
      <c r="X48" s="141">
        <v>0</v>
      </c>
      <c r="Y48" s="141">
        <v>0</v>
      </c>
      <c r="Z48" s="141">
        <v>812000</v>
      </c>
      <c r="AA48" s="141">
        <v>0</v>
      </c>
      <c r="AB48" s="141">
        <v>406000</v>
      </c>
      <c r="AC48" s="141">
        <v>812000</v>
      </c>
      <c r="AD48" s="141">
        <v>0</v>
      </c>
      <c r="AE48" s="141">
        <v>0</v>
      </c>
      <c r="AF48" s="141">
        <v>0</v>
      </c>
      <c r="AG48" s="141">
        <v>0</v>
      </c>
      <c r="AH48" s="141">
        <v>406000</v>
      </c>
      <c r="AI48" s="141">
        <v>0</v>
      </c>
      <c r="AJ48" s="141">
        <v>0</v>
      </c>
      <c r="AK48" s="141">
        <v>0</v>
      </c>
      <c r="AL48" s="141">
        <v>406000</v>
      </c>
      <c r="AM48" s="141">
        <v>0</v>
      </c>
      <c r="AN48" s="141">
        <v>0</v>
      </c>
      <c r="AO48" s="141">
        <v>0</v>
      </c>
      <c r="AP48" s="141">
        <v>812000</v>
      </c>
      <c r="AQ48" s="141">
        <v>406000</v>
      </c>
      <c r="AR48" s="141">
        <v>406000</v>
      </c>
      <c r="AS48" s="141">
        <v>406000</v>
      </c>
      <c r="AT48" s="141">
        <v>0</v>
      </c>
      <c r="AU48" s="141">
        <v>0</v>
      </c>
      <c r="AV48" s="141">
        <v>0</v>
      </c>
      <c r="AW48" s="141">
        <v>0</v>
      </c>
      <c r="AX48" s="141">
        <v>480000</v>
      </c>
      <c r="AY48" s="141">
        <v>0</v>
      </c>
      <c r="AZ48" s="141">
        <v>406000</v>
      </c>
      <c r="BA48" s="141">
        <v>0</v>
      </c>
      <c r="BB48" s="141">
        <v>0</v>
      </c>
      <c r="BC48" s="141">
        <v>0</v>
      </c>
      <c r="BD48" s="141">
        <v>0</v>
      </c>
      <c r="BE48" s="141">
        <v>406000</v>
      </c>
      <c r="BF48" s="141">
        <v>406000</v>
      </c>
      <c r="BG48" s="141">
        <v>0</v>
      </c>
      <c r="BH48" s="141">
        <v>0</v>
      </c>
      <c r="BI48" s="141">
        <v>0</v>
      </c>
      <c r="BJ48" s="141">
        <v>0</v>
      </c>
      <c r="BK48" s="141">
        <v>406000</v>
      </c>
      <c r="BL48" s="141">
        <v>406000</v>
      </c>
      <c r="BM48" s="141">
        <v>0</v>
      </c>
      <c r="BN48" s="141">
        <v>0</v>
      </c>
      <c r="BO48" s="141">
        <v>406000</v>
      </c>
      <c r="BP48" s="141">
        <v>0</v>
      </c>
      <c r="BQ48" s="141">
        <v>0</v>
      </c>
      <c r="BR48" s="141">
        <v>406000</v>
      </c>
      <c r="BS48" s="141">
        <v>0</v>
      </c>
      <c r="BT48" s="141">
        <v>0</v>
      </c>
      <c r="BU48" s="141">
        <v>0</v>
      </c>
      <c r="BV48" s="141">
        <v>0</v>
      </c>
      <c r="BW48" s="141">
        <v>406000</v>
      </c>
      <c r="BX48" s="141">
        <v>0</v>
      </c>
      <c r="BY48" s="141">
        <v>0</v>
      </c>
      <c r="BZ48" s="141">
        <v>0</v>
      </c>
      <c r="CA48" s="141">
        <v>456000</v>
      </c>
      <c r="CB48" s="141">
        <v>0</v>
      </c>
      <c r="CC48" s="141">
        <v>0</v>
      </c>
      <c r="CD48" s="141">
        <v>0</v>
      </c>
      <c r="CE48" s="141">
        <v>456000</v>
      </c>
      <c r="CF48" s="141">
        <v>0</v>
      </c>
      <c r="CG48" s="141">
        <v>0</v>
      </c>
      <c r="CH48" s="141">
        <v>0</v>
      </c>
      <c r="CI48" s="141">
        <v>456000</v>
      </c>
      <c r="CJ48" s="141">
        <v>456000</v>
      </c>
      <c r="CK48" s="141">
        <v>0</v>
      </c>
      <c r="CL48" s="141">
        <v>0</v>
      </c>
      <c r="CM48" s="141">
        <v>0</v>
      </c>
      <c r="CN48" s="141">
        <v>0</v>
      </c>
      <c r="CO48" s="141">
        <v>0</v>
      </c>
      <c r="CP48" s="141">
        <v>0</v>
      </c>
      <c r="CQ48" s="141">
        <v>456000</v>
      </c>
      <c r="CR48" s="141">
        <v>456000</v>
      </c>
      <c r="CS48" s="141">
        <v>0</v>
      </c>
      <c r="CT48" s="141">
        <v>406000</v>
      </c>
      <c r="CU48" s="141">
        <v>0</v>
      </c>
      <c r="CV48" s="141">
        <v>456000</v>
      </c>
      <c r="CW48" s="141">
        <v>0</v>
      </c>
      <c r="CX48" s="141">
        <v>406000</v>
      </c>
      <c r="CY48" s="141">
        <v>0</v>
      </c>
      <c r="CZ48" s="141">
        <v>406000</v>
      </c>
      <c r="DA48" s="141">
        <v>0</v>
      </c>
    </row>
    <row r="49" spans="1:105" s="142" customFormat="1">
      <c r="A49" s="262"/>
      <c r="B49" s="138" t="s">
        <v>151</v>
      </c>
      <c r="C49" s="139">
        <v>114</v>
      </c>
      <c r="D49" s="140">
        <f t="shared" si="2"/>
        <v>128533000</v>
      </c>
      <c r="E49" s="141">
        <v>3181000</v>
      </c>
      <c r="F49" s="141">
        <v>5397000</v>
      </c>
      <c r="G49" s="141">
        <v>4403000</v>
      </c>
      <c r="H49" s="141">
        <v>3181000</v>
      </c>
      <c r="I49" s="141">
        <v>1349000</v>
      </c>
      <c r="J49" s="141">
        <v>1412000</v>
      </c>
      <c r="K49" s="141">
        <v>1349000</v>
      </c>
      <c r="L49" s="141">
        <v>2635000</v>
      </c>
      <c r="M49" s="141">
        <v>2024000</v>
      </c>
      <c r="N49" s="141">
        <v>1412000</v>
      </c>
      <c r="O49" s="141">
        <v>2088000</v>
      </c>
      <c r="P49" s="141">
        <v>1349000</v>
      </c>
      <c r="Q49" s="141">
        <v>1960000</v>
      </c>
      <c r="R49" s="141">
        <v>2571000</v>
      </c>
      <c r="S49" s="141">
        <v>1349000</v>
      </c>
      <c r="T49" s="141">
        <v>0</v>
      </c>
      <c r="U49" s="141">
        <v>2571000</v>
      </c>
      <c r="V49" s="141">
        <v>2024000</v>
      </c>
      <c r="W49" s="141">
        <v>2698000</v>
      </c>
      <c r="X49" s="141">
        <v>2570000</v>
      </c>
      <c r="Y49" s="141">
        <v>1960000</v>
      </c>
      <c r="Z49" s="141">
        <v>738000</v>
      </c>
      <c r="AA49" s="141">
        <v>3245000</v>
      </c>
      <c r="AB49" s="141">
        <v>1960000</v>
      </c>
      <c r="AC49" s="141">
        <v>0</v>
      </c>
      <c r="AD49" s="141">
        <v>738000</v>
      </c>
      <c r="AE49" s="141">
        <v>0</v>
      </c>
      <c r="AF49" s="141">
        <v>1960000</v>
      </c>
      <c r="AG49" s="141">
        <v>1349000</v>
      </c>
      <c r="AH49" s="141">
        <v>0</v>
      </c>
      <c r="AI49" s="141">
        <v>738000</v>
      </c>
      <c r="AJ49" s="141">
        <v>0</v>
      </c>
      <c r="AK49" s="141">
        <v>1960000</v>
      </c>
      <c r="AL49" s="141">
        <v>1349000</v>
      </c>
      <c r="AM49" s="141">
        <v>1349000</v>
      </c>
      <c r="AN49" s="141">
        <v>738000</v>
      </c>
      <c r="AO49" s="141">
        <v>1349000</v>
      </c>
      <c r="AP49" s="141">
        <v>1349000</v>
      </c>
      <c r="AQ49" s="141">
        <v>1413000</v>
      </c>
      <c r="AR49" s="141">
        <v>1349000</v>
      </c>
      <c r="AS49" s="141">
        <v>1960000</v>
      </c>
      <c r="AT49" s="141">
        <v>1413000</v>
      </c>
      <c r="AU49" s="141">
        <v>1349000</v>
      </c>
      <c r="AV49" s="141">
        <v>0</v>
      </c>
      <c r="AW49" s="141">
        <v>0</v>
      </c>
      <c r="AX49" s="141">
        <v>738000</v>
      </c>
      <c r="AY49" s="141">
        <v>1412000</v>
      </c>
      <c r="AZ49" s="141">
        <v>1349000</v>
      </c>
      <c r="BA49" s="141">
        <v>1412000</v>
      </c>
      <c r="BB49" s="141">
        <v>0</v>
      </c>
      <c r="BC49" s="141">
        <v>738000</v>
      </c>
      <c r="BD49" s="141">
        <v>738000</v>
      </c>
      <c r="BE49" s="141">
        <v>1349000</v>
      </c>
      <c r="BF49" s="141">
        <v>1349000</v>
      </c>
      <c r="BG49" s="141">
        <v>738000</v>
      </c>
      <c r="BH49" s="141">
        <v>0</v>
      </c>
      <c r="BI49" s="141">
        <v>1349000</v>
      </c>
      <c r="BJ49" s="141">
        <v>1413000</v>
      </c>
      <c r="BK49" s="141">
        <v>0</v>
      </c>
      <c r="BL49" s="141">
        <v>3309000</v>
      </c>
      <c r="BM49" s="141">
        <v>1349000</v>
      </c>
      <c r="BN49" s="141">
        <v>1349000</v>
      </c>
      <c r="BO49" s="141">
        <v>1413000</v>
      </c>
      <c r="BP49" s="141">
        <v>1349000</v>
      </c>
      <c r="BQ49" s="141">
        <v>1412000</v>
      </c>
      <c r="BR49" s="141">
        <v>0</v>
      </c>
      <c r="BS49" s="141">
        <v>738000</v>
      </c>
      <c r="BT49" s="141">
        <v>738000</v>
      </c>
      <c r="BU49" s="141">
        <v>1413000</v>
      </c>
      <c r="BV49" s="141">
        <v>1349000</v>
      </c>
      <c r="BW49" s="141">
        <v>738000</v>
      </c>
      <c r="BX49" s="141">
        <v>0</v>
      </c>
      <c r="BY49" s="141">
        <v>1349000</v>
      </c>
      <c r="BZ49" s="141">
        <v>1349000</v>
      </c>
      <c r="CA49" s="141">
        <v>1412000</v>
      </c>
      <c r="CB49" s="141">
        <v>0</v>
      </c>
      <c r="CC49" s="141">
        <v>1349000</v>
      </c>
      <c r="CD49" s="141">
        <v>1349000</v>
      </c>
      <c r="CE49" s="141">
        <v>1349000</v>
      </c>
      <c r="CF49" s="141">
        <v>738000</v>
      </c>
      <c r="CG49" s="141">
        <v>0</v>
      </c>
      <c r="CH49" s="141">
        <v>738000</v>
      </c>
      <c r="CI49" s="141">
        <v>0</v>
      </c>
      <c r="CJ49" s="141">
        <v>0</v>
      </c>
      <c r="CK49" s="141">
        <v>1349000</v>
      </c>
      <c r="CL49" s="141">
        <v>1349000</v>
      </c>
      <c r="CM49" s="141">
        <v>0</v>
      </c>
      <c r="CN49" s="141">
        <v>1412000</v>
      </c>
      <c r="CO49" s="141">
        <v>1412000</v>
      </c>
      <c r="CP49" s="141">
        <v>1412000</v>
      </c>
      <c r="CQ49" s="141">
        <v>1349000</v>
      </c>
      <c r="CR49" s="141">
        <v>738000</v>
      </c>
      <c r="CS49" s="141">
        <v>738000</v>
      </c>
      <c r="CT49" s="141">
        <v>1412000</v>
      </c>
      <c r="CU49" s="141">
        <v>1349000</v>
      </c>
      <c r="CV49" s="141">
        <v>738000</v>
      </c>
      <c r="CW49" s="141">
        <v>1349000</v>
      </c>
      <c r="CX49" s="141">
        <v>0</v>
      </c>
      <c r="CY49" s="141">
        <v>0</v>
      </c>
      <c r="CZ49" s="141">
        <v>2762000</v>
      </c>
      <c r="DA49" s="141">
        <v>0</v>
      </c>
    </row>
    <row r="50" spans="1:105" s="142" customFormat="1" ht="32.4">
      <c r="A50" s="262"/>
      <c r="B50" s="138" t="s">
        <v>152</v>
      </c>
      <c r="C50" s="139">
        <v>114</v>
      </c>
      <c r="D50" s="140">
        <f t="shared" si="2"/>
        <v>25594000</v>
      </c>
      <c r="E50" s="141">
        <v>797000</v>
      </c>
      <c r="F50" s="141">
        <v>1196000</v>
      </c>
      <c r="G50" s="141">
        <v>664000</v>
      </c>
      <c r="H50" s="141">
        <v>398000</v>
      </c>
      <c r="I50" s="141">
        <v>265000</v>
      </c>
      <c r="J50" s="141">
        <v>265000</v>
      </c>
      <c r="K50" s="141">
        <v>265000</v>
      </c>
      <c r="L50" s="141">
        <v>399000</v>
      </c>
      <c r="M50" s="141">
        <v>398000</v>
      </c>
      <c r="N50" s="141">
        <v>265000</v>
      </c>
      <c r="O50" s="141">
        <v>399000</v>
      </c>
      <c r="P50" s="141">
        <v>265000</v>
      </c>
      <c r="Q50" s="141">
        <v>265000</v>
      </c>
      <c r="R50" s="141">
        <v>398000</v>
      </c>
      <c r="S50" s="141">
        <v>265000</v>
      </c>
      <c r="T50" s="141">
        <v>0</v>
      </c>
      <c r="U50" s="141">
        <v>399000</v>
      </c>
      <c r="V50" s="141">
        <v>265000</v>
      </c>
      <c r="W50" s="141">
        <v>398000</v>
      </c>
      <c r="X50" s="141">
        <v>398000</v>
      </c>
      <c r="Y50" s="141">
        <v>398000</v>
      </c>
      <c r="Z50" s="141">
        <v>265000</v>
      </c>
      <c r="AA50" s="141">
        <v>398000</v>
      </c>
      <c r="AB50" s="141">
        <v>399000</v>
      </c>
      <c r="AC50" s="141">
        <v>0</v>
      </c>
      <c r="AD50" s="141">
        <v>265000</v>
      </c>
      <c r="AE50" s="141">
        <v>0</v>
      </c>
      <c r="AF50" s="141">
        <v>265000</v>
      </c>
      <c r="AG50" s="141">
        <v>265000</v>
      </c>
      <c r="AH50" s="141">
        <v>0</v>
      </c>
      <c r="AI50" s="141">
        <v>265000</v>
      </c>
      <c r="AJ50" s="141">
        <v>0</v>
      </c>
      <c r="AK50" s="141">
        <v>398000</v>
      </c>
      <c r="AL50" s="141">
        <v>265000</v>
      </c>
      <c r="AM50" s="141">
        <v>265000</v>
      </c>
      <c r="AN50" s="141">
        <v>265000</v>
      </c>
      <c r="AO50" s="141">
        <v>265000</v>
      </c>
      <c r="AP50" s="141">
        <v>265000</v>
      </c>
      <c r="AQ50" s="141">
        <v>265000</v>
      </c>
      <c r="AR50" s="141">
        <v>265000</v>
      </c>
      <c r="AS50" s="141">
        <v>265000</v>
      </c>
      <c r="AT50" s="141">
        <v>265000</v>
      </c>
      <c r="AU50" s="141">
        <v>265000</v>
      </c>
      <c r="AV50" s="141">
        <v>0</v>
      </c>
      <c r="AW50" s="141">
        <v>0</v>
      </c>
      <c r="AX50" s="141">
        <v>265000</v>
      </c>
      <c r="AY50" s="141">
        <v>265000</v>
      </c>
      <c r="AZ50" s="141">
        <v>265000</v>
      </c>
      <c r="BA50" s="141">
        <v>265000</v>
      </c>
      <c r="BB50" s="141">
        <v>0</v>
      </c>
      <c r="BC50" s="141">
        <v>265000</v>
      </c>
      <c r="BD50" s="141">
        <v>265000</v>
      </c>
      <c r="BE50" s="141">
        <v>399000</v>
      </c>
      <c r="BF50" s="141">
        <v>265000</v>
      </c>
      <c r="BG50" s="141">
        <v>265000</v>
      </c>
      <c r="BH50" s="141">
        <v>0</v>
      </c>
      <c r="BI50" s="141">
        <v>265000</v>
      </c>
      <c r="BJ50" s="141">
        <v>265000</v>
      </c>
      <c r="BK50" s="141">
        <v>0</v>
      </c>
      <c r="BL50" s="141">
        <v>399000</v>
      </c>
      <c r="BM50" s="141">
        <v>265000</v>
      </c>
      <c r="BN50" s="141">
        <v>265000</v>
      </c>
      <c r="BO50" s="141">
        <v>265000</v>
      </c>
      <c r="BP50" s="141">
        <v>265000</v>
      </c>
      <c r="BQ50" s="141">
        <v>265000</v>
      </c>
      <c r="BR50" s="141">
        <v>0</v>
      </c>
      <c r="BS50" s="141">
        <v>265000</v>
      </c>
      <c r="BT50" s="141">
        <v>265000</v>
      </c>
      <c r="BU50" s="141">
        <v>265000</v>
      </c>
      <c r="BV50" s="141">
        <v>265000</v>
      </c>
      <c r="BW50" s="141">
        <v>265000</v>
      </c>
      <c r="BX50" s="141">
        <v>0</v>
      </c>
      <c r="BY50" s="141">
        <v>265000</v>
      </c>
      <c r="BZ50" s="141">
        <v>265000</v>
      </c>
      <c r="CA50" s="141">
        <v>265000</v>
      </c>
      <c r="CB50" s="141">
        <v>0</v>
      </c>
      <c r="CC50" s="141">
        <v>265000</v>
      </c>
      <c r="CD50" s="141">
        <v>265000</v>
      </c>
      <c r="CE50" s="141">
        <v>265000</v>
      </c>
      <c r="CF50" s="141">
        <v>265000</v>
      </c>
      <c r="CG50" s="141">
        <v>0</v>
      </c>
      <c r="CH50" s="141">
        <v>265000</v>
      </c>
      <c r="CI50" s="141">
        <v>0</v>
      </c>
      <c r="CJ50" s="141">
        <v>0</v>
      </c>
      <c r="CK50" s="141">
        <v>265000</v>
      </c>
      <c r="CL50" s="141">
        <v>265000</v>
      </c>
      <c r="CM50" s="141">
        <v>0</v>
      </c>
      <c r="CN50" s="141">
        <v>265000</v>
      </c>
      <c r="CO50" s="141">
        <v>265000</v>
      </c>
      <c r="CP50" s="141">
        <v>265000</v>
      </c>
      <c r="CQ50" s="141">
        <v>265000</v>
      </c>
      <c r="CR50" s="141">
        <v>265000</v>
      </c>
      <c r="CS50" s="141">
        <v>265000</v>
      </c>
      <c r="CT50" s="141">
        <v>265000</v>
      </c>
      <c r="CU50" s="141">
        <v>265000</v>
      </c>
      <c r="CV50" s="141">
        <v>265000</v>
      </c>
      <c r="CW50" s="141">
        <v>265000</v>
      </c>
      <c r="CX50" s="141">
        <v>0</v>
      </c>
      <c r="CY50" s="141">
        <v>0</v>
      </c>
      <c r="CZ50" s="141">
        <v>664000</v>
      </c>
      <c r="DA50" s="141">
        <v>0</v>
      </c>
    </row>
    <row r="51" spans="1:105" s="142" customFormat="1">
      <c r="A51" s="262"/>
      <c r="B51" s="138" t="s">
        <v>153</v>
      </c>
      <c r="C51" s="139">
        <v>114</v>
      </c>
      <c r="D51" s="140">
        <f t="shared" si="2"/>
        <v>742000</v>
      </c>
      <c r="E51" s="141">
        <v>0</v>
      </c>
      <c r="F51" s="141">
        <v>742000</v>
      </c>
      <c r="G51" s="141">
        <v>0</v>
      </c>
      <c r="H51" s="141">
        <v>0</v>
      </c>
      <c r="I51" s="141">
        <v>0</v>
      </c>
      <c r="J51" s="141">
        <v>0</v>
      </c>
      <c r="K51" s="141">
        <v>0</v>
      </c>
      <c r="L51" s="141">
        <v>0</v>
      </c>
      <c r="M51" s="141">
        <v>0</v>
      </c>
      <c r="N51" s="141">
        <v>0</v>
      </c>
      <c r="O51" s="141">
        <v>0</v>
      </c>
      <c r="P51" s="141">
        <v>0</v>
      </c>
      <c r="Q51" s="141">
        <v>0</v>
      </c>
      <c r="R51" s="141">
        <v>0</v>
      </c>
      <c r="S51" s="141">
        <v>0</v>
      </c>
      <c r="T51" s="141">
        <v>0</v>
      </c>
      <c r="U51" s="141">
        <v>0</v>
      </c>
      <c r="V51" s="141">
        <v>0</v>
      </c>
      <c r="W51" s="141">
        <v>0</v>
      </c>
      <c r="X51" s="141">
        <v>0</v>
      </c>
      <c r="Y51" s="141">
        <v>0</v>
      </c>
      <c r="Z51" s="141">
        <v>0</v>
      </c>
      <c r="AA51" s="141">
        <v>0</v>
      </c>
      <c r="AB51" s="141">
        <v>0</v>
      </c>
      <c r="AC51" s="141">
        <v>0</v>
      </c>
      <c r="AD51" s="141">
        <v>0</v>
      </c>
      <c r="AE51" s="141">
        <v>0</v>
      </c>
      <c r="AF51" s="141">
        <v>0</v>
      </c>
      <c r="AG51" s="141">
        <v>0</v>
      </c>
      <c r="AH51" s="141">
        <v>0</v>
      </c>
      <c r="AI51" s="141">
        <v>0</v>
      </c>
      <c r="AJ51" s="141">
        <v>0</v>
      </c>
      <c r="AK51" s="141">
        <v>0</v>
      </c>
      <c r="AL51" s="141">
        <v>0</v>
      </c>
      <c r="AM51" s="141">
        <v>0</v>
      </c>
      <c r="AN51" s="141">
        <v>0</v>
      </c>
      <c r="AO51" s="141">
        <v>0</v>
      </c>
      <c r="AP51" s="141">
        <v>0</v>
      </c>
      <c r="AQ51" s="141">
        <v>0</v>
      </c>
      <c r="AR51" s="141">
        <v>0</v>
      </c>
      <c r="AS51" s="141">
        <v>0</v>
      </c>
      <c r="AT51" s="141">
        <v>0</v>
      </c>
      <c r="AU51" s="141">
        <v>0</v>
      </c>
      <c r="AV51" s="141">
        <v>0</v>
      </c>
      <c r="AW51" s="141">
        <v>0</v>
      </c>
      <c r="AX51" s="141">
        <v>0</v>
      </c>
      <c r="AY51" s="141">
        <v>0</v>
      </c>
      <c r="AZ51" s="141">
        <v>0</v>
      </c>
      <c r="BA51" s="141">
        <v>0</v>
      </c>
      <c r="BB51" s="141">
        <v>0</v>
      </c>
      <c r="BC51" s="141">
        <v>0</v>
      </c>
      <c r="BD51" s="141">
        <v>0</v>
      </c>
      <c r="BE51" s="141">
        <v>0</v>
      </c>
      <c r="BF51" s="141">
        <v>0</v>
      </c>
      <c r="BG51" s="141">
        <v>0</v>
      </c>
      <c r="BH51" s="141">
        <v>0</v>
      </c>
      <c r="BI51" s="141">
        <v>0</v>
      </c>
      <c r="BJ51" s="141">
        <v>0</v>
      </c>
      <c r="BK51" s="141">
        <v>0</v>
      </c>
      <c r="BL51" s="141">
        <v>0</v>
      </c>
      <c r="BM51" s="141">
        <v>0</v>
      </c>
      <c r="BN51" s="141">
        <v>0</v>
      </c>
      <c r="BO51" s="141">
        <v>0</v>
      </c>
      <c r="BP51" s="141">
        <v>0</v>
      </c>
      <c r="BQ51" s="141">
        <v>0</v>
      </c>
      <c r="BR51" s="141">
        <v>0</v>
      </c>
      <c r="BS51" s="141">
        <v>0</v>
      </c>
      <c r="BT51" s="141">
        <v>0</v>
      </c>
      <c r="BU51" s="141">
        <v>0</v>
      </c>
      <c r="BV51" s="141">
        <v>0</v>
      </c>
      <c r="BW51" s="141">
        <v>0</v>
      </c>
      <c r="BX51" s="141">
        <v>0</v>
      </c>
      <c r="BY51" s="141">
        <v>0</v>
      </c>
      <c r="BZ51" s="141">
        <v>0</v>
      </c>
      <c r="CA51" s="141">
        <v>0</v>
      </c>
      <c r="CB51" s="141">
        <v>0</v>
      </c>
      <c r="CC51" s="141">
        <v>0</v>
      </c>
      <c r="CD51" s="141">
        <v>0</v>
      </c>
      <c r="CE51" s="141">
        <v>0</v>
      </c>
      <c r="CF51" s="141">
        <v>0</v>
      </c>
      <c r="CG51" s="141">
        <v>0</v>
      </c>
      <c r="CH51" s="141">
        <v>0</v>
      </c>
      <c r="CI51" s="141">
        <v>0</v>
      </c>
      <c r="CJ51" s="141">
        <v>0</v>
      </c>
      <c r="CK51" s="141">
        <v>0</v>
      </c>
      <c r="CL51" s="141">
        <v>0</v>
      </c>
      <c r="CM51" s="141">
        <v>0</v>
      </c>
      <c r="CN51" s="141">
        <v>0</v>
      </c>
      <c r="CO51" s="141">
        <v>0</v>
      </c>
      <c r="CP51" s="141">
        <v>0</v>
      </c>
      <c r="CQ51" s="141">
        <v>0</v>
      </c>
      <c r="CR51" s="141">
        <v>0</v>
      </c>
      <c r="CS51" s="141">
        <v>0</v>
      </c>
      <c r="CT51" s="141">
        <v>0</v>
      </c>
      <c r="CU51" s="141">
        <v>0</v>
      </c>
      <c r="CV51" s="141">
        <v>0</v>
      </c>
      <c r="CW51" s="141">
        <v>0</v>
      </c>
      <c r="CX51" s="141">
        <v>0</v>
      </c>
      <c r="CY51" s="141">
        <v>0</v>
      </c>
      <c r="CZ51" s="141">
        <v>0</v>
      </c>
      <c r="DA51" s="141">
        <v>0</v>
      </c>
    </row>
    <row r="52" spans="1:105" s="142" customFormat="1" ht="32.4">
      <c r="A52" s="262"/>
      <c r="B52" s="138" t="s">
        <v>154</v>
      </c>
      <c r="C52" s="139">
        <v>124</v>
      </c>
      <c r="D52" s="140">
        <f t="shared" si="2"/>
        <v>5260000</v>
      </c>
      <c r="E52" s="141">
        <v>76000</v>
      </c>
      <c r="F52" s="141">
        <v>416000</v>
      </c>
      <c r="G52" s="141">
        <v>166000</v>
      </c>
      <c r="H52" s="141">
        <v>89000</v>
      </c>
      <c r="I52" s="141">
        <v>262000</v>
      </c>
      <c r="J52" s="141">
        <v>31000</v>
      </c>
      <c r="K52" s="141">
        <v>31000</v>
      </c>
      <c r="L52" s="141">
        <v>76000</v>
      </c>
      <c r="M52" s="141">
        <v>98000</v>
      </c>
      <c r="N52" s="141">
        <v>31000</v>
      </c>
      <c r="O52" s="141">
        <v>121000</v>
      </c>
      <c r="P52" s="141">
        <v>31000</v>
      </c>
      <c r="Q52" s="141">
        <v>85000</v>
      </c>
      <c r="R52" s="141">
        <v>108000</v>
      </c>
      <c r="S52" s="141">
        <v>31000</v>
      </c>
      <c r="T52" s="141">
        <v>27000</v>
      </c>
      <c r="U52" s="141">
        <v>94000</v>
      </c>
      <c r="V52" s="141">
        <v>294000</v>
      </c>
      <c r="W52" s="141">
        <v>231000</v>
      </c>
      <c r="X52" s="141">
        <v>35000</v>
      </c>
      <c r="Y52" s="141">
        <v>72000</v>
      </c>
      <c r="Z52" s="141">
        <v>31000</v>
      </c>
      <c r="AA52" s="141">
        <v>72000</v>
      </c>
      <c r="AB52" s="141">
        <v>76000</v>
      </c>
      <c r="AC52" s="141">
        <v>26000</v>
      </c>
      <c r="AD52" s="141">
        <v>49000</v>
      </c>
      <c r="AE52" s="141">
        <v>26000</v>
      </c>
      <c r="AF52" s="141">
        <v>40000</v>
      </c>
      <c r="AG52" s="141">
        <v>40000</v>
      </c>
      <c r="AH52" s="141">
        <v>26000</v>
      </c>
      <c r="AI52" s="141">
        <v>31000</v>
      </c>
      <c r="AJ52" s="141">
        <v>22000</v>
      </c>
      <c r="AK52" s="141">
        <v>67000</v>
      </c>
      <c r="AL52" s="141">
        <v>31000</v>
      </c>
      <c r="AM52" s="141">
        <v>31000</v>
      </c>
      <c r="AN52" s="141">
        <v>31000</v>
      </c>
      <c r="AO52" s="141">
        <v>31000</v>
      </c>
      <c r="AP52" s="141">
        <v>35000</v>
      </c>
      <c r="AQ52" s="141">
        <v>45000</v>
      </c>
      <c r="AR52" s="141">
        <v>31000</v>
      </c>
      <c r="AS52" s="141">
        <v>36000</v>
      </c>
      <c r="AT52" s="141">
        <v>76000</v>
      </c>
      <c r="AU52" s="141">
        <v>32000</v>
      </c>
      <c r="AV52" s="141">
        <v>26000</v>
      </c>
      <c r="AW52" s="141">
        <v>22000</v>
      </c>
      <c r="AX52" s="141">
        <v>26000</v>
      </c>
      <c r="AY52" s="141">
        <v>31000</v>
      </c>
      <c r="AZ52" s="141">
        <v>31000</v>
      </c>
      <c r="BA52" s="141">
        <v>35000</v>
      </c>
      <c r="BB52" s="141">
        <v>17000</v>
      </c>
      <c r="BC52" s="141">
        <v>31000</v>
      </c>
      <c r="BD52" s="141">
        <v>31000</v>
      </c>
      <c r="BE52" s="141">
        <v>108000</v>
      </c>
      <c r="BF52" s="141">
        <v>31000</v>
      </c>
      <c r="BG52" s="141">
        <v>31000</v>
      </c>
      <c r="BH52" s="141">
        <v>26000</v>
      </c>
      <c r="BI52" s="141">
        <v>31000</v>
      </c>
      <c r="BJ52" s="141">
        <v>31000</v>
      </c>
      <c r="BK52" s="141">
        <v>26000</v>
      </c>
      <c r="BL52" s="141">
        <v>72000</v>
      </c>
      <c r="BM52" s="141">
        <v>31000</v>
      </c>
      <c r="BN52" s="141">
        <v>31000</v>
      </c>
      <c r="BO52" s="141">
        <v>31000</v>
      </c>
      <c r="BP52" s="141">
        <v>31000</v>
      </c>
      <c r="BQ52" s="141">
        <v>44000</v>
      </c>
      <c r="BR52" s="141">
        <v>26000</v>
      </c>
      <c r="BS52" s="141">
        <v>31000</v>
      </c>
      <c r="BT52" s="141">
        <v>31000</v>
      </c>
      <c r="BU52" s="141">
        <v>36000</v>
      </c>
      <c r="BV52" s="141">
        <v>35000</v>
      </c>
      <c r="BW52" s="141">
        <v>31000</v>
      </c>
      <c r="BX52" s="141">
        <v>26000</v>
      </c>
      <c r="BY52" s="141">
        <v>40000</v>
      </c>
      <c r="BZ52" s="141">
        <v>31000</v>
      </c>
      <c r="CA52" s="141">
        <v>35000</v>
      </c>
      <c r="CB52" s="141">
        <v>26000</v>
      </c>
      <c r="CC52" s="141">
        <v>31000</v>
      </c>
      <c r="CD52" s="141">
        <v>31000</v>
      </c>
      <c r="CE52" s="141">
        <v>31000</v>
      </c>
      <c r="CF52" s="141">
        <v>31000</v>
      </c>
      <c r="CG52" s="141">
        <v>31000</v>
      </c>
      <c r="CH52" s="141">
        <v>31000</v>
      </c>
      <c r="CI52" s="141">
        <v>26000</v>
      </c>
      <c r="CJ52" s="141">
        <v>44000</v>
      </c>
      <c r="CK52" s="141">
        <v>31000</v>
      </c>
      <c r="CL52" s="141">
        <v>31000</v>
      </c>
      <c r="CM52" s="141">
        <v>26000</v>
      </c>
      <c r="CN52" s="141">
        <v>35000</v>
      </c>
      <c r="CO52" s="141">
        <v>31000</v>
      </c>
      <c r="CP52" s="141">
        <v>31000</v>
      </c>
      <c r="CQ52" s="141">
        <v>31000</v>
      </c>
      <c r="CR52" s="141">
        <v>31000</v>
      </c>
      <c r="CS52" s="141">
        <v>31000</v>
      </c>
      <c r="CT52" s="141">
        <v>31000</v>
      </c>
      <c r="CU52" s="141">
        <v>31000</v>
      </c>
      <c r="CV52" s="141">
        <v>31000</v>
      </c>
      <c r="CW52" s="141">
        <v>31000</v>
      </c>
      <c r="CX52" s="141">
        <v>26000</v>
      </c>
      <c r="CY52" s="141">
        <v>26000</v>
      </c>
      <c r="CZ52" s="141">
        <v>112000</v>
      </c>
      <c r="DA52" s="141">
        <v>26000</v>
      </c>
    </row>
    <row r="53" spans="1:105" s="142" customFormat="1">
      <c r="A53" s="262"/>
      <c r="B53" s="138" t="s">
        <v>155</v>
      </c>
      <c r="C53" s="139">
        <v>124</v>
      </c>
      <c r="D53" s="140">
        <f t="shared" si="2"/>
        <v>828000</v>
      </c>
      <c r="E53" s="141">
        <v>0</v>
      </c>
      <c r="F53" s="141">
        <v>414000</v>
      </c>
      <c r="G53" s="141">
        <v>0</v>
      </c>
      <c r="H53" s="141">
        <v>0</v>
      </c>
      <c r="I53" s="141">
        <v>0</v>
      </c>
      <c r="J53" s="141">
        <v>0</v>
      </c>
      <c r="K53" s="141">
        <v>0</v>
      </c>
      <c r="L53" s="141">
        <v>0</v>
      </c>
      <c r="M53" s="141">
        <v>0</v>
      </c>
      <c r="N53" s="141">
        <v>0</v>
      </c>
      <c r="O53" s="141">
        <v>0</v>
      </c>
      <c r="P53" s="141">
        <v>0</v>
      </c>
      <c r="Q53" s="141">
        <v>0</v>
      </c>
      <c r="R53" s="141">
        <v>0</v>
      </c>
      <c r="S53" s="141">
        <v>0</v>
      </c>
      <c r="T53" s="141">
        <v>0</v>
      </c>
      <c r="U53" s="141">
        <v>0</v>
      </c>
      <c r="V53" s="141">
        <v>276000</v>
      </c>
      <c r="W53" s="141">
        <v>0</v>
      </c>
      <c r="X53" s="141">
        <v>0</v>
      </c>
      <c r="Y53" s="141">
        <v>0</v>
      </c>
      <c r="Z53" s="141">
        <v>0</v>
      </c>
      <c r="AA53" s="141">
        <v>0</v>
      </c>
      <c r="AB53" s="141">
        <v>0</v>
      </c>
      <c r="AC53" s="141">
        <v>0</v>
      </c>
      <c r="AD53" s="141">
        <v>0</v>
      </c>
      <c r="AE53" s="141">
        <v>0</v>
      </c>
      <c r="AF53" s="141">
        <v>0</v>
      </c>
      <c r="AG53" s="141">
        <v>0</v>
      </c>
      <c r="AH53" s="141">
        <v>0</v>
      </c>
      <c r="AI53" s="141">
        <v>0</v>
      </c>
      <c r="AJ53" s="141">
        <v>0</v>
      </c>
      <c r="AK53" s="141">
        <v>0</v>
      </c>
      <c r="AL53" s="141">
        <v>0</v>
      </c>
      <c r="AM53" s="141">
        <v>0</v>
      </c>
      <c r="AN53" s="141">
        <v>0</v>
      </c>
      <c r="AO53" s="141">
        <v>0</v>
      </c>
      <c r="AP53" s="141">
        <v>0</v>
      </c>
      <c r="AQ53" s="141">
        <v>0</v>
      </c>
      <c r="AR53" s="141">
        <v>0</v>
      </c>
      <c r="AS53" s="141">
        <v>0</v>
      </c>
      <c r="AT53" s="141">
        <v>0</v>
      </c>
      <c r="AU53" s="141">
        <v>0</v>
      </c>
      <c r="AV53" s="141">
        <v>0</v>
      </c>
      <c r="AW53" s="141">
        <v>0</v>
      </c>
      <c r="AX53" s="141">
        <v>0</v>
      </c>
      <c r="AY53" s="141">
        <v>0</v>
      </c>
      <c r="AZ53" s="141">
        <v>0</v>
      </c>
      <c r="BA53" s="141">
        <v>0</v>
      </c>
      <c r="BB53" s="141">
        <v>0</v>
      </c>
      <c r="BC53" s="141">
        <v>0</v>
      </c>
      <c r="BD53" s="141">
        <v>0</v>
      </c>
      <c r="BE53" s="141">
        <v>138000</v>
      </c>
      <c r="BF53" s="141">
        <v>0</v>
      </c>
      <c r="BG53" s="141">
        <v>0</v>
      </c>
      <c r="BH53" s="141">
        <v>0</v>
      </c>
      <c r="BI53" s="141">
        <v>0</v>
      </c>
      <c r="BJ53" s="141">
        <v>0</v>
      </c>
      <c r="BK53" s="141">
        <v>0</v>
      </c>
      <c r="BL53" s="141">
        <v>0</v>
      </c>
      <c r="BM53" s="141">
        <v>0</v>
      </c>
      <c r="BN53" s="141">
        <v>0</v>
      </c>
      <c r="BO53" s="141">
        <v>0</v>
      </c>
      <c r="BP53" s="141">
        <v>0</v>
      </c>
      <c r="BQ53" s="141">
        <v>0</v>
      </c>
      <c r="BR53" s="141">
        <v>0</v>
      </c>
      <c r="BS53" s="141">
        <v>0</v>
      </c>
      <c r="BT53" s="141">
        <v>0</v>
      </c>
      <c r="BU53" s="141">
        <v>0</v>
      </c>
      <c r="BV53" s="141">
        <v>0</v>
      </c>
      <c r="BW53" s="141">
        <v>0</v>
      </c>
      <c r="BX53" s="141">
        <v>0</v>
      </c>
      <c r="BY53" s="141">
        <v>0</v>
      </c>
      <c r="BZ53" s="141">
        <v>0</v>
      </c>
      <c r="CA53" s="141">
        <v>0</v>
      </c>
      <c r="CB53" s="141">
        <v>0</v>
      </c>
      <c r="CC53" s="141">
        <v>0</v>
      </c>
      <c r="CD53" s="141">
        <v>0</v>
      </c>
      <c r="CE53" s="141">
        <v>0</v>
      </c>
      <c r="CF53" s="141">
        <v>0</v>
      </c>
      <c r="CG53" s="141">
        <v>0</v>
      </c>
      <c r="CH53" s="141">
        <v>0</v>
      </c>
      <c r="CI53" s="141">
        <v>0</v>
      </c>
      <c r="CJ53" s="141">
        <v>0</v>
      </c>
      <c r="CK53" s="141">
        <v>0</v>
      </c>
      <c r="CL53" s="141">
        <v>0</v>
      </c>
      <c r="CM53" s="141">
        <v>0</v>
      </c>
      <c r="CN53" s="141">
        <v>0</v>
      </c>
      <c r="CO53" s="141">
        <v>0</v>
      </c>
      <c r="CP53" s="141">
        <v>0</v>
      </c>
      <c r="CQ53" s="141">
        <v>0</v>
      </c>
      <c r="CR53" s="141">
        <v>0</v>
      </c>
      <c r="CS53" s="141">
        <v>0</v>
      </c>
      <c r="CT53" s="141">
        <v>0</v>
      </c>
      <c r="CU53" s="141">
        <v>0</v>
      </c>
      <c r="CV53" s="141">
        <v>0</v>
      </c>
      <c r="CW53" s="141">
        <v>0</v>
      </c>
      <c r="CX53" s="141">
        <v>0</v>
      </c>
      <c r="CY53" s="141">
        <v>0</v>
      </c>
      <c r="CZ53" s="141">
        <v>0</v>
      </c>
      <c r="DA53" s="141">
        <v>0</v>
      </c>
    </row>
    <row r="54" spans="1:105" s="142" customFormat="1">
      <c r="A54" s="262"/>
      <c r="B54" s="138" t="s">
        <v>156</v>
      </c>
      <c r="C54" s="139">
        <v>124</v>
      </c>
      <c r="D54" s="140">
        <f t="shared" si="2"/>
        <v>192000</v>
      </c>
      <c r="E54" s="141">
        <v>0</v>
      </c>
      <c r="F54" s="141">
        <v>72000</v>
      </c>
      <c r="G54" s="141">
        <v>0</v>
      </c>
      <c r="H54" s="141">
        <v>0</v>
      </c>
      <c r="I54" s="141">
        <v>0</v>
      </c>
      <c r="J54" s="141">
        <v>0</v>
      </c>
      <c r="K54" s="141">
        <v>0</v>
      </c>
      <c r="L54" s="141">
        <v>0</v>
      </c>
      <c r="M54" s="141">
        <v>0</v>
      </c>
      <c r="N54" s="141">
        <v>0</v>
      </c>
      <c r="O54" s="141">
        <v>0</v>
      </c>
      <c r="P54" s="141">
        <v>0</v>
      </c>
      <c r="Q54" s="141">
        <v>0</v>
      </c>
      <c r="R54" s="141">
        <v>0</v>
      </c>
      <c r="S54" s="141">
        <v>0</v>
      </c>
      <c r="T54" s="141">
        <v>0</v>
      </c>
      <c r="U54" s="141">
        <v>0</v>
      </c>
      <c r="V54" s="141">
        <v>48000</v>
      </c>
      <c r="W54" s="141">
        <v>0</v>
      </c>
      <c r="X54" s="141">
        <v>0</v>
      </c>
      <c r="Y54" s="141">
        <v>0</v>
      </c>
      <c r="Z54" s="141">
        <v>0</v>
      </c>
      <c r="AA54" s="141">
        <v>0</v>
      </c>
      <c r="AB54" s="141">
        <v>0</v>
      </c>
      <c r="AC54" s="141">
        <v>0</v>
      </c>
      <c r="AD54" s="141">
        <v>0</v>
      </c>
      <c r="AE54" s="141">
        <v>0</v>
      </c>
      <c r="AF54" s="141">
        <v>0</v>
      </c>
      <c r="AG54" s="141">
        <v>0</v>
      </c>
      <c r="AH54" s="141">
        <v>0</v>
      </c>
      <c r="AI54" s="141">
        <v>0</v>
      </c>
      <c r="AJ54" s="141">
        <v>0</v>
      </c>
      <c r="AK54" s="141">
        <v>0</v>
      </c>
      <c r="AL54" s="141">
        <v>0</v>
      </c>
      <c r="AM54" s="141">
        <v>0</v>
      </c>
      <c r="AN54" s="141">
        <v>0</v>
      </c>
      <c r="AO54" s="141">
        <v>0</v>
      </c>
      <c r="AP54" s="141">
        <v>0</v>
      </c>
      <c r="AQ54" s="141">
        <v>0</v>
      </c>
      <c r="AR54" s="141">
        <v>0</v>
      </c>
      <c r="AS54" s="141">
        <v>0</v>
      </c>
      <c r="AT54" s="141">
        <v>0</v>
      </c>
      <c r="AU54" s="141">
        <v>0</v>
      </c>
      <c r="AV54" s="141">
        <v>0</v>
      </c>
      <c r="AW54" s="141">
        <v>0</v>
      </c>
      <c r="AX54" s="141">
        <v>0</v>
      </c>
      <c r="AY54" s="141">
        <v>0</v>
      </c>
      <c r="AZ54" s="141">
        <v>0</v>
      </c>
      <c r="BA54" s="141">
        <v>0</v>
      </c>
      <c r="BB54" s="141">
        <v>0</v>
      </c>
      <c r="BC54" s="141">
        <v>0</v>
      </c>
      <c r="BD54" s="141">
        <v>0</v>
      </c>
      <c r="BE54" s="141">
        <v>72000</v>
      </c>
      <c r="BF54" s="141">
        <v>0</v>
      </c>
      <c r="BG54" s="141">
        <v>0</v>
      </c>
      <c r="BH54" s="141">
        <v>0</v>
      </c>
      <c r="BI54" s="141">
        <v>0</v>
      </c>
      <c r="BJ54" s="141">
        <v>0</v>
      </c>
      <c r="BK54" s="141">
        <v>0</v>
      </c>
      <c r="BL54" s="141">
        <v>0</v>
      </c>
      <c r="BM54" s="141">
        <v>0</v>
      </c>
      <c r="BN54" s="141">
        <v>0</v>
      </c>
      <c r="BO54" s="141">
        <v>0</v>
      </c>
      <c r="BP54" s="141">
        <v>0</v>
      </c>
      <c r="BQ54" s="141">
        <v>0</v>
      </c>
      <c r="BR54" s="141">
        <v>0</v>
      </c>
      <c r="BS54" s="141">
        <v>0</v>
      </c>
      <c r="BT54" s="141">
        <v>0</v>
      </c>
      <c r="BU54" s="141">
        <v>0</v>
      </c>
      <c r="BV54" s="141">
        <v>0</v>
      </c>
      <c r="BW54" s="141">
        <v>0</v>
      </c>
      <c r="BX54" s="141">
        <v>0</v>
      </c>
      <c r="BY54" s="141">
        <v>0</v>
      </c>
      <c r="BZ54" s="141">
        <v>0</v>
      </c>
      <c r="CA54" s="141">
        <v>0</v>
      </c>
      <c r="CB54" s="141">
        <v>0</v>
      </c>
      <c r="CC54" s="141">
        <v>0</v>
      </c>
      <c r="CD54" s="141">
        <v>0</v>
      </c>
      <c r="CE54" s="141">
        <v>0</v>
      </c>
      <c r="CF54" s="141">
        <v>0</v>
      </c>
      <c r="CG54" s="141">
        <v>0</v>
      </c>
      <c r="CH54" s="141">
        <v>0</v>
      </c>
      <c r="CI54" s="141">
        <v>0</v>
      </c>
      <c r="CJ54" s="141">
        <v>0</v>
      </c>
      <c r="CK54" s="141">
        <v>0</v>
      </c>
      <c r="CL54" s="141">
        <v>0</v>
      </c>
      <c r="CM54" s="141">
        <v>0</v>
      </c>
      <c r="CN54" s="141">
        <v>0</v>
      </c>
      <c r="CO54" s="141">
        <v>0</v>
      </c>
      <c r="CP54" s="141">
        <v>0</v>
      </c>
      <c r="CQ54" s="141">
        <v>0</v>
      </c>
      <c r="CR54" s="141">
        <v>0</v>
      </c>
      <c r="CS54" s="141">
        <v>0</v>
      </c>
      <c r="CT54" s="141">
        <v>0</v>
      </c>
      <c r="CU54" s="141">
        <v>0</v>
      </c>
      <c r="CV54" s="141">
        <v>0</v>
      </c>
      <c r="CW54" s="141">
        <v>0</v>
      </c>
      <c r="CX54" s="141">
        <v>0</v>
      </c>
      <c r="CY54" s="141">
        <v>0</v>
      </c>
      <c r="CZ54" s="141">
        <v>0</v>
      </c>
      <c r="DA54" s="141">
        <v>0</v>
      </c>
    </row>
    <row r="55" spans="1:105" s="142" customFormat="1">
      <c r="A55" s="262"/>
      <c r="B55" s="138" t="s">
        <v>157</v>
      </c>
      <c r="C55" s="139">
        <v>124</v>
      </c>
      <c r="D55" s="140">
        <f t="shared" si="2"/>
        <v>198000</v>
      </c>
      <c r="E55" s="141">
        <v>0</v>
      </c>
      <c r="F55" s="141">
        <v>66000</v>
      </c>
      <c r="G55" s="141">
        <v>0</v>
      </c>
      <c r="H55" s="141">
        <v>0</v>
      </c>
      <c r="I55" s="141">
        <v>0</v>
      </c>
      <c r="J55" s="141">
        <v>0</v>
      </c>
      <c r="K55" s="141">
        <v>0</v>
      </c>
      <c r="L55" s="141">
        <v>0</v>
      </c>
      <c r="M55" s="141">
        <v>0</v>
      </c>
      <c r="N55" s="141">
        <v>0</v>
      </c>
      <c r="O55" s="141">
        <v>0</v>
      </c>
      <c r="P55" s="141">
        <v>0</v>
      </c>
      <c r="Q55" s="141">
        <v>0</v>
      </c>
      <c r="R55" s="141">
        <v>0</v>
      </c>
      <c r="S55" s="141">
        <v>0</v>
      </c>
      <c r="T55" s="141">
        <v>0</v>
      </c>
      <c r="U55" s="141">
        <v>0</v>
      </c>
      <c r="V55" s="141">
        <v>66000</v>
      </c>
      <c r="W55" s="141">
        <v>0</v>
      </c>
      <c r="X55" s="141">
        <v>0</v>
      </c>
      <c r="Y55" s="141">
        <v>0</v>
      </c>
      <c r="Z55" s="141">
        <v>0</v>
      </c>
      <c r="AA55" s="141">
        <v>0</v>
      </c>
      <c r="AB55" s="141">
        <v>0</v>
      </c>
      <c r="AC55" s="141">
        <v>0</v>
      </c>
      <c r="AD55" s="141">
        <v>0</v>
      </c>
      <c r="AE55" s="141">
        <v>0</v>
      </c>
      <c r="AF55" s="141">
        <v>0</v>
      </c>
      <c r="AG55" s="141">
        <v>0</v>
      </c>
      <c r="AH55" s="141">
        <v>0</v>
      </c>
      <c r="AI55" s="141">
        <v>0</v>
      </c>
      <c r="AJ55" s="141">
        <v>0</v>
      </c>
      <c r="AK55" s="141">
        <v>0</v>
      </c>
      <c r="AL55" s="141">
        <v>0</v>
      </c>
      <c r="AM55" s="141">
        <v>0</v>
      </c>
      <c r="AN55" s="141">
        <v>0</v>
      </c>
      <c r="AO55" s="141">
        <v>0</v>
      </c>
      <c r="AP55" s="141">
        <v>0</v>
      </c>
      <c r="AQ55" s="141">
        <v>0</v>
      </c>
      <c r="AR55" s="141">
        <v>0</v>
      </c>
      <c r="AS55" s="141">
        <v>0</v>
      </c>
      <c r="AT55" s="141">
        <v>0</v>
      </c>
      <c r="AU55" s="141">
        <v>0</v>
      </c>
      <c r="AV55" s="141">
        <v>0</v>
      </c>
      <c r="AW55" s="141">
        <v>0</v>
      </c>
      <c r="AX55" s="141">
        <v>0</v>
      </c>
      <c r="AY55" s="141">
        <v>0</v>
      </c>
      <c r="AZ55" s="141">
        <v>0</v>
      </c>
      <c r="BA55" s="141">
        <v>0</v>
      </c>
      <c r="BB55" s="141">
        <v>0</v>
      </c>
      <c r="BC55" s="141">
        <v>0</v>
      </c>
      <c r="BD55" s="141">
        <v>0</v>
      </c>
      <c r="BE55" s="141">
        <v>66000</v>
      </c>
      <c r="BF55" s="141">
        <v>0</v>
      </c>
      <c r="BG55" s="141">
        <v>0</v>
      </c>
      <c r="BH55" s="141">
        <v>0</v>
      </c>
      <c r="BI55" s="141">
        <v>0</v>
      </c>
      <c r="BJ55" s="141">
        <v>0</v>
      </c>
      <c r="BK55" s="141">
        <v>0</v>
      </c>
      <c r="BL55" s="141">
        <v>0</v>
      </c>
      <c r="BM55" s="141">
        <v>0</v>
      </c>
      <c r="BN55" s="141">
        <v>0</v>
      </c>
      <c r="BO55" s="141">
        <v>0</v>
      </c>
      <c r="BP55" s="141">
        <v>0</v>
      </c>
      <c r="BQ55" s="141">
        <v>0</v>
      </c>
      <c r="BR55" s="141">
        <v>0</v>
      </c>
      <c r="BS55" s="141">
        <v>0</v>
      </c>
      <c r="BT55" s="141">
        <v>0</v>
      </c>
      <c r="BU55" s="141">
        <v>0</v>
      </c>
      <c r="BV55" s="141">
        <v>0</v>
      </c>
      <c r="BW55" s="141">
        <v>0</v>
      </c>
      <c r="BX55" s="141">
        <v>0</v>
      </c>
      <c r="BY55" s="141">
        <v>0</v>
      </c>
      <c r="BZ55" s="141">
        <v>0</v>
      </c>
      <c r="CA55" s="141">
        <v>0</v>
      </c>
      <c r="CB55" s="141">
        <v>0</v>
      </c>
      <c r="CC55" s="141">
        <v>0</v>
      </c>
      <c r="CD55" s="141">
        <v>0</v>
      </c>
      <c r="CE55" s="141">
        <v>0</v>
      </c>
      <c r="CF55" s="141">
        <v>0</v>
      </c>
      <c r="CG55" s="141">
        <v>0</v>
      </c>
      <c r="CH55" s="141">
        <v>0</v>
      </c>
      <c r="CI55" s="141">
        <v>0</v>
      </c>
      <c r="CJ55" s="141">
        <v>0</v>
      </c>
      <c r="CK55" s="141">
        <v>0</v>
      </c>
      <c r="CL55" s="141">
        <v>0</v>
      </c>
      <c r="CM55" s="141">
        <v>0</v>
      </c>
      <c r="CN55" s="141">
        <v>0</v>
      </c>
      <c r="CO55" s="141">
        <v>0</v>
      </c>
      <c r="CP55" s="141">
        <v>0</v>
      </c>
      <c r="CQ55" s="141">
        <v>0</v>
      </c>
      <c r="CR55" s="141">
        <v>0</v>
      </c>
      <c r="CS55" s="141">
        <v>0</v>
      </c>
      <c r="CT55" s="141">
        <v>0</v>
      </c>
      <c r="CU55" s="141">
        <v>0</v>
      </c>
      <c r="CV55" s="141">
        <v>0</v>
      </c>
      <c r="CW55" s="141">
        <v>0</v>
      </c>
      <c r="CX55" s="141">
        <v>0</v>
      </c>
      <c r="CY55" s="141">
        <v>0</v>
      </c>
      <c r="CZ55" s="141">
        <v>0</v>
      </c>
      <c r="DA55" s="141">
        <v>0</v>
      </c>
    </row>
    <row r="56" spans="1:105" s="142" customFormat="1">
      <c r="A56" s="262"/>
      <c r="B56" s="138" t="s">
        <v>158</v>
      </c>
      <c r="C56" s="139">
        <v>124</v>
      </c>
      <c r="D56" s="140">
        <f t="shared" si="2"/>
        <v>408000</v>
      </c>
      <c r="E56" s="141">
        <v>0</v>
      </c>
      <c r="F56" s="141">
        <v>150000</v>
      </c>
      <c r="G56" s="141">
        <v>0</v>
      </c>
      <c r="H56" s="141">
        <v>0</v>
      </c>
      <c r="I56" s="141">
        <v>0</v>
      </c>
      <c r="J56" s="141">
        <v>0</v>
      </c>
      <c r="K56" s="141">
        <v>0</v>
      </c>
      <c r="L56" s="141">
        <v>0</v>
      </c>
      <c r="M56" s="141">
        <v>0</v>
      </c>
      <c r="N56" s="141">
        <v>0</v>
      </c>
      <c r="O56" s="141">
        <v>0</v>
      </c>
      <c r="P56" s="141">
        <v>0</v>
      </c>
      <c r="Q56" s="141">
        <v>0</v>
      </c>
      <c r="R56" s="141">
        <v>0</v>
      </c>
      <c r="S56" s="141">
        <v>0</v>
      </c>
      <c r="T56" s="141">
        <v>0</v>
      </c>
      <c r="U56" s="141">
        <v>0</v>
      </c>
      <c r="V56" s="141">
        <v>150000</v>
      </c>
      <c r="W56" s="141">
        <v>0</v>
      </c>
      <c r="X56" s="141">
        <v>0</v>
      </c>
      <c r="Y56" s="141">
        <v>0</v>
      </c>
      <c r="Z56" s="141">
        <v>0</v>
      </c>
      <c r="AA56" s="141">
        <v>0</v>
      </c>
      <c r="AB56" s="141">
        <v>0</v>
      </c>
      <c r="AC56" s="141">
        <v>0</v>
      </c>
      <c r="AD56" s="141">
        <v>0</v>
      </c>
      <c r="AE56" s="141">
        <v>0</v>
      </c>
      <c r="AF56" s="141">
        <v>0</v>
      </c>
      <c r="AG56" s="141">
        <v>0</v>
      </c>
      <c r="AH56" s="141">
        <v>0</v>
      </c>
      <c r="AI56" s="141">
        <v>0</v>
      </c>
      <c r="AJ56" s="141">
        <v>0</v>
      </c>
      <c r="AK56" s="141">
        <v>0</v>
      </c>
      <c r="AL56" s="141">
        <v>0</v>
      </c>
      <c r="AM56" s="141">
        <v>0</v>
      </c>
      <c r="AN56" s="141">
        <v>0</v>
      </c>
      <c r="AO56" s="141">
        <v>0</v>
      </c>
      <c r="AP56" s="141">
        <v>0</v>
      </c>
      <c r="AQ56" s="141">
        <v>0</v>
      </c>
      <c r="AR56" s="141">
        <v>0</v>
      </c>
      <c r="AS56" s="141">
        <v>0</v>
      </c>
      <c r="AT56" s="141">
        <v>0</v>
      </c>
      <c r="AU56" s="141">
        <v>0</v>
      </c>
      <c r="AV56" s="141">
        <v>0</v>
      </c>
      <c r="AW56" s="141">
        <v>0</v>
      </c>
      <c r="AX56" s="141">
        <v>0</v>
      </c>
      <c r="AY56" s="141">
        <v>0</v>
      </c>
      <c r="AZ56" s="141">
        <v>0</v>
      </c>
      <c r="BA56" s="141">
        <v>0</v>
      </c>
      <c r="BB56" s="141">
        <v>0</v>
      </c>
      <c r="BC56" s="141">
        <v>0</v>
      </c>
      <c r="BD56" s="141">
        <v>0</v>
      </c>
      <c r="BE56" s="141">
        <v>108000</v>
      </c>
      <c r="BF56" s="141">
        <v>0</v>
      </c>
      <c r="BG56" s="141">
        <v>0</v>
      </c>
      <c r="BH56" s="141">
        <v>0</v>
      </c>
      <c r="BI56" s="141">
        <v>0</v>
      </c>
      <c r="BJ56" s="141">
        <v>0</v>
      </c>
      <c r="BK56" s="141">
        <v>0</v>
      </c>
      <c r="BL56" s="141">
        <v>0</v>
      </c>
      <c r="BM56" s="141">
        <v>0</v>
      </c>
      <c r="BN56" s="141">
        <v>0</v>
      </c>
      <c r="BO56" s="141">
        <v>0</v>
      </c>
      <c r="BP56" s="141">
        <v>0</v>
      </c>
      <c r="BQ56" s="141">
        <v>0</v>
      </c>
      <c r="BR56" s="141">
        <v>0</v>
      </c>
      <c r="BS56" s="141">
        <v>0</v>
      </c>
      <c r="BT56" s="141">
        <v>0</v>
      </c>
      <c r="BU56" s="141">
        <v>0</v>
      </c>
      <c r="BV56" s="141">
        <v>0</v>
      </c>
      <c r="BW56" s="141">
        <v>0</v>
      </c>
      <c r="BX56" s="141">
        <v>0</v>
      </c>
      <c r="BY56" s="141">
        <v>0</v>
      </c>
      <c r="BZ56" s="141">
        <v>0</v>
      </c>
      <c r="CA56" s="141">
        <v>0</v>
      </c>
      <c r="CB56" s="141">
        <v>0</v>
      </c>
      <c r="CC56" s="141">
        <v>0</v>
      </c>
      <c r="CD56" s="141">
        <v>0</v>
      </c>
      <c r="CE56" s="141">
        <v>0</v>
      </c>
      <c r="CF56" s="141">
        <v>0</v>
      </c>
      <c r="CG56" s="141">
        <v>0</v>
      </c>
      <c r="CH56" s="141">
        <v>0</v>
      </c>
      <c r="CI56" s="141">
        <v>0</v>
      </c>
      <c r="CJ56" s="141">
        <v>0</v>
      </c>
      <c r="CK56" s="141">
        <v>0</v>
      </c>
      <c r="CL56" s="141">
        <v>0</v>
      </c>
      <c r="CM56" s="141">
        <v>0</v>
      </c>
      <c r="CN56" s="141">
        <v>0</v>
      </c>
      <c r="CO56" s="141">
        <v>0</v>
      </c>
      <c r="CP56" s="141">
        <v>0</v>
      </c>
      <c r="CQ56" s="141">
        <v>0</v>
      </c>
      <c r="CR56" s="141">
        <v>0</v>
      </c>
      <c r="CS56" s="141">
        <v>0</v>
      </c>
      <c r="CT56" s="141">
        <v>0</v>
      </c>
      <c r="CU56" s="141">
        <v>0</v>
      </c>
      <c r="CV56" s="141">
        <v>0</v>
      </c>
      <c r="CW56" s="141">
        <v>0</v>
      </c>
      <c r="CX56" s="141">
        <v>0</v>
      </c>
      <c r="CY56" s="141">
        <v>0</v>
      </c>
      <c r="CZ56" s="141">
        <v>0</v>
      </c>
      <c r="DA56" s="141">
        <v>0</v>
      </c>
    </row>
    <row r="57" spans="1:105" s="142" customFormat="1" ht="32.4">
      <c r="A57" s="262"/>
      <c r="B57" s="138" t="s">
        <v>159</v>
      </c>
      <c r="C57" s="139">
        <v>131</v>
      </c>
      <c r="D57" s="140">
        <f t="shared" si="2"/>
        <v>1656000</v>
      </c>
      <c r="E57" s="141">
        <v>24000</v>
      </c>
      <c r="F57" s="141">
        <v>0</v>
      </c>
      <c r="G57" s="141">
        <v>0</v>
      </c>
      <c r="H57" s="141">
        <v>0</v>
      </c>
      <c r="I57" s="141">
        <v>0</v>
      </c>
      <c r="J57" s="141">
        <v>24000</v>
      </c>
      <c r="K57" s="141">
        <v>24000</v>
      </c>
      <c r="L57" s="141">
        <v>0</v>
      </c>
      <c r="M57" s="141">
        <v>0</v>
      </c>
      <c r="N57" s="141">
        <v>24000</v>
      </c>
      <c r="O57" s="141">
        <v>0</v>
      </c>
      <c r="P57" s="141">
        <v>24000</v>
      </c>
      <c r="Q57" s="141">
        <v>0</v>
      </c>
      <c r="R57" s="141">
        <v>0</v>
      </c>
      <c r="S57" s="141">
        <v>0</v>
      </c>
      <c r="T57" s="141">
        <v>0</v>
      </c>
      <c r="U57" s="141">
        <v>0</v>
      </c>
      <c r="V57" s="141">
        <v>0</v>
      </c>
      <c r="W57" s="141">
        <v>0</v>
      </c>
      <c r="X57" s="141">
        <v>24000</v>
      </c>
      <c r="Y57" s="141">
        <v>0</v>
      </c>
      <c r="Z57" s="141">
        <v>0</v>
      </c>
      <c r="AA57" s="141">
        <v>0</v>
      </c>
      <c r="AB57" s="141">
        <v>0</v>
      </c>
      <c r="AC57" s="141">
        <v>24000</v>
      </c>
      <c r="AD57" s="141">
        <v>24000</v>
      </c>
      <c r="AE57" s="141">
        <v>24000</v>
      </c>
      <c r="AF57" s="141">
        <v>24000</v>
      </c>
      <c r="AG57" s="141">
        <v>24000</v>
      </c>
      <c r="AH57" s="141">
        <v>24000</v>
      </c>
      <c r="AI57" s="141">
        <v>24000</v>
      </c>
      <c r="AJ57" s="141">
        <v>24000</v>
      </c>
      <c r="AK57" s="141">
        <v>24000</v>
      </c>
      <c r="AL57" s="141">
        <v>24000</v>
      </c>
      <c r="AM57" s="141">
        <v>24000</v>
      </c>
      <c r="AN57" s="141">
        <v>24000</v>
      </c>
      <c r="AO57" s="141">
        <v>24000</v>
      </c>
      <c r="AP57" s="141">
        <v>24000</v>
      </c>
      <c r="AQ57" s="141">
        <v>0</v>
      </c>
      <c r="AR57" s="141">
        <v>24000</v>
      </c>
      <c r="AS57" s="141">
        <v>0</v>
      </c>
      <c r="AT57" s="141">
        <v>0</v>
      </c>
      <c r="AU57" s="141">
        <v>0</v>
      </c>
      <c r="AV57" s="141">
        <v>24000</v>
      </c>
      <c r="AW57" s="141">
        <v>24000</v>
      </c>
      <c r="AX57" s="141">
        <v>24000</v>
      </c>
      <c r="AY57" s="141">
        <v>24000</v>
      </c>
      <c r="AZ57" s="141">
        <v>24000</v>
      </c>
      <c r="BA57" s="141">
        <v>24000</v>
      </c>
      <c r="BB57" s="141">
        <v>24000</v>
      </c>
      <c r="BC57" s="141">
        <v>24000</v>
      </c>
      <c r="BD57" s="141">
        <v>24000</v>
      </c>
      <c r="BE57" s="141">
        <v>0</v>
      </c>
      <c r="BF57" s="141">
        <v>0</v>
      </c>
      <c r="BG57" s="141">
        <v>24000</v>
      </c>
      <c r="BH57" s="141">
        <v>24000</v>
      </c>
      <c r="BI57" s="141">
        <v>0</v>
      </c>
      <c r="BJ57" s="141">
        <v>0</v>
      </c>
      <c r="BK57" s="141">
        <v>24000</v>
      </c>
      <c r="BL57" s="141">
        <v>0</v>
      </c>
      <c r="BM57" s="141">
        <v>24000</v>
      </c>
      <c r="BN57" s="141">
        <v>0</v>
      </c>
      <c r="BO57" s="141">
        <v>0</v>
      </c>
      <c r="BP57" s="141">
        <v>24000</v>
      </c>
      <c r="BQ57" s="141">
        <v>24000</v>
      </c>
      <c r="BR57" s="141">
        <v>24000</v>
      </c>
      <c r="BS57" s="141">
        <v>24000</v>
      </c>
      <c r="BT57" s="141">
        <v>24000</v>
      </c>
      <c r="BU57" s="141">
        <v>0</v>
      </c>
      <c r="BV57" s="141">
        <v>24000</v>
      </c>
      <c r="BW57" s="141">
        <v>0</v>
      </c>
      <c r="BX57" s="141">
        <v>24000</v>
      </c>
      <c r="BY57" s="141">
        <v>24000</v>
      </c>
      <c r="BZ57" s="141">
        <v>24000</v>
      </c>
      <c r="CA57" s="141">
        <v>24000</v>
      </c>
      <c r="CB57" s="141">
        <v>24000</v>
      </c>
      <c r="CC57" s="141">
        <v>24000</v>
      </c>
      <c r="CD57" s="141">
        <v>24000</v>
      </c>
      <c r="CE57" s="141">
        <v>24000</v>
      </c>
      <c r="CF57" s="141">
        <v>24000</v>
      </c>
      <c r="CG57" s="141">
        <v>24000</v>
      </c>
      <c r="CH57" s="141">
        <v>24000</v>
      </c>
      <c r="CI57" s="141">
        <v>24000</v>
      </c>
      <c r="CJ57" s="141">
        <v>24000</v>
      </c>
      <c r="CK57" s="141">
        <v>24000</v>
      </c>
      <c r="CL57" s="141">
        <v>24000</v>
      </c>
      <c r="CM57" s="141">
        <v>24000</v>
      </c>
      <c r="CN57" s="141">
        <v>24000</v>
      </c>
      <c r="CO57" s="141">
        <v>24000</v>
      </c>
      <c r="CP57" s="141">
        <v>24000</v>
      </c>
      <c r="CQ57" s="141">
        <v>24000</v>
      </c>
      <c r="CR57" s="141">
        <v>24000</v>
      </c>
      <c r="CS57" s="141">
        <v>24000</v>
      </c>
      <c r="CT57" s="141">
        <v>24000</v>
      </c>
      <c r="CU57" s="141">
        <v>24000</v>
      </c>
      <c r="CV57" s="141">
        <v>24000</v>
      </c>
      <c r="CW57" s="141">
        <v>24000</v>
      </c>
      <c r="CX57" s="141">
        <v>24000</v>
      </c>
      <c r="CY57" s="141">
        <v>24000</v>
      </c>
      <c r="CZ57" s="141">
        <v>0</v>
      </c>
      <c r="DA57" s="141">
        <v>24000</v>
      </c>
    </row>
    <row r="58" spans="1:105" s="142" customFormat="1">
      <c r="A58" s="262"/>
      <c r="B58" s="138" t="s">
        <v>684</v>
      </c>
      <c r="C58" s="139">
        <v>131</v>
      </c>
      <c r="D58" s="140">
        <f t="shared" si="2"/>
        <v>45318000</v>
      </c>
      <c r="E58" s="141">
        <v>376000</v>
      </c>
      <c r="F58" s="141">
        <v>1505000</v>
      </c>
      <c r="G58" s="141">
        <v>861000</v>
      </c>
      <c r="H58" s="141">
        <v>798000</v>
      </c>
      <c r="I58" s="141">
        <v>1063000</v>
      </c>
      <c r="J58" s="141">
        <v>438000</v>
      </c>
      <c r="K58" s="141">
        <v>476000</v>
      </c>
      <c r="L58" s="141">
        <v>822000</v>
      </c>
      <c r="M58" s="141">
        <v>810000</v>
      </c>
      <c r="N58" s="141">
        <v>445000</v>
      </c>
      <c r="O58" s="141">
        <v>925000</v>
      </c>
      <c r="P58" s="141">
        <v>452000</v>
      </c>
      <c r="Q58" s="141">
        <v>0</v>
      </c>
      <c r="R58" s="141">
        <v>908000</v>
      </c>
      <c r="S58" s="141">
        <v>339000</v>
      </c>
      <c r="T58" s="141">
        <v>414000</v>
      </c>
      <c r="U58" s="141">
        <v>434000</v>
      </c>
      <c r="V58" s="141">
        <v>1408000</v>
      </c>
      <c r="W58" s="141">
        <v>1191000</v>
      </c>
      <c r="X58" s="141">
        <v>453000</v>
      </c>
      <c r="Y58" s="141">
        <v>761000</v>
      </c>
      <c r="Z58" s="141">
        <v>473000</v>
      </c>
      <c r="AA58" s="141">
        <v>777000</v>
      </c>
      <c r="AB58" s="141">
        <v>666000</v>
      </c>
      <c r="AC58" s="141">
        <v>301000</v>
      </c>
      <c r="AD58" s="141">
        <v>503000</v>
      </c>
      <c r="AE58" s="141">
        <v>383000</v>
      </c>
      <c r="AF58" s="141">
        <v>383000</v>
      </c>
      <c r="AG58" s="141">
        <v>440000</v>
      </c>
      <c r="AH58" s="141">
        <v>398000</v>
      </c>
      <c r="AI58" s="141">
        <v>350000</v>
      </c>
      <c r="AJ58" s="141">
        <v>368000</v>
      </c>
      <c r="AK58" s="141">
        <v>491000</v>
      </c>
      <c r="AL58" s="141">
        <v>343000</v>
      </c>
      <c r="AM58" s="141">
        <v>326000</v>
      </c>
      <c r="AN58" s="141">
        <v>351000</v>
      </c>
      <c r="AO58" s="141">
        <v>367000</v>
      </c>
      <c r="AP58" s="141">
        <v>418000</v>
      </c>
      <c r="AQ58" s="141">
        <v>486000</v>
      </c>
      <c r="AR58" s="141">
        <v>366000</v>
      </c>
      <c r="AS58" s="141">
        <v>315000</v>
      </c>
      <c r="AT58" s="141">
        <v>713000</v>
      </c>
      <c r="AU58" s="141">
        <v>334000</v>
      </c>
      <c r="AV58" s="141">
        <v>276000</v>
      </c>
      <c r="AW58" s="141">
        <v>351000</v>
      </c>
      <c r="AX58" s="141">
        <v>496000</v>
      </c>
      <c r="AY58" s="141">
        <v>307000</v>
      </c>
      <c r="AZ58" s="141">
        <v>347000</v>
      </c>
      <c r="BA58" s="141">
        <v>388000</v>
      </c>
      <c r="BB58" s="141">
        <v>313000</v>
      </c>
      <c r="BC58" s="141">
        <v>327000</v>
      </c>
      <c r="BD58" s="141">
        <v>195000</v>
      </c>
      <c r="BE58" s="141">
        <v>1075000</v>
      </c>
      <c r="BF58" s="141">
        <v>383000</v>
      </c>
      <c r="BG58" s="141">
        <v>434000</v>
      </c>
      <c r="BH58" s="141">
        <v>159000</v>
      </c>
      <c r="BI58" s="141">
        <v>162000</v>
      </c>
      <c r="BJ58" s="141">
        <v>315000</v>
      </c>
      <c r="BK58" s="141">
        <v>272000</v>
      </c>
      <c r="BL58" s="141">
        <v>753000</v>
      </c>
      <c r="BM58" s="141">
        <v>154000</v>
      </c>
      <c r="BN58" s="141">
        <v>376000</v>
      </c>
      <c r="BO58" s="141">
        <v>398000</v>
      </c>
      <c r="BP58" s="141">
        <v>387000</v>
      </c>
      <c r="BQ58" s="141">
        <v>426000</v>
      </c>
      <c r="BR58" s="141">
        <v>291000</v>
      </c>
      <c r="BS58" s="141">
        <v>136000</v>
      </c>
      <c r="BT58" s="141">
        <v>290000</v>
      </c>
      <c r="BU58" s="141">
        <v>304000</v>
      </c>
      <c r="BV58" s="141">
        <v>340000</v>
      </c>
      <c r="BW58" s="141">
        <v>286000</v>
      </c>
      <c r="BX58" s="141">
        <v>378000</v>
      </c>
      <c r="BY58" s="141">
        <v>415000</v>
      </c>
      <c r="BZ58" s="141">
        <v>426000</v>
      </c>
      <c r="CA58" s="141">
        <v>407000</v>
      </c>
      <c r="CB58" s="141">
        <v>272000</v>
      </c>
      <c r="CC58" s="141">
        <v>0</v>
      </c>
      <c r="CD58" s="141">
        <v>327000</v>
      </c>
      <c r="CE58" s="141">
        <v>375000</v>
      </c>
      <c r="CF58" s="141">
        <v>335000</v>
      </c>
      <c r="CG58" s="141">
        <v>362000</v>
      </c>
      <c r="CH58" s="141">
        <v>356000</v>
      </c>
      <c r="CI58" s="141">
        <v>399000</v>
      </c>
      <c r="CJ58" s="141">
        <v>463000</v>
      </c>
      <c r="CK58" s="141">
        <v>376000</v>
      </c>
      <c r="CL58" s="141">
        <v>371000</v>
      </c>
      <c r="CM58" s="141">
        <v>337000</v>
      </c>
      <c r="CN58" s="141">
        <v>370000</v>
      </c>
      <c r="CO58" s="141">
        <v>485000</v>
      </c>
      <c r="CP58" s="141">
        <v>308000</v>
      </c>
      <c r="CQ58" s="141">
        <v>383000</v>
      </c>
      <c r="CR58" s="141">
        <v>424000</v>
      </c>
      <c r="CS58" s="141">
        <v>345000</v>
      </c>
      <c r="CT58" s="141">
        <v>344000</v>
      </c>
      <c r="CU58" s="141">
        <v>273000</v>
      </c>
      <c r="CV58" s="141">
        <v>354000</v>
      </c>
      <c r="CW58" s="141">
        <v>319000</v>
      </c>
      <c r="CX58" s="141">
        <v>291000</v>
      </c>
      <c r="CY58" s="141">
        <v>376000</v>
      </c>
      <c r="CZ58" s="141">
        <v>886000</v>
      </c>
      <c r="DA58" s="141">
        <v>189000</v>
      </c>
    </row>
    <row r="59" spans="1:105" s="142" customFormat="1">
      <c r="A59" s="262"/>
      <c r="B59" s="138" t="s">
        <v>160</v>
      </c>
      <c r="C59" s="139">
        <v>132</v>
      </c>
      <c r="D59" s="140">
        <f t="shared" si="2"/>
        <v>313000</v>
      </c>
      <c r="E59" s="141">
        <v>0</v>
      </c>
      <c r="F59" s="141">
        <v>0</v>
      </c>
      <c r="G59" s="141">
        <v>0</v>
      </c>
      <c r="H59" s="141">
        <v>0</v>
      </c>
      <c r="I59" s="141">
        <v>0</v>
      </c>
      <c r="J59" s="141">
        <v>0</v>
      </c>
      <c r="K59" s="141">
        <v>0</v>
      </c>
      <c r="L59" s="141">
        <v>0</v>
      </c>
      <c r="M59" s="141">
        <v>0</v>
      </c>
      <c r="N59" s="141">
        <v>0</v>
      </c>
      <c r="O59" s="141">
        <v>0</v>
      </c>
      <c r="P59" s="141">
        <v>0</v>
      </c>
      <c r="Q59" s="141">
        <v>0</v>
      </c>
      <c r="R59" s="141">
        <v>0</v>
      </c>
      <c r="S59" s="141">
        <v>0</v>
      </c>
      <c r="T59" s="141">
        <v>0</v>
      </c>
      <c r="U59" s="141">
        <v>0</v>
      </c>
      <c r="V59" s="141">
        <v>0</v>
      </c>
      <c r="W59" s="141">
        <v>0</v>
      </c>
      <c r="X59" s="141">
        <v>0</v>
      </c>
      <c r="Y59" s="141">
        <v>0</v>
      </c>
      <c r="Z59" s="141">
        <v>74000</v>
      </c>
      <c r="AA59" s="141">
        <v>0</v>
      </c>
      <c r="AB59" s="141">
        <v>0</v>
      </c>
      <c r="AC59" s="141">
        <v>0</v>
      </c>
      <c r="AD59" s="141">
        <v>0</v>
      </c>
      <c r="AE59" s="141">
        <v>0</v>
      </c>
      <c r="AF59" s="141">
        <v>0</v>
      </c>
      <c r="AG59" s="141">
        <v>0</v>
      </c>
      <c r="AH59" s="141">
        <v>0</v>
      </c>
      <c r="AI59" s="141">
        <v>0</v>
      </c>
      <c r="AJ59" s="141">
        <v>0</v>
      </c>
      <c r="AK59" s="141">
        <v>0</v>
      </c>
      <c r="AL59" s="141">
        <v>0</v>
      </c>
      <c r="AM59" s="141">
        <v>0</v>
      </c>
      <c r="AN59" s="141">
        <v>0</v>
      </c>
      <c r="AO59" s="141">
        <v>0</v>
      </c>
      <c r="AP59" s="141">
        <v>0</v>
      </c>
      <c r="AQ59" s="141">
        <v>0</v>
      </c>
      <c r="AR59" s="141">
        <v>0</v>
      </c>
      <c r="AS59" s="141">
        <v>7000</v>
      </c>
      <c r="AT59" s="141">
        <v>0</v>
      </c>
      <c r="AU59" s="141">
        <v>0</v>
      </c>
      <c r="AV59" s="141">
        <v>0</v>
      </c>
      <c r="AW59" s="141">
        <v>68000</v>
      </c>
      <c r="AX59" s="141">
        <v>0</v>
      </c>
      <c r="AY59" s="141">
        <v>0</v>
      </c>
      <c r="AZ59" s="141">
        <v>0</v>
      </c>
      <c r="BA59" s="141">
        <v>0</v>
      </c>
      <c r="BB59" s="141">
        <v>0</v>
      </c>
      <c r="BC59" s="141">
        <v>0</v>
      </c>
      <c r="BD59" s="141">
        <v>0</v>
      </c>
      <c r="BE59" s="141">
        <v>0</v>
      </c>
      <c r="BF59" s="141">
        <v>0</v>
      </c>
      <c r="BG59" s="141">
        <v>0</v>
      </c>
      <c r="BH59" s="141">
        <v>0</v>
      </c>
      <c r="BI59" s="141">
        <v>0</v>
      </c>
      <c r="BJ59" s="141">
        <v>0</v>
      </c>
      <c r="BK59" s="141">
        <v>0</v>
      </c>
      <c r="BL59" s="141">
        <v>0</v>
      </c>
      <c r="BM59" s="141">
        <v>0</v>
      </c>
      <c r="BN59" s="141">
        <v>0</v>
      </c>
      <c r="BO59" s="141">
        <v>0</v>
      </c>
      <c r="BP59" s="141">
        <v>0</v>
      </c>
      <c r="BQ59" s="141">
        <v>0</v>
      </c>
      <c r="BR59" s="141">
        <v>0</v>
      </c>
      <c r="BS59" s="141">
        <v>0</v>
      </c>
      <c r="BT59" s="141">
        <v>0</v>
      </c>
      <c r="BU59" s="141">
        <v>0</v>
      </c>
      <c r="BV59" s="141">
        <v>0</v>
      </c>
      <c r="BW59" s="141">
        <v>164000</v>
      </c>
      <c r="BX59" s="141">
        <v>0</v>
      </c>
      <c r="BY59" s="141">
        <v>0</v>
      </c>
      <c r="BZ59" s="141">
        <v>0</v>
      </c>
      <c r="CA59" s="141">
        <v>0</v>
      </c>
      <c r="CB59" s="141">
        <v>0</v>
      </c>
      <c r="CC59" s="141">
        <v>0</v>
      </c>
      <c r="CD59" s="141">
        <v>0</v>
      </c>
      <c r="CE59" s="141">
        <v>0</v>
      </c>
      <c r="CF59" s="141">
        <v>0</v>
      </c>
      <c r="CG59" s="141">
        <v>0</v>
      </c>
      <c r="CH59" s="141">
        <v>0</v>
      </c>
      <c r="CI59" s="141">
        <v>0</v>
      </c>
      <c r="CJ59" s="141">
        <v>0</v>
      </c>
      <c r="CK59" s="141">
        <v>0</v>
      </c>
      <c r="CL59" s="141">
        <v>0</v>
      </c>
      <c r="CM59" s="141">
        <v>0</v>
      </c>
      <c r="CN59" s="141">
        <v>0</v>
      </c>
      <c r="CO59" s="141">
        <v>0</v>
      </c>
      <c r="CP59" s="141">
        <v>0</v>
      </c>
      <c r="CQ59" s="141">
        <v>0</v>
      </c>
      <c r="CR59" s="141">
        <v>0</v>
      </c>
      <c r="CS59" s="141">
        <v>0</v>
      </c>
      <c r="CT59" s="141">
        <v>0</v>
      </c>
      <c r="CU59" s="141">
        <v>0</v>
      </c>
      <c r="CV59" s="141">
        <v>0</v>
      </c>
      <c r="CW59" s="141">
        <v>0</v>
      </c>
      <c r="CX59" s="141">
        <v>0</v>
      </c>
      <c r="CY59" s="141">
        <v>0</v>
      </c>
      <c r="CZ59" s="141">
        <v>0</v>
      </c>
      <c r="DA59" s="141">
        <v>0</v>
      </c>
    </row>
    <row r="60" spans="1:105" s="142" customFormat="1">
      <c r="A60" s="262"/>
      <c r="B60" s="138" t="s">
        <v>161</v>
      </c>
      <c r="C60" s="139">
        <v>151</v>
      </c>
      <c r="D60" s="140">
        <f t="shared" si="2"/>
        <v>221572000</v>
      </c>
      <c r="E60" s="141">
        <v>2612000</v>
      </c>
      <c r="F60" s="141">
        <v>14743000</v>
      </c>
      <c r="G60" s="141">
        <v>5990000</v>
      </c>
      <c r="H60" s="141">
        <v>3806000</v>
      </c>
      <c r="I60" s="141">
        <v>8646000</v>
      </c>
      <c r="J60" s="141">
        <v>1843000</v>
      </c>
      <c r="K60" s="141">
        <v>2068000</v>
      </c>
      <c r="L60" s="141">
        <v>4243000</v>
      </c>
      <c r="M60" s="141">
        <v>4970000</v>
      </c>
      <c r="N60" s="141">
        <v>2047000</v>
      </c>
      <c r="O60" s="141">
        <v>6407000</v>
      </c>
      <c r="P60" s="141">
        <v>1642000</v>
      </c>
      <c r="Q60" s="141">
        <v>3011000</v>
      </c>
      <c r="R60" s="141">
        <v>5779000</v>
      </c>
      <c r="S60" s="141">
        <v>1572000</v>
      </c>
      <c r="T60" s="141">
        <v>1876000</v>
      </c>
      <c r="U60" s="141">
        <v>3024000</v>
      </c>
      <c r="V60" s="141">
        <v>7745000</v>
      </c>
      <c r="W60" s="141">
        <v>8229000</v>
      </c>
      <c r="X60" s="141">
        <v>2208000</v>
      </c>
      <c r="Y60" s="141">
        <v>3958000</v>
      </c>
      <c r="Z60" s="141">
        <v>1975000</v>
      </c>
      <c r="AA60" s="141">
        <v>3078000</v>
      </c>
      <c r="AB60" s="141">
        <v>4006000</v>
      </c>
      <c r="AC60" s="141">
        <v>1736000</v>
      </c>
      <c r="AD60" s="141">
        <v>2522000</v>
      </c>
      <c r="AE60" s="141">
        <v>1885000</v>
      </c>
      <c r="AF60" s="141">
        <v>1549000</v>
      </c>
      <c r="AG60" s="141">
        <v>1962000</v>
      </c>
      <c r="AH60" s="141">
        <v>1542000</v>
      </c>
      <c r="AI60" s="141">
        <v>1809000</v>
      </c>
      <c r="AJ60" s="141">
        <v>1560000</v>
      </c>
      <c r="AK60" s="141">
        <v>2526000</v>
      </c>
      <c r="AL60" s="141">
        <v>1219000</v>
      </c>
      <c r="AM60" s="141">
        <v>1237000</v>
      </c>
      <c r="AN60" s="141">
        <v>1341000</v>
      </c>
      <c r="AO60" s="141">
        <v>1611000</v>
      </c>
      <c r="AP60" s="141">
        <v>1804000</v>
      </c>
      <c r="AQ60" s="141">
        <v>1789000</v>
      </c>
      <c r="AR60" s="141">
        <v>1309000</v>
      </c>
      <c r="AS60" s="141">
        <v>1573000</v>
      </c>
      <c r="AT60" s="141">
        <v>2414000</v>
      </c>
      <c r="AU60" s="141">
        <v>1315000</v>
      </c>
      <c r="AV60" s="141">
        <v>753000</v>
      </c>
      <c r="AW60" s="141">
        <v>1197000</v>
      </c>
      <c r="AX60" s="141">
        <v>1261000</v>
      </c>
      <c r="AY60" s="141">
        <v>1145000</v>
      </c>
      <c r="AZ60" s="141">
        <v>1245000</v>
      </c>
      <c r="BA60" s="141">
        <v>1214000</v>
      </c>
      <c r="BB60" s="141">
        <v>824000</v>
      </c>
      <c r="BC60" s="141">
        <v>1267000</v>
      </c>
      <c r="BD60" s="141">
        <v>843000</v>
      </c>
      <c r="BE60" s="141">
        <v>4496000</v>
      </c>
      <c r="BF60" s="141">
        <v>1218000</v>
      </c>
      <c r="BG60" s="141">
        <v>1088000</v>
      </c>
      <c r="BH60" s="141">
        <v>972000</v>
      </c>
      <c r="BI60" s="141">
        <v>351000</v>
      </c>
      <c r="BJ60" s="141">
        <v>698000</v>
      </c>
      <c r="BK60" s="141">
        <v>754000</v>
      </c>
      <c r="BL60" s="141">
        <v>3221000</v>
      </c>
      <c r="BM60" s="141">
        <v>597000</v>
      </c>
      <c r="BN60" s="141">
        <v>1138000</v>
      </c>
      <c r="BO60" s="141">
        <v>1539000</v>
      </c>
      <c r="BP60" s="141">
        <v>1308000</v>
      </c>
      <c r="BQ60" s="141">
        <v>1309000</v>
      </c>
      <c r="BR60" s="141">
        <v>938000</v>
      </c>
      <c r="BS60" s="141">
        <v>652000</v>
      </c>
      <c r="BT60" s="141">
        <v>964000</v>
      </c>
      <c r="BU60" s="141">
        <v>932000</v>
      </c>
      <c r="BV60" s="141">
        <v>1208000</v>
      </c>
      <c r="BW60" s="141">
        <v>935000</v>
      </c>
      <c r="BX60" s="141">
        <v>1282000</v>
      </c>
      <c r="BY60" s="141">
        <v>1670000</v>
      </c>
      <c r="BZ60" s="141">
        <v>1874000</v>
      </c>
      <c r="CA60" s="141">
        <v>1266000</v>
      </c>
      <c r="CB60" s="141">
        <v>1507000</v>
      </c>
      <c r="CC60" s="141">
        <v>1711000</v>
      </c>
      <c r="CD60" s="141">
        <v>2258000</v>
      </c>
      <c r="CE60" s="141">
        <v>1386000</v>
      </c>
      <c r="CF60" s="141">
        <v>1526000</v>
      </c>
      <c r="CG60" s="141">
        <v>1678000</v>
      </c>
      <c r="CH60" s="141">
        <v>1786000</v>
      </c>
      <c r="CI60" s="141">
        <v>1854000</v>
      </c>
      <c r="CJ60" s="141">
        <v>1744000</v>
      </c>
      <c r="CK60" s="141">
        <v>1530000</v>
      </c>
      <c r="CL60" s="141">
        <v>1520000</v>
      </c>
      <c r="CM60" s="141">
        <v>1519000</v>
      </c>
      <c r="CN60" s="141">
        <v>1741000</v>
      </c>
      <c r="CO60" s="141">
        <v>1608000</v>
      </c>
      <c r="CP60" s="141">
        <v>1877000</v>
      </c>
      <c r="CQ60" s="141">
        <v>1565000</v>
      </c>
      <c r="CR60" s="141">
        <v>1634000</v>
      </c>
      <c r="CS60" s="141">
        <v>1650000</v>
      </c>
      <c r="CT60" s="141">
        <v>1519000</v>
      </c>
      <c r="CU60" s="141">
        <v>1262000</v>
      </c>
      <c r="CV60" s="141">
        <v>1527000</v>
      </c>
      <c r="CW60" s="141">
        <v>1232000</v>
      </c>
      <c r="CX60" s="141">
        <v>877000</v>
      </c>
      <c r="CY60" s="141">
        <v>991000</v>
      </c>
      <c r="CZ60" s="141">
        <v>4834000</v>
      </c>
      <c r="DA60" s="141">
        <v>896000</v>
      </c>
    </row>
    <row r="61" spans="1:105" s="142" customFormat="1">
      <c r="A61" s="262"/>
      <c r="B61" s="138" t="s">
        <v>162</v>
      </c>
      <c r="C61" s="139">
        <v>152</v>
      </c>
      <c r="D61" s="140">
        <f t="shared" si="2"/>
        <v>233595000</v>
      </c>
      <c r="E61" s="141">
        <v>2939000</v>
      </c>
      <c r="F61" s="141">
        <v>14106000</v>
      </c>
      <c r="G61" s="141">
        <v>5196000</v>
      </c>
      <c r="H61" s="141">
        <v>4021000</v>
      </c>
      <c r="I61" s="141">
        <v>8540000</v>
      </c>
      <c r="J61" s="141">
        <v>1661000</v>
      </c>
      <c r="K61" s="141">
        <v>1855000</v>
      </c>
      <c r="L61" s="141">
        <v>3851000</v>
      </c>
      <c r="M61" s="141">
        <v>4907000</v>
      </c>
      <c r="N61" s="141">
        <v>1738000</v>
      </c>
      <c r="O61" s="141">
        <v>5801000</v>
      </c>
      <c r="P61" s="141">
        <v>1666000</v>
      </c>
      <c r="Q61" s="141">
        <v>3432000</v>
      </c>
      <c r="R61" s="141">
        <v>5248000</v>
      </c>
      <c r="S61" s="141">
        <v>1759000</v>
      </c>
      <c r="T61" s="141">
        <v>1634000</v>
      </c>
      <c r="U61" s="141">
        <v>3629000</v>
      </c>
      <c r="V61" s="141">
        <v>9300000</v>
      </c>
      <c r="W61" s="141">
        <v>7321000</v>
      </c>
      <c r="X61" s="141">
        <v>1741000</v>
      </c>
      <c r="Y61" s="141">
        <v>3464000</v>
      </c>
      <c r="Z61" s="141">
        <v>1820000</v>
      </c>
      <c r="AA61" s="141">
        <v>3167000</v>
      </c>
      <c r="AB61" s="141">
        <v>3900000</v>
      </c>
      <c r="AC61" s="141">
        <v>1701000</v>
      </c>
      <c r="AD61" s="141">
        <v>2268000</v>
      </c>
      <c r="AE61" s="141">
        <v>1684000</v>
      </c>
      <c r="AF61" s="141">
        <v>1638000</v>
      </c>
      <c r="AG61" s="141">
        <v>1826000</v>
      </c>
      <c r="AH61" s="141">
        <v>1452000</v>
      </c>
      <c r="AI61" s="141">
        <v>1624000</v>
      </c>
      <c r="AJ61" s="141">
        <v>1378000</v>
      </c>
      <c r="AK61" s="141">
        <v>2956000</v>
      </c>
      <c r="AL61" s="141">
        <v>1479000</v>
      </c>
      <c r="AM61" s="141">
        <v>1324000</v>
      </c>
      <c r="AN61" s="141">
        <v>1590000</v>
      </c>
      <c r="AO61" s="141">
        <v>1616000</v>
      </c>
      <c r="AP61" s="141">
        <v>1845000</v>
      </c>
      <c r="AQ61" s="141">
        <v>2064000</v>
      </c>
      <c r="AR61" s="141">
        <v>1693000</v>
      </c>
      <c r="AS61" s="141">
        <v>1647000</v>
      </c>
      <c r="AT61" s="141">
        <v>3364000</v>
      </c>
      <c r="AU61" s="141">
        <v>1517000</v>
      </c>
      <c r="AV61" s="141">
        <v>1169000</v>
      </c>
      <c r="AW61" s="141">
        <v>1219000</v>
      </c>
      <c r="AX61" s="141">
        <v>1429000</v>
      </c>
      <c r="AY61" s="141">
        <v>1508000</v>
      </c>
      <c r="AZ61" s="141">
        <v>1469000</v>
      </c>
      <c r="BA61" s="141">
        <v>1712000</v>
      </c>
      <c r="BB61" s="141">
        <v>986000</v>
      </c>
      <c r="BC61" s="141">
        <v>1381000</v>
      </c>
      <c r="BD61" s="141">
        <v>1257000</v>
      </c>
      <c r="BE61" s="141">
        <v>5154000</v>
      </c>
      <c r="BF61" s="141">
        <v>1557000</v>
      </c>
      <c r="BG61" s="141">
        <v>1662000</v>
      </c>
      <c r="BH61" s="141">
        <v>1265000</v>
      </c>
      <c r="BI61" s="141">
        <v>1223000</v>
      </c>
      <c r="BJ61" s="141">
        <v>1324000</v>
      </c>
      <c r="BK61" s="141">
        <v>1163000</v>
      </c>
      <c r="BL61" s="141">
        <v>3543000</v>
      </c>
      <c r="BM61" s="141">
        <v>1162000</v>
      </c>
      <c r="BN61" s="141">
        <v>1463000</v>
      </c>
      <c r="BO61" s="141">
        <v>1628000</v>
      </c>
      <c r="BP61" s="141">
        <v>1386000</v>
      </c>
      <c r="BQ61" s="141">
        <v>1819000</v>
      </c>
      <c r="BR61" s="141">
        <v>1265000</v>
      </c>
      <c r="BS61" s="141">
        <v>1129000</v>
      </c>
      <c r="BT61" s="141">
        <v>1260000</v>
      </c>
      <c r="BU61" s="141">
        <v>1395000</v>
      </c>
      <c r="BV61" s="141">
        <v>1238000</v>
      </c>
      <c r="BW61" s="141">
        <v>1359000</v>
      </c>
      <c r="BX61" s="141">
        <v>1305000</v>
      </c>
      <c r="BY61" s="141">
        <v>2042000</v>
      </c>
      <c r="BZ61" s="141">
        <v>1726000</v>
      </c>
      <c r="CA61" s="141">
        <v>1758000</v>
      </c>
      <c r="CB61" s="141">
        <v>1472000</v>
      </c>
      <c r="CC61" s="141">
        <v>1691000</v>
      </c>
      <c r="CD61" s="141">
        <v>1735000</v>
      </c>
      <c r="CE61" s="141">
        <v>1668000</v>
      </c>
      <c r="CF61" s="141">
        <v>1795000</v>
      </c>
      <c r="CG61" s="141">
        <v>1683000</v>
      </c>
      <c r="CH61" s="141">
        <v>1754000</v>
      </c>
      <c r="CI61" s="141">
        <v>1658000</v>
      </c>
      <c r="CJ61" s="141">
        <v>2074000</v>
      </c>
      <c r="CK61" s="141">
        <v>1648000</v>
      </c>
      <c r="CL61" s="141">
        <v>1682000</v>
      </c>
      <c r="CM61" s="141">
        <v>1477000</v>
      </c>
      <c r="CN61" s="141">
        <v>1577000</v>
      </c>
      <c r="CO61" s="141">
        <v>1880000</v>
      </c>
      <c r="CP61" s="141">
        <v>1656000</v>
      </c>
      <c r="CQ61" s="141">
        <v>1647000</v>
      </c>
      <c r="CR61" s="141">
        <v>1620000</v>
      </c>
      <c r="CS61" s="141">
        <v>1526000</v>
      </c>
      <c r="CT61" s="141">
        <v>1612000</v>
      </c>
      <c r="CU61" s="141">
        <v>1508000</v>
      </c>
      <c r="CV61" s="141">
        <v>1497000</v>
      </c>
      <c r="CW61" s="141">
        <v>1236000</v>
      </c>
      <c r="CX61" s="141">
        <v>1279000</v>
      </c>
      <c r="CY61" s="141">
        <v>1248000</v>
      </c>
      <c r="CZ61" s="141">
        <v>5286000</v>
      </c>
      <c r="DA61" s="141">
        <v>1368000</v>
      </c>
    </row>
    <row r="62" spans="1:105" s="142" customFormat="1" ht="32.4">
      <c r="A62" s="262"/>
      <c r="B62" s="138" t="s">
        <v>163</v>
      </c>
      <c r="C62" s="139">
        <v>161</v>
      </c>
      <c r="D62" s="140">
        <f t="shared" si="2"/>
        <v>199693000</v>
      </c>
      <c r="E62" s="141">
        <v>2620000</v>
      </c>
      <c r="F62" s="141">
        <v>12667000</v>
      </c>
      <c r="G62" s="141">
        <v>4676000</v>
      </c>
      <c r="H62" s="141">
        <v>3478000</v>
      </c>
      <c r="I62" s="141">
        <v>7559000</v>
      </c>
      <c r="J62" s="141">
        <v>1519000</v>
      </c>
      <c r="K62" s="141">
        <v>1599000</v>
      </c>
      <c r="L62" s="141">
        <v>3430000</v>
      </c>
      <c r="M62" s="141">
        <v>4404000</v>
      </c>
      <c r="N62" s="141">
        <v>1622000</v>
      </c>
      <c r="O62" s="141">
        <v>5188000</v>
      </c>
      <c r="P62" s="141">
        <v>1437000</v>
      </c>
      <c r="Q62" s="141">
        <v>2909000</v>
      </c>
      <c r="R62" s="141">
        <v>4791000</v>
      </c>
      <c r="S62" s="141">
        <v>1496000</v>
      </c>
      <c r="T62" s="141">
        <v>1354000</v>
      </c>
      <c r="U62" s="141">
        <v>2928000</v>
      </c>
      <c r="V62" s="141">
        <v>8140000</v>
      </c>
      <c r="W62" s="141">
        <v>6551000</v>
      </c>
      <c r="X62" s="141">
        <v>1636000</v>
      </c>
      <c r="Y62" s="141">
        <v>3090000</v>
      </c>
      <c r="Z62" s="141">
        <v>1569000</v>
      </c>
      <c r="AA62" s="141">
        <v>2759000</v>
      </c>
      <c r="AB62" s="141">
        <v>3351000</v>
      </c>
      <c r="AC62" s="141">
        <v>1439000</v>
      </c>
      <c r="AD62" s="141">
        <v>2084000</v>
      </c>
      <c r="AE62" s="141">
        <v>1498000</v>
      </c>
      <c r="AF62" s="141">
        <v>1418000</v>
      </c>
      <c r="AG62" s="141">
        <v>1634000</v>
      </c>
      <c r="AH62" s="141">
        <v>1231000</v>
      </c>
      <c r="AI62" s="141">
        <v>1476000</v>
      </c>
      <c r="AJ62" s="141">
        <v>1256000</v>
      </c>
      <c r="AK62" s="141">
        <v>2440000</v>
      </c>
      <c r="AL62" s="141">
        <v>1148000</v>
      </c>
      <c r="AM62" s="141">
        <v>1082000</v>
      </c>
      <c r="AN62" s="141">
        <v>1285000</v>
      </c>
      <c r="AO62" s="141">
        <v>1416000</v>
      </c>
      <c r="AP62" s="141">
        <v>1495000</v>
      </c>
      <c r="AQ62" s="141">
        <v>1687000</v>
      </c>
      <c r="AR62" s="141">
        <v>1315000</v>
      </c>
      <c r="AS62" s="141">
        <v>1322000</v>
      </c>
      <c r="AT62" s="141">
        <v>2703000</v>
      </c>
      <c r="AU62" s="141">
        <v>1223000</v>
      </c>
      <c r="AV62" s="141">
        <v>890000</v>
      </c>
      <c r="AW62" s="141">
        <v>1042000</v>
      </c>
      <c r="AX62" s="141">
        <v>1150000</v>
      </c>
      <c r="AY62" s="141">
        <v>1194000</v>
      </c>
      <c r="AZ62" s="141">
        <v>1173000</v>
      </c>
      <c r="BA62" s="141">
        <v>1360000</v>
      </c>
      <c r="BB62" s="141">
        <v>820000</v>
      </c>
      <c r="BC62" s="141">
        <v>1140000</v>
      </c>
      <c r="BD62" s="141">
        <v>981000</v>
      </c>
      <c r="BE62" s="141">
        <v>4390000</v>
      </c>
      <c r="BF62" s="141">
        <v>1207000</v>
      </c>
      <c r="BG62" s="141">
        <v>1296000</v>
      </c>
      <c r="BH62" s="141">
        <v>1046000</v>
      </c>
      <c r="BI62" s="141">
        <v>815000</v>
      </c>
      <c r="BJ62" s="141">
        <v>967000</v>
      </c>
      <c r="BK62" s="141">
        <v>867000</v>
      </c>
      <c r="BL62" s="141">
        <v>2941000</v>
      </c>
      <c r="BM62" s="141">
        <v>838000</v>
      </c>
      <c r="BN62" s="141">
        <v>1194000</v>
      </c>
      <c r="BO62" s="141">
        <v>1338000</v>
      </c>
      <c r="BP62" s="141">
        <v>1178000</v>
      </c>
      <c r="BQ62" s="141">
        <v>1443000</v>
      </c>
      <c r="BR62" s="141">
        <v>968000</v>
      </c>
      <c r="BS62" s="141">
        <v>835000</v>
      </c>
      <c r="BT62" s="141">
        <v>1009000</v>
      </c>
      <c r="BU62" s="141">
        <v>1096000</v>
      </c>
      <c r="BV62" s="141">
        <v>1157000</v>
      </c>
      <c r="BW62" s="141">
        <v>1041000</v>
      </c>
      <c r="BX62" s="141">
        <v>1063000</v>
      </c>
      <c r="BY62" s="141">
        <v>1796000</v>
      </c>
      <c r="BZ62" s="141">
        <v>1547000</v>
      </c>
      <c r="CA62" s="141">
        <v>1367000</v>
      </c>
      <c r="CB62" s="141">
        <v>1290000</v>
      </c>
      <c r="CC62" s="141">
        <v>1473000</v>
      </c>
      <c r="CD62" s="141">
        <v>1577000</v>
      </c>
      <c r="CE62" s="141">
        <v>1368000</v>
      </c>
      <c r="CF62" s="141">
        <v>1502000</v>
      </c>
      <c r="CG62" s="141">
        <v>1489000</v>
      </c>
      <c r="CH62" s="141">
        <v>1521000</v>
      </c>
      <c r="CI62" s="141">
        <v>1429000</v>
      </c>
      <c r="CJ62" s="141">
        <v>1762000</v>
      </c>
      <c r="CK62" s="141">
        <v>1418000</v>
      </c>
      <c r="CL62" s="141">
        <v>1404000</v>
      </c>
      <c r="CM62" s="141">
        <v>1276000</v>
      </c>
      <c r="CN62" s="141">
        <v>1411000</v>
      </c>
      <c r="CO62" s="141">
        <v>1629000</v>
      </c>
      <c r="CP62" s="141">
        <v>1495000</v>
      </c>
      <c r="CQ62" s="141">
        <v>1375000</v>
      </c>
      <c r="CR62" s="141">
        <v>1357000</v>
      </c>
      <c r="CS62" s="141">
        <v>1359000</v>
      </c>
      <c r="CT62" s="141">
        <v>1307000</v>
      </c>
      <c r="CU62" s="141">
        <v>1267000</v>
      </c>
      <c r="CV62" s="141">
        <v>1202000</v>
      </c>
      <c r="CW62" s="141">
        <v>1030000</v>
      </c>
      <c r="CX62" s="141">
        <v>991000</v>
      </c>
      <c r="CY62" s="141">
        <v>1007000</v>
      </c>
      <c r="CZ62" s="141">
        <v>4624000</v>
      </c>
      <c r="DA62" s="141">
        <v>1056000</v>
      </c>
    </row>
    <row r="63" spans="1:105" s="142" customFormat="1">
      <c r="A63" s="262"/>
      <c r="B63" s="138" t="s">
        <v>164</v>
      </c>
      <c r="C63" s="139">
        <v>181</v>
      </c>
      <c r="D63" s="140">
        <f t="shared" si="2"/>
        <v>46447000</v>
      </c>
      <c r="E63" s="141">
        <v>621000</v>
      </c>
      <c r="F63" s="141">
        <v>3108000</v>
      </c>
      <c r="G63" s="141">
        <v>1162000</v>
      </c>
      <c r="H63" s="141">
        <v>822000</v>
      </c>
      <c r="I63" s="141">
        <v>1827000</v>
      </c>
      <c r="J63" s="141">
        <v>385000</v>
      </c>
      <c r="K63" s="141">
        <v>396000</v>
      </c>
      <c r="L63" s="141">
        <v>850000</v>
      </c>
      <c r="M63" s="141">
        <v>1076000</v>
      </c>
      <c r="N63" s="141">
        <v>423000</v>
      </c>
      <c r="O63" s="141">
        <v>1295000</v>
      </c>
      <c r="P63" s="141">
        <v>353000</v>
      </c>
      <c r="Q63" s="141">
        <v>673000</v>
      </c>
      <c r="R63" s="141">
        <v>1190000</v>
      </c>
      <c r="S63" s="141">
        <v>369000</v>
      </c>
      <c r="T63" s="141">
        <v>324000</v>
      </c>
      <c r="U63" s="141">
        <v>613000</v>
      </c>
      <c r="V63" s="141">
        <v>1936000</v>
      </c>
      <c r="W63" s="141">
        <v>1614000</v>
      </c>
      <c r="X63" s="141">
        <v>427000</v>
      </c>
      <c r="Y63" s="141">
        <v>760000</v>
      </c>
      <c r="Z63" s="141">
        <v>399000</v>
      </c>
      <c r="AA63" s="141">
        <v>640000</v>
      </c>
      <c r="AB63" s="141">
        <v>780000</v>
      </c>
      <c r="AC63" s="141">
        <v>350000</v>
      </c>
      <c r="AD63" s="141">
        <v>525000</v>
      </c>
      <c r="AE63" s="141">
        <v>362000</v>
      </c>
      <c r="AF63" s="141">
        <v>331000</v>
      </c>
      <c r="AG63" s="141">
        <v>408000</v>
      </c>
      <c r="AH63" s="141">
        <v>291000</v>
      </c>
      <c r="AI63" s="141">
        <v>374000</v>
      </c>
      <c r="AJ63" s="141">
        <v>318000</v>
      </c>
      <c r="AK63" s="141">
        <v>509000</v>
      </c>
      <c r="AL63" s="141">
        <v>231000</v>
      </c>
      <c r="AM63" s="141">
        <v>235000</v>
      </c>
      <c r="AN63" s="141">
        <v>279000</v>
      </c>
      <c r="AO63" s="141">
        <v>348000</v>
      </c>
      <c r="AP63" s="141">
        <v>343000</v>
      </c>
      <c r="AQ63" s="141">
        <v>360000</v>
      </c>
      <c r="AR63" s="141">
        <v>277000</v>
      </c>
      <c r="AS63" s="141">
        <v>289000</v>
      </c>
      <c r="AT63" s="141">
        <v>564000</v>
      </c>
      <c r="AU63" s="141">
        <v>255000</v>
      </c>
      <c r="AV63" s="141">
        <v>183000</v>
      </c>
      <c r="AW63" s="141">
        <v>243000</v>
      </c>
      <c r="AX63" s="141">
        <v>250000</v>
      </c>
      <c r="AY63" s="141">
        <v>242000</v>
      </c>
      <c r="AZ63" s="141">
        <v>247000</v>
      </c>
      <c r="BA63" s="141">
        <v>278000</v>
      </c>
      <c r="BB63" s="141">
        <v>184000</v>
      </c>
      <c r="BC63" s="141">
        <v>255000</v>
      </c>
      <c r="BD63" s="141">
        <v>185000</v>
      </c>
      <c r="BE63" s="141">
        <v>1052000</v>
      </c>
      <c r="BF63" s="141">
        <v>245000</v>
      </c>
      <c r="BG63" s="141">
        <v>252000</v>
      </c>
      <c r="BH63" s="141">
        <v>241000</v>
      </c>
      <c r="BI63" s="141">
        <v>96000</v>
      </c>
      <c r="BJ63" s="141">
        <v>167000</v>
      </c>
      <c r="BK63" s="141">
        <v>163000</v>
      </c>
      <c r="BL63" s="141">
        <v>686000</v>
      </c>
      <c r="BM63" s="141">
        <v>141000</v>
      </c>
      <c r="BN63" s="141">
        <v>248000</v>
      </c>
      <c r="BO63" s="141">
        <v>292000</v>
      </c>
      <c r="BP63" s="141">
        <v>272000</v>
      </c>
      <c r="BQ63" s="141">
        <v>307000</v>
      </c>
      <c r="BR63" s="141">
        <v>206000</v>
      </c>
      <c r="BS63" s="141">
        <v>156000</v>
      </c>
      <c r="BT63" s="141">
        <v>225000</v>
      </c>
      <c r="BU63" s="141">
        <v>228000</v>
      </c>
      <c r="BV63" s="141">
        <v>275000</v>
      </c>
      <c r="BW63" s="141">
        <v>214000</v>
      </c>
      <c r="BX63" s="141">
        <v>229000</v>
      </c>
      <c r="BY63" s="141">
        <v>431000</v>
      </c>
      <c r="BZ63" s="141">
        <v>375000</v>
      </c>
      <c r="CA63" s="141">
        <v>289000</v>
      </c>
      <c r="CB63" s="141">
        <v>297000</v>
      </c>
      <c r="CC63" s="141">
        <v>346000</v>
      </c>
      <c r="CD63" s="141">
        <v>391000</v>
      </c>
      <c r="CE63" s="141">
        <v>307000</v>
      </c>
      <c r="CF63" s="141">
        <v>332000</v>
      </c>
      <c r="CG63" s="141">
        <v>357000</v>
      </c>
      <c r="CH63" s="141">
        <v>368000</v>
      </c>
      <c r="CI63" s="141">
        <v>345000</v>
      </c>
      <c r="CJ63" s="141">
        <v>404000</v>
      </c>
      <c r="CK63" s="141">
        <v>321000</v>
      </c>
      <c r="CL63" s="141">
        <v>311000</v>
      </c>
      <c r="CM63" s="141">
        <v>300000</v>
      </c>
      <c r="CN63" s="141">
        <v>329000</v>
      </c>
      <c r="CO63" s="141">
        <v>387000</v>
      </c>
      <c r="CP63" s="141">
        <v>362000</v>
      </c>
      <c r="CQ63" s="141">
        <v>309000</v>
      </c>
      <c r="CR63" s="141">
        <v>315000</v>
      </c>
      <c r="CS63" s="141">
        <v>344000</v>
      </c>
      <c r="CT63" s="141">
        <v>291000</v>
      </c>
      <c r="CU63" s="141">
        <v>281000</v>
      </c>
      <c r="CV63" s="141">
        <v>256000</v>
      </c>
      <c r="CW63" s="141">
        <v>218000</v>
      </c>
      <c r="CX63" s="141">
        <v>201000</v>
      </c>
      <c r="CY63" s="141">
        <v>211000</v>
      </c>
      <c r="CZ63" s="141">
        <v>1123000</v>
      </c>
      <c r="DA63" s="141">
        <v>192000</v>
      </c>
    </row>
    <row r="64" spans="1:105" s="142" customFormat="1">
      <c r="A64" s="262"/>
      <c r="B64" s="138" t="s">
        <v>165</v>
      </c>
      <c r="C64" s="139">
        <v>181</v>
      </c>
      <c r="D64" s="140">
        <f t="shared" si="2"/>
        <v>140541000</v>
      </c>
      <c r="E64" s="141">
        <v>1686000</v>
      </c>
      <c r="F64" s="141">
        <v>7729000</v>
      </c>
      <c r="G64" s="141">
        <v>2797000</v>
      </c>
      <c r="H64" s="141">
        <v>2333000</v>
      </c>
      <c r="I64" s="141">
        <v>4753000</v>
      </c>
      <c r="J64" s="141">
        <v>845000</v>
      </c>
      <c r="K64" s="141">
        <v>1000000</v>
      </c>
      <c r="L64" s="141">
        <v>2103000</v>
      </c>
      <c r="M64" s="141">
        <v>2699000</v>
      </c>
      <c r="N64" s="141">
        <v>835000</v>
      </c>
      <c r="O64" s="141">
        <v>3112000</v>
      </c>
      <c r="P64" s="141">
        <v>914000</v>
      </c>
      <c r="Q64" s="141">
        <v>2068000</v>
      </c>
      <c r="R64" s="141">
        <v>2798000</v>
      </c>
      <c r="S64" s="141">
        <v>961000</v>
      </c>
      <c r="T64" s="141">
        <v>974000</v>
      </c>
      <c r="U64" s="141">
        <v>2417000</v>
      </c>
      <c r="V64" s="141">
        <v>5389000</v>
      </c>
      <c r="W64" s="141">
        <v>4008000</v>
      </c>
      <c r="X64" s="141">
        <v>837000</v>
      </c>
      <c r="Y64" s="141">
        <v>1874000</v>
      </c>
      <c r="Z64" s="141">
        <v>983000</v>
      </c>
      <c r="AA64" s="141">
        <v>1878000</v>
      </c>
      <c r="AB64" s="141">
        <v>2296000</v>
      </c>
      <c r="AC64" s="141">
        <v>961000</v>
      </c>
      <c r="AD64" s="141">
        <v>1185000</v>
      </c>
      <c r="AE64" s="141">
        <v>937000</v>
      </c>
      <c r="AF64" s="141">
        <v>962000</v>
      </c>
      <c r="AG64" s="141">
        <v>967000</v>
      </c>
      <c r="AH64" s="141">
        <v>855000</v>
      </c>
      <c r="AI64" s="141">
        <v>825000</v>
      </c>
      <c r="AJ64" s="141">
        <v>703000</v>
      </c>
      <c r="AK64" s="141">
        <v>1992000</v>
      </c>
      <c r="AL64" s="141">
        <v>1046000</v>
      </c>
      <c r="AM64" s="141">
        <v>858000</v>
      </c>
      <c r="AN64" s="141">
        <v>1019000</v>
      </c>
      <c r="AO64" s="141">
        <v>861000</v>
      </c>
      <c r="AP64" s="141">
        <v>1162000</v>
      </c>
      <c r="AQ64" s="141">
        <v>1378000</v>
      </c>
      <c r="AR64" s="141">
        <v>1147000</v>
      </c>
      <c r="AS64" s="141">
        <v>1077000</v>
      </c>
      <c r="AT64" s="141">
        <v>2271000</v>
      </c>
      <c r="AU64" s="141">
        <v>1026000</v>
      </c>
      <c r="AV64" s="141">
        <v>767000</v>
      </c>
      <c r="AW64" s="141">
        <v>716000</v>
      </c>
      <c r="AX64" s="141">
        <v>985000</v>
      </c>
      <c r="AY64" s="141">
        <v>1021000</v>
      </c>
      <c r="AZ64" s="141">
        <v>995000</v>
      </c>
      <c r="BA64" s="141">
        <v>1157000</v>
      </c>
      <c r="BB64" s="141">
        <v>617000</v>
      </c>
      <c r="BC64" s="141">
        <v>862000</v>
      </c>
      <c r="BD64" s="141">
        <v>928000</v>
      </c>
      <c r="BE64" s="141">
        <v>2983000</v>
      </c>
      <c r="BF64" s="141">
        <v>1084000</v>
      </c>
      <c r="BG64" s="141">
        <v>1191000</v>
      </c>
      <c r="BH64" s="141">
        <v>742000</v>
      </c>
      <c r="BI64" s="141">
        <v>1098000</v>
      </c>
      <c r="BJ64" s="141">
        <v>1025000</v>
      </c>
      <c r="BK64" s="141">
        <v>846000</v>
      </c>
      <c r="BL64" s="141">
        <v>2126000</v>
      </c>
      <c r="BM64" s="141">
        <v>899000</v>
      </c>
      <c r="BN64" s="141">
        <v>1007000</v>
      </c>
      <c r="BO64" s="141">
        <v>1072000</v>
      </c>
      <c r="BP64" s="141">
        <v>771000</v>
      </c>
      <c r="BQ64" s="141">
        <v>1191000</v>
      </c>
      <c r="BR64" s="141">
        <v>857000</v>
      </c>
      <c r="BS64" s="141">
        <v>804000</v>
      </c>
      <c r="BT64" s="141">
        <v>781000</v>
      </c>
      <c r="BU64" s="141">
        <v>934000</v>
      </c>
      <c r="BV64" s="141">
        <v>823000</v>
      </c>
      <c r="BW64" s="141">
        <v>942000</v>
      </c>
      <c r="BX64" s="141">
        <v>843000</v>
      </c>
      <c r="BY64" s="141">
        <v>1204000</v>
      </c>
      <c r="BZ64" s="141">
        <v>1034000</v>
      </c>
      <c r="CA64" s="141">
        <v>1232000</v>
      </c>
      <c r="CB64" s="141">
        <v>905000</v>
      </c>
      <c r="CC64" s="141">
        <v>1051000</v>
      </c>
      <c r="CD64" s="141">
        <v>976000</v>
      </c>
      <c r="CE64" s="141">
        <v>1106000</v>
      </c>
      <c r="CF64" s="141">
        <v>1159000</v>
      </c>
      <c r="CG64" s="141">
        <v>1002000</v>
      </c>
      <c r="CH64" s="141">
        <v>1028000</v>
      </c>
      <c r="CI64" s="141">
        <v>1025000</v>
      </c>
      <c r="CJ64" s="141">
        <v>1328000</v>
      </c>
      <c r="CK64" s="141">
        <v>1065000</v>
      </c>
      <c r="CL64" s="141">
        <v>1076000</v>
      </c>
      <c r="CM64" s="141">
        <v>900000</v>
      </c>
      <c r="CN64" s="141">
        <v>1014000</v>
      </c>
      <c r="CO64" s="141">
        <v>1103000</v>
      </c>
      <c r="CP64" s="141">
        <v>1010000</v>
      </c>
      <c r="CQ64" s="141">
        <v>1107000</v>
      </c>
      <c r="CR64" s="141">
        <v>1052000</v>
      </c>
      <c r="CS64" s="141">
        <v>837000</v>
      </c>
      <c r="CT64" s="141">
        <v>1057000</v>
      </c>
      <c r="CU64" s="141">
        <v>1003000</v>
      </c>
      <c r="CV64" s="141">
        <v>1067000</v>
      </c>
      <c r="CW64" s="141">
        <v>856000</v>
      </c>
      <c r="CX64" s="141">
        <v>903000</v>
      </c>
      <c r="CY64" s="141">
        <v>817000</v>
      </c>
      <c r="CZ64" s="141">
        <v>2974000</v>
      </c>
      <c r="DA64" s="141">
        <v>1062000</v>
      </c>
    </row>
    <row r="65" spans="1:105" s="142" customFormat="1">
      <c r="A65" s="262"/>
      <c r="B65" s="138" t="s">
        <v>168</v>
      </c>
      <c r="C65" s="139">
        <v>183</v>
      </c>
      <c r="D65" s="140">
        <f>SUM(E65:DA65)</f>
        <v>3559000</v>
      </c>
      <c r="E65" s="141">
        <v>54000</v>
      </c>
      <c r="F65" s="141">
        <v>225000</v>
      </c>
      <c r="G65" s="141">
        <v>90000</v>
      </c>
      <c r="H65" s="141">
        <v>63000</v>
      </c>
      <c r="I65" s="141">
        <v>117000</v>
      </c>
      <c r="J65" s="141">
        <v>31000</v>
      </c>
      <c r="K65" s="141">
        <v>31000</v>
      </c>
      <c r="L65" s="141">
        <v>63000</v>
      </c>
      <c r="M65" s="141">
        <v>86000</v>
      </c>
      <c r="N65" s="141">
        <v>31000</v>
      </c>
      <c r="O65" s="141">
        <v>99000</v>
      </c>
      <c r="P65" s="141">
        <v>27000</v>
      </c>
      <c r="Q65" s="141">
        <v>45000</v>
      </c>
      <c r="R65" s="141">
        <v>86000</v>
      </c>
      <c r="S65" s="141">
        <v>27000</v>
      </c>
      <c r="T65" s="141">
        <v>32000</v>
      </c>
      <c r="U65" s="141">
        <v>50000</v>
      </c>
      <c r="V65" s="141">
        <v>140000</v>
      </c>
      <c r="W65" s="141">
        <v>117000</v>
      </c>
      <c r="X65" s="141">
        <v>31000</v>
      </c>
      <c r="Y65" s="141">
        <v>58000</v>
      </c>
      <c r="Z65" s="141">
        <v>31000</v>
      </c>
      <c r="AA65" s="141">
        <v>54000</v>
      </c>
      <c r="AB65" s="141">
        <v>59000</v>
      </c>
      <c r="AC65" s="141">
        <v>27000</v>
      </c>
      <c r="AD65" s="141">
        <v>36000</v>
      </c>
      <c r="AE65" s="141">
        <v>31000</v>
      </c>
      <c r="AF65" s="141">
        <v>27000</v>
      </c>
      <c r="AG65" s="141">
        <v>36000</v>
      </c>
      <c r="AH65" s="141">
        <v>27000</v>
      </c>
      <c r="AI65" s="141">
        <v>31000</v>
      </c>
      <c r="AJ65" s="141">
        <v>22000</v>
      </c>
      <c r="AK65" s="141">
        <v>45000</v>
      </c>
      <c r="AL65" s="141">
        <v>22000</v>
      </c>
      <c r="AM65" s="141">
        <v>18000</v>
      </c>
      <c r="AN65" s="141">
        <v>27000</v>
      </c>
      <c r="AO65" s="141">
        <v>27000</v>
      </c>
      <c r="AP65" s="141">
        <v>27000</v>
      </c>
      <c r="AQ65" s="141">
        <v>32000</v>
      </c>
      <c r="AR65" s="141">
        <v>27000</v>
      </c>
      <c r="AS65" s="141">
        <v>36000</v>
      </c>
      <c r="AT65" s="141">
        <v>45000</v>
      </c>
      <c r="AU65" s="141">
        <v>27000</v>
      </c>
      <c r="AV65" s="141">
        <v>13000</v>
      </c>
      <c r="AW65" s="141">
        <v>18000</v>
      </c>
      <c r="AX65" s="141">
        <v>27000</v>
      </c>
      <c r="AY65" s="141">
        <v>13000</v>
      </c>
      <c r="AZ65" s="141">
        <v>13000</v>
      </c>
      <c r="BA65" s="141">
        <v>18000</v>
      </c>
      <c r="BB65" s="141">
        <v>13000</v>
      </c>
      <c r="BC65" s="141">
        <v>13000</v>
      </c>
      <c r="BD65" s="141">
        <v>13000</v>
      </c>
      <c r="BE65" s="141">
        <v>76000</v>
      </c>
      <c r="BF65" s="141">
        <v>27000</v>
      </c>
      <c r="BG65" s="141">
        <v>22000</v>
      </c>
      <c r="BH65" s="141">
        <v>13000</v>
      </c>
      <c r="BI65" s="141">
        <v>14000</v>
      </c>
      <c r="BJ65" s="141">
        <v>14000</v>
      </c>
      <c r="BK65" s="141">
        <v>9000</v>
      </c>
      <c r="BL65" s="141">
        <v>54000</v>
      </c>
      <c r="BM65" s="141">
        <v>18000</v>
      </c>
      <c r="BN65" s="141">
        <v>18000</v>
      </c>
      <c r="BO65" s="141">
        <v>27000</v>
      </c>
      <c r="BP65" s="141">
        <v>13000</v>
      </c>
      <c r="BQ65" s="141">
        <v>13000</v>
      </c>
      <c r="BR65" s="141">
        <v>13000</v>
      </c>
      <c r="BS65" s="141">
        <v>9000</v>
      </c>
      <c r="BT65" s="141">
        <v>9000</v>
      </c>
      <c r="BU65" s="141">
        <v>18000</v>
      </c>
      <c r="BV65" s="141">
        <v>13000</v>
      </c>
      <c r="BW65" s="141">
        <v>14000</v>
      </c>
      <c r="BX65" s="141">
        <v>18000</v>
      </c>
      <c r="BY65" s="141">
        <v>31000</v>
      </c>
      <c r="BZ65" s="141">
        <v>27000</v>
      </c>
      <c r="CA65" s="141">
        <v>22000</v>
      </c>
      <c r="CB65" s="141">
        <v>22000</v>
      </c>
      <c r="CC65" s="141">
        <v>31000</v>
      </c>
      <c r="CD65" s="141">
        <v>36000</v>
      </c>
      <c r="CE65" s="141">
        <v>36000</v>
      </c>
      <c r="CF65" s="141">
        <v>22000</v>
      </c>
      <c r="CG65" s="141">
        <v>22000</v>
      </c>
      <c r="CH65" s="141">
        <v>31000</v>
      </c>
      <c r="CI65" s="141">
        <v>31000</v>
      </c>
      <c r="CJ65" s="141">
        <v>31000</v>
      </c>
      <c r="CK65" s="141">
        <v>31000</v>
      </c>
      <c r="CL65" s="141">
        <v>27000</v>
      </c>
      <c r="CM65" s="141">
        <v>18000</v>
      </c>
      <c r="CN65" s="141">
        <v>27000</v>
      </c>
      <c r="CO65" s="141">
        <v>31000</v>
      </c>
      <c r="CP65" s="141">
        <v>13000</v>
      </c>
      <c r="CQ65" s="141">
        <v>27000</v>
      </c>
      <c r="CR65" s="141">
        <v>31000</v>
      </c>
      <c r="CS65" s="141">
        <v>27000</v>
      </c>
      <c r="CT65" s="141">
        <v>22000</v>
      </c>
      <c r="CU65" s="141">
        <v>27000</v>
      </c>
      <c r="CV65" s="141">
        <v>18000</v>
      </c>
      <c r="CW65" s="141">
        <v>13000</v>
      </c>
      <c r="CX65" s="141">
        <v>18000</v>
      </c>
      <c r="CY65" s="141">
        <v>18000</v>
      </c>
      <c r="CZ65" s="141">
        <v>90000</v>
      </c>
      <c r="DA65" s="141">
        <v>9000</v>
      </c>
    </row>
    <row r="66" spans="1:105" s="142" customFormat="1">
      <c r="A66" s="262"/>
      <c r="B66" s="138" t="s">
        <v>166</v>
      </c>
      <c r="C66" s="139" t="s">
        <v>167</v>
      </c>
      <c r="D66" s="140">
        <f t="shared" si="2"/>
        <v>16135000</v>
      </c>
      <c r="E66" s="141">
        <v>112000</v>
      </c>
      <c r="F66" s="141">
        <v>496000</v>
      </c>
      <c r="G66" s="141">
        <v>288000</v>
      </c>
      <c r="H66" s="141">
        <v>243000</v>
      </c>
      <c r="I66" s="141">
        <v>368000</v>
      </c>
      <c r="J66" s="141">
        <v>128000</v>
      </c>
      <c r="K66" s="141">
        <v>147000</v>
      </c>
      <c r="L66" s="141">
        <v>256000</v>
      </c>
      <c r="M66" s="141">
        <v>275000</v>
      </c>
      <c r="N66" s="141">
        <v>128000</v>
      </c>
      <c r="O66" s="141">
        <v>294000</v>
      </c>
      <c r="P66" s="141">
        <v>144000</v>
      </c>
      <c r="Q66" s="141">
        <v>420000</v>
      </c>
      <c r="R66" s="141">
        <v>288000</v>
      </c>
      <c r="S66" s="141">
        <v>112000</v>
      </c>
      <c r="T66" s="141">
        <v>144000</v>
      </c>
      <c r="U66" s="141">
        <v>166000</v>
      </c>
      <c r="V66" s="141">
        <v>416000</v>
      </c>
      <c r="W66" s="141">
        <v>352000</v>
      </c>
      <c r="X66" s="141">
        <v>128000</v>
      </c>
      <c r="Y66" s="141">
        <v>234000</v>
      </c>
      <c r="Z66" s="141">
        <v>160000</v>
      </c>
      <c r="AA66" s="141">
        <v>256000</v>
      </c>
      <c r="AB66" s="141">
        <v>230000</v>
      </c>
      <c r="AC66" s="141">
        <v>144000</v>
      </c>
      <c r="AD66" s="141">
        <v>144000</v>
      </c>
      <c r="AE66" s="141">
        <v>112000</v>
      </c>
      <c r="AF66" s="141">
        <v>112000</v>
      </c>
      <c r="AG66" s="141">
        <v>128000</v>
      </c>
      <c r="AH66" s="141">
        <v>128000</v>
      </c>
      <c r="AI66" s="141">
        <v>128000</v>
      </c>
      <c r="AJ66" s="141">
        <v>112000</v>
      </c>
      <c r="AK66" s="141">
        <v>176000</v>
      </c>
      <c r="AL66" s="141">
        <v>115000</v>
      </c>
      <c r="AM66" s="141">
        <v>99000</v>
      </c>
      <c r="AN66" s="141">
        <v>128000</v>
      </c>
      <c r="AO66" s="141">
        <v>115000</v>
      </c>
      <c r="AP66" s="141">
        <v>147000</v>
      </c>
      <c r="AQ66" s="141">
        <v>160000</v>
      </c>
      <c r="AR66" s="141">
        <v>139000</v>
      </c>
      <c r="AS66" s="141">
        <v>131000</v>
      </c>
      <c r="AT66" s="141">
        <v>240000</v>
      </c>
      <c r="AU66" s="141">
        <v>110000</v>
      </c>
      <c r="AV66" s="141">
        <v>112000</v>
      </c>
      <c r="AW66" s="141">
        <v>112000</v>
      </c>
      <c r="AX66" s="141">
        <v>160000</v>
      </c>
      <c r="AY66" s="141">
        <v>99000</v>
      </c>
      <c r="AZ66" s="141">
        <v>199000</v>
      </c>
      <c r="BA66" s="141">
        <v>128000</v>
      </c>
      <c r="BB66" s="141">
        <v>110000</v>
      </c>
      <c r="BC66" s="141">
        <v>144000</v>
      </c>
      <c r="BD66" s="141">
        <v>76000</v>
      </c>
      <c r="BE66" s="141">
        <v>336000</v>
      </c>
      <c r="BF66" s="141">
        <v>144000</v>
      </c>
      <c r="BG66" s="141">
        <v>131000</v>
      </c>
      <c r="BH66" s="141">
        <v>102000</v>
      </c>
      <c r="BI66" s="141">
        <v>107000</v>
      </c>
      <c r="BJ66" s="141">
        <v>115000</v>
      </c>
      <c r="BK66" s="141">
        <v>128000</v>
      </c>
      <c r="BL66" s="141">
        <v>251000</v>
      </c>
      <c r="BM66" s="141">
        <v>97000</v>
      </c>
      <c r="BN66" s="141">
        <v>112000</v>
      </c>
      <c r="BO66" s="141">
        <v>128000</v>
      </c>
      <c r="BP66" s="141">
        <v>115000</v>
      </c>
      <c r="BQ66" s="141">
        <v>144000</v>
      </c>
      <c r="BR66" s="141">
        <v>118000</v>
      </c>
      <c r="BS66" s="141">
        <v>89000</v>
      </c>
      <c r="BT66" s="141">
        <v>112000</v>
      </c>
      <c r="BU66" s="141">
        <v>123000</v>
      </c>
      <c r="BV66" s="141">
        <v>112000</v>
      </c>
      <c r="BW66" s="141">
        <v>115000</v>
      </c>
      <c r="BX66" s="141">
        <v>196000</v>
      </c>
      <c r="BY66" s="141">
        <v>128000</v>
      </c>
      <c r="BZ66" s="141">
        <v>128000</v>
      </c>
      <c r="CA66" s="141">
        <v>144000</v>
      </c>
      <c r="CB66" s="141">
        <v>86000</v>
      </c>
      <c r="CC66" s="141">
        <v>224000</v>
      </c>
      <c r="CD66" s="141">
        <v>102000</v>
      </c>
      <c r="CE66" s="141">
        <v>144000</v>
      </c>
      <c r="CF66" s="141">
        <v>118000</v>
      </c>
      <c r="CG66" s="141">
        <v>112000</v>
      </c>
      <c r="CH66" s="141">
        <v>115000</v>
      </c>
      <c r="CI66" s="141">
        <v>128000</v>
      </c>
      <c r="CJ66" s="141">
        <v>163000</v>
      </c>
      <c r="CK66" s="141">
        <v>115000</v>
      </c>
      <c r="CL66" s="141">
        <v>128000</v>
      </c>
      <c r="CM66" s="141">
        <v>112000</v>
      </c>
      <c r="CN66" s="141">
        <v>123000</v>
      </c>
      <c r="CO66" s="141">
        <v>144000</v>
      </c>
      <c r="CP66" s="141">
        <v>102000</v>
      </c>
      <c r="CQ66" s="141">
        <v>131000</v>
      </c>
      <c r="CR66" s="141">
        <v>144000</v>
      </c>
      <c r="CS66" s="141">
        <v>112000</v>
      </c>
      <c r="CT66" s="141">
        <v>126000</v>
      </c>
      <c r="CU66" s="141">
        <v>96000</v>
      </c>
      <c r="CV66" s="141">
        <v>128000</v>
      </c>
      <c r="CW66" s="141">
        <v>99000</v>
      </c>
      <c r="CX66" s="141">
        <v>102000</v>
      </c>
      <c r="CY66" s="141">
        <v>196000</v>
      </c>
      <c r="CZ66" s="141">
        <v>315000</v>
      </c>
      <c r="DA66" s="141">
        <v>102000</v>
      </c>
    </row>
    <row r="67" spans="1:105" s="142" customFormat="1">
      <c r="A67" s="262"/>
      <c r="B67" s="143" t="s">
        <v>169</v>
      </c>
      <c r="C67" s="139" t="s">
        <v>146</v>
      </c>
      <c r="D67" s="140">
        <f t="shared" si="2"/>
        <v>89000</v>
      </c>
      <c r="E67" s="141">
        <v>0</v>
      </c>
      <c r="F67" s="141">
        <v>0</v>
      </c>
      <c r="G67" s="141">
        <v>10000</v>
      </c>
      <c r="H67" s="141">
        <v>20000</v>
      </c>
      <c r="I67" s="141">
        <v>0</v>
      </c>
      <c r="J67" s="141">
        <v>0</v>
      </c>
      <c r="K67" s="141">
        <v>10000</v>
      </c>
      <c r="L67" s="141">
        <v>30000</v>
      </c>
      <c r="M67" s="141">
        <v>0</v>
      </c>
      <c r="N67" s="141">
        <v>0</v>
      </c>
      <c r="O67" s="141">
        <v>0</v>
      </c>
      <c r="P67" s="141">
        <v>0</v>
      </c>
      <c r="Q67" s="141">
        <v>0</v>
      </c>
      <c r="R67" s="141">
        <v>0</v>
      </c>
      <c r="S67" s="141">
        <v>0</v>
      </c>
      <c r="T67" s="141">
        <v>0</v>
      </c>
      <c r="U67" s="141">
        <v>5000</v>
      </c>
      <c r="V67" s="141">
        <v>0</v>
      </c>
      <c r="W67" s="141">
        <v>0</v>
      </c>
      <c r="X67" s="141">
        <v>0</v>
      </c>
      <c r="Y67" s="141">
        <v>0</v>
      </c>
      <c r="Z67" s="141">
        <v>0</v>
      </c>
      <c r="AA67" s="141">
        <v>0</v>
      </c>
      <c r="AB67" s="141">
        <v>0</v>
      </c>
      <c r="AC67" s="141">
        <v>0</v>
      </c>
      <c r="AD67" s="141">
        <v>0</v>
      </c>
      <c r="AE67" s="141">
        <v>0</v>
      </c>
      <c r="AF67" s="141">
        <v>0</v>
      </c>
      <c r="AG67" s="141">
        <v>0</v>
      </c>
      <c r="AH67" s="141">
        <v>0</v>
      </c>
      <c r="AI67" s="141">
        <v>0</v>
      </c>
      <c r="AJ67" s="141">
        <v>0</v>
      </c>
      <c r="AK67" s="141">
        <v>0</v>
      </c>
      <c r="AL67" s="141">
        <v>0</v>
      </c>
      <c r="AM67" s="141">
        <v>0</v>
      </c>
      <c r="AN67" s="141">
        <v>0</v>
      </c>
      <c r="AO67" s="141">
        <v>0</v>
      </c>
      <c r="AP67" s="141">
        <v>0</v>
      </c>
      <c r="AQ67" s="141">
        <v>0</v>
      </c>
      <c r="AR67" s="141">
        <v>0</v>
      </c>
      <c r="AS67" s="141">
        <v>0</v>
      </c>
      <c r="AT67" s="141">
        <v>0</v>
      </c>
      <c r="AU67" s="141">
        <v>0</v>
      </c>
      <c r="AV67" s="141">
        <v>0</v>
      </c>
      <c r="AW67" s="141">
        <v>0</v>
      </c>
      <c r="AX67" s="141">
        <v>0</v>
      </c>
      <c r="AY67" s="141">
        <v>0</v>
      </c>
      <c r="AZ67" s="141">
        <v>0</v>
      </c>
      <c r="BA67" s="141">
        <v>0</v>
      </c>
      <c r="BB67" s="141">
        <v>0</v>
      </c>
      <c r="BC67" s="141">
        <v>0</v>
      </c>
      <c r="BD67" s="141">
        <v>0</v>
      </c>
      <c r="BE67" s="141">
        <v>10000</v>
      </c>
      <c r="BF67" s="141">
        <v>0</v>
      </c>
      <c r="BG67" s="141">
        <v>0</v>
      </c>
      <c r="BH67" s="141">
        <v>0</v>
      </c>
      <c r="BI67" s="141">
        <v>0</v>
      </c>
      <c r="BJ67" s="141">
        <v>0</v>
      </c>
      <c r="BK67" s="141">
        <v>0</v>
      </c>
      <c r="BL67" s="141">
        <v>0</v>
      </c>
      <c r="BM67" s="141">
        <v>0</v>
      </c>
      <c r="BN67" s="141">
        <v>0</v>
      </c>
      <c r="BO67" s="141">
        <v>0</v>
      </c>
      <c r="BP67" s="141">
        <v>0</v>
      </c>
      <c r="BQ67" s="141">
        <v>0</v>
      </c>
      <c r="BR67" s="141">
        <v>0</v>
      </c>
      <c r="BS67" s="141">
        <v>0</v>
      </c>
      <c r="BT67" s="141">
        <v>0</v>
      </c>
      <c r="BU67" s="141">
        <v>0</v>
      </c>
      <c r="BV67" s="141">
        <v>0</v>
      </c>
      <c r="BW67" s="141">
        <v>0</v>
      </c>
      <c r="BX67" s="141">
        <v>0</v>
      </c>
      <c r="BY67" s="141">
        <v>0</v>
      </c>
      <c r="BZ67" s="141">
        <v>0</v>
      </c>
      <c r="CA67" s="141">
        <v>0</v>
      </c>
      <c r="CB67" s="141">
        <v>0</v>
      </c>
      <c r="CC67" s="141">
        <v>0</v>
      </c>
      <c r="CD67" s="141">
        <v>0</v>
      </c>
      <c r="CE67" s="141">
        <v>0</v>
      </c>
      <c r="CF67" s="141">
        <v>0</v>
      </c>
      <c r="CG67" s="141">
        <v>0</v>
      </c>
      <c r="CH67" s="141">
        <v>0</v>
      </c>
      <c r="CI67" s="141">
        <v>0</v>
      </c>
      <c r="CJ67" s="141">
        <v>0</v>
      </c>
      <c r="CK67" s="141">
        <v>0</v>
      </c>
      <c r="CL67" s="141">
        <v>0</v>
      </c>
      <c r="CM67" s="141">
        <v>0</v>
      </c>
      <c r="CN67" s="141">
        <v>0</v>
      </c>
      <c r="CO67" s="141">
        <v>0</v>
      </c>
      <c r="CP67" s="141">
        <v>0</v>
      </c>
      <c r="CQ67" s="141">
        <v>0</v>
      </c>
      <c r="CR67" s="141">
        <v>0</v>
      </c>
      <c r="CS67" s="141">
        <v>0</v>
      </c>
      <c r="CT67" s="141">
        <v>0</v>
      </c>
      <c r="CU67" s="141">
        <v>0</v>
      </c>
      <c r="CV67" s="141">
        <v>0</v>
      </c>
      <c r="CW67" s="141">
        <v>0</v>
      </c>
      <c r="CX67" s="141">
        <v>0</v>
      </c>
      <c r="CY67" s="141">
        <v>0</v>
      </c>
      <c r="CZ67" s="141">
        <v>0</v>
      </c>
      <c r="DA67" s="141">
        <v>4000</v>
      </c>
    </row>
    <row r="68" spans="1:105" s="146" customFormat="1">
      <c r="A68" s="263"/>
      <c r="B68" s="144" t="s">
        <v>177</v>
      </c>
      <c r="C68" s="144"/>
      <c r="D68" s="145">
        <f>SUM(D47:D67)</f>
        <v>3009951000</v>
      </c>
      <c r="E68" s="145">
        <f>SUM(E47:E67)</f>
        <v>39263000</v>
      </c>
      <c r="F68" s="145">
        <f t="shared" ref="F68:BQ68" si="8">SUM(F47:F67)</f>
        <v>178478000</v>
      </c>
      <c r="G68" s="145">
        <f t="shared" si="8"/>
        <v>68856000</v>
      </c>
      <c r="H68" s="145">
        <f t="shared" si="8"/>
        <v>52299000</v>
      </c>
      <c r="I68" s="145">
        <f t="shared" si="8"/>
        <v>104785000</v>
      </c>
      <c r="J68" s="145">
        <f t="shared" si="8"/>
        <v>22204000</v>
      </c>
      <c r="K68" s="145">
        <f t="shared" si="8"/>
        <v>24433000</v>
      </c>
      <c r="L68" s="145">
        <f t="shared" si="8"/>
        <v>50273000</v>
      </c>
      <c r="M68" s="145">
        <f t="shared" si="8"/>
        <v>61937000</v>
      </c>
      <c r="N68" s="145">
        <f t="shared" si="8"/>
        <v>23301000</v>
      </c>
      <c r="O68" s="145">
        <f t="shared" si="8"/>
        <v>73404000</v>
      </c>
      <c r="P68" s="145">
        <f t="shared" si="8"/>
        <v>21876000</v>
      </c>
      <c r="Q68" s="145">
        <f t="shared" si="8"/>
        <v>43145000</v>
      </c>
      <c r="R68" s="145">
        <f t="shared" si="8"/>
        <v>67252000</v>
      </c>
      <c r="S68" s="145">
        <f t="shared" si="8"/>
        <v>22623000</v>
      </c>
      <c r="T68" s="145">
        <f t="shared" si="8"/>
        <v>20027000</v>
      </c>
      <c r="U68" s="145">
        <f t="shared" si="8"/>
        <v>46131000</v>
      </c>
      <c r="V68" s="145">
        <f t="shared" si="8"/>
        <v>113863000</v>
      </c>
      <c r="W68" s="145">
        <f t="shared" si="8"/>
        <v>92746000</v>
      </c>
      <c r="X68" s="145">
        <f t="shared" si="8"/>
        <v>24796000</v>
      </c>
      <c r="Y68" s="145">
        <f t="shared" si="8"/>
        <v>45117000</v>
      </c>
      <c r="Z68" s="145">
        <f t="shared" si="8"/>
        <v>23471000</v>
      </c>
      <c r="AA68" s="145">
        <f t="shared" si="8"/>
        <v>42117000</v>
      </c>
      <c r="AB68" s="145">
        <f t="shared" si="8"/>
        <v>49688000</v>
      </c>
      <c r="AC68" s="145">
        <f t="shared" si="8"/>
        <v>20567000</v>
      </c>
      <c r="AD68" s="145">
        <f t="shared" si="8"/>
        <v>29040000</v>
      </c>
      <c r="AE68" s="145">
        <f t="shared" si="8"/>
        <v>20618000</v>
      </c>
      <c r="AF68" s="145">
        <f t="shared" si="8"/>
        <v>22031000</v>
      </c>
      <c r="AG68" s="145">
        <f t="shared" si="8"/>
        <v>24065000</v>
      </c>
      <c r="AH68" s="145">
        <f t="shared" si="8"/>
        <v>17766000</v>
      </c>
      <c r="AI68" s="145">
        <f t="shared" si="8"/>
        <v>21063000</v>
      </c>
      <c r="AJ68" s="145">
        <f t="shared" si="8"/>
        <v>17028000</v>
      </c>
      <c r="AK68" s="145">
        <f t="shared" si="8"/>
        <v>37621000</v>
      </c>
      <c r="AL68" s="145">
        <f t="shared" si="8"/>
        <v>19232000</v>
      </c>
      <c r="AM68" s="145">
        <f t="shared" si="8"/>
        <v>17695000</v>
      </c>
      <c r="AN68" s="145">
        <f t="shared" si="8"/>
        <v>19972000</v>
      </c>
      <c r="AO68" s="145">
        <f t="shared" si="8"/>
        <v>21254000</v>
      </c>
      <c r="AP68" s="145">
        <f t="shared" si="8"/>
        <v>23954000</v>
      </c>
      <c r="AQ68" s="145">
        <f t="shared" si="8"/>
        <v>26465000</v>
      </c>
      <c r="AR68" s="145">
        <f t="shared" si="8"/>
        <v>21587000</v>
      </c>
      <c r="AS68" s="145">
        <f t="shared" si="8"/>
        <v>22038000</v>
      </c>
      <c r="AT68" s="145">
        <f t="shared" si="8"/>
        <v>41464000</v>
      </c>
      <c r="AU68" s="145">
        <f t="shared" si="8"/>
        <v>19672000</v>
      </c>
      <c r="AV68" s="145">
        <f t="shared" si="8"/>
        <v>13944000</v>
      </c>
      <c r="AW68" s="145">
        <f t="shared" si="8"/>
        <v>14916000</v>
      </c>
      <c r="AX68" s="145">
        <f t="shared" si="8"/>
        <v>19128000</v>
      </c>
      <c r="AY68" s="145">
        <f t="shared" si="8"/>
        <v>19413000</v>
      </c>
      <c r="AZ68" s="145">
        <f t="shared" si="8"/>
        <v>19242000</v>
      </c>
      <c r="BA68" s="145">
        <f t="shared" si="8"/>
        <v>22933000</v>
      </c>
      <c r="BB68" s="145">
        <f t="shared" si="8"/>
        <v>12219000</v>
      </c>
      <c r="BC68" s="145">
        <f t="shared" si="8"/>
        <v>18029000</v>
      </c>
      <c r="BD68" s="145">
        <f t="shared" si="8"/>
        <v>16374000</v>
      </c>
      <c r="BE68" s="145">
        <f t="shared" si="8"/>
        <v>64435000</v>
      </c>
      <c r="BF68" s="145">
        <f t="shared" si="8"/>
        <v>20015000</v>
      </c>
      <c r="BG68" s="145">
        <f t="shared" si="8"/>
        <v>20544000</v>
      </c>
      <c r="BH68" s="145">
        <f t="shared" si="8"/>
        <v>14906000</v>
      </c>
      <c r="BI68" s="145">
        <f t="shared" si="8"/>
        <v>15265000</v>
      </c>
      <c r="BJ68" s="145">
        <f t="shared" si="8"/>
        <v>16953000</v>
      </c>
      <c r="BK68" s="145">
        <f t="shared" si="8"/>
        <v>13754000</v>
      </c>
      <c r="BL68" s="145">
        <f t="shared" si="8"/>
        <v>46239000</v>
      </c>
      <c r="BM68" s="145">
        <f t="shared" si="8"/>
        <v>14978000</v>
      </c>
      <c r="BN68" s="145">
        <f t="shared" si="8"/>
        <v>18988000</v>
      </c>
      <c r="BO68" s="145">
        <f t="shared" si="8"/>
        <v>21270000</v>
      </c>
      <c r="BP68" s="145">
        <f t="shared" si="8"/>
        <v>18482000</v>
      </c>
      <c r="BQ68" s="145">
        <f t="shared" si="8"/>
        <v>23319000</v>
      </c>
      <c r="BR68" s="145">
        <f t="shared" ref="BR68:DA68" si="9">SUM(BR47:BR67)</f>
        <v>14951000</v>
      </c>
      <c r="BS68" s="145">
        <f t="shared" si="9"/>
        <v>14043000</v>
      </c>
      <c r="BT68" s="145">
        <f t="shared" si="9"/>
        <v>16031000</v>
      </c>
      <c r="BU68" s="145">
        <f t="shared" si="9"/>
        <v>18042000</v>
      </c>
      <c r="BV68" s="145">
        <f t="shared" si="9"/>
        <v>18569000</v>
      </c>
      <c r="BW68" s="145">
        <f t="shared" si="9"/>
        <v>17100000</v>
      </c>
      <c r="BX68" s="145">
        <f t="shared" si="9"/>
        <v>15886000</v>
      </c>
      <c r="BY68" s="145">
        <f t="shared" si="9"/>
        <v>26856000</v>
      </c>
      <c r="BZ68" s="145">
        <f t="shared" si="9"/>
        <v>24087000</v>
      </c>
      <c r="CA68" s="145">
        <f t="shared" si="9"/>
        <v>23596000</v>
      </c>
      <c r="CB68" s="145">
        <f t="shared" si="9"/>
        <v>18619000</v>
      </c>
      <c r="CC68" s="145">
        <f t="shared" si="9"/>
        <v>23095000</v>
      </c>
      <c r="CD68" s="145">
        <f t="shared" si="9"/>
        <v>24439000</v>
      </c>
      <c r="CE68" s="145">
        <f t="shared" si="9"/>
        <v>22611000</v>
      </c>
      <c r="CF68" s="145">
        <f t="shared" si="9"/>
        <v>23319000</v>
      </c>
      <c r="CG68" s="145">
        <f t="shared" si="9"/>
        <v>21565000</v>
      </c>
      <c r="CH68" s="145">
        <f t="shared" si="9"/>
        <v>23517000</v>
      </c>
      <c r="CI68" s="145">
        <f t="shared" si="9"/>
        <v>21589000</v>
      </c>
      <c r="CJ68" s="145">
        <f t="shared" si="9"/>
        <v>26387000</v>
      </c>
      <c r="CK68" s="145">
        <f t="shared" si="9"/>
        <v>22644000</v>
      </c>
      <c r="CL68" s="145">
        <f t="shared" si="9"/>
        <v>22789000</v>
      </c>
      <c r="CM68" s="145">
        <f t="shared" si="9"/>
        <v>19041000</v>
      </c>
      <c r="CN68" s="145">
        <f t="shared" si="9"/>
        <v>22499000</v>
      </c>
      <c r="CO68" s="145">
        <f t="shared" si="9"/>
        <v>24789000</v>
      </c>
      <c r="CP68" s="145">
        <f t="shared" si="9"/>
        <v>23679000</v>
      </c>
      <c r="CQ68" s="145">
        <f t="shared" si="9"/>
        <v>22723000</v>
      </c>
      <c r="CR68" s="145">
        <f t="shared" si="9"/>
        <v>21882000</v>
      </c>
      <c r="CS68" s="145">
        <f t="shared" si="9"/>
        <v>20798000</v>
      </c>
      <c r="CT68" s="145">
        <f t="shared" si="9"/>
        <v>21684000</v>
      </c>
      <c r="CU68" s="145">
        <f t="shared" si="9"/>
        <v>20583000</v>
      </c>
      <c r="CV68" s="145">
        <f t="shared" si="9"/>
        <v>20101000</v>
      </c>
      <c r="CW68" s="145">
        <f t="shared" si="9"/>
        <v>17472000</v>
      </c>
      <c r="CX68" s="145">
        <f t="shared" si="9"/>
        <v>15104000</v>
      </c>
      <c r="CY68" s="145">
        <f t="shared" si="9"/>
        <v>14973000</v>
      </c>
      <c r="CZ68" s="145">
        <f t="shared" si="9"/>
        <v>67310000</v>
      </c>
      <c r="DA68" s="145">
        <f t="shared" si="9"/>
        <v>17015000</v>
      </c>
    </row>
    <row r="69" spans="1:105" s="155" customFormat="1" ht="16.5" customHeight="1">
      <c r="A69" s="264" t="s">
        <v>170</v>
      </c>
      <c r="B69" s="151" t="s">
        <v>171</v>
      </c>
      <c r="C69" s="152">
        <v>161</v>
      </c>
      <c r="D69" s="153">
        <f t="shared" si="2"/>
        <v>570000</v>
      </c>
      <c r="E69" s="154">
        <v>0</v>
      </c>
      <c r="F69" s="154">
        <v>91000</v>
      </c>
      <c r="G69" s="154">
        <v>0</v>
      </c>
      <c r="H69" s="154">
        <v>0</v>
      </c>
      <c r="I69" s="154">
        <v>0</v>
      </c>
      <c r="J69" s="154">
        <v>32000</v>
      </c>
      <c r="K69" s="154">
        <v>0</v>
      </c>
      <c r="L69" s="154">
        <v>0</v>
      </c>
      <c r="M69" s="154">
        <v>0</v>
      </c>
      <c r="N69" s="154">
        <v>0</v>
      </c>
      <c r="O69" s="154">
        <v>0</v>
      </c>
      <c r="P69" s="154">
        <v>0</v>
      </c>
      <c r="Q69" s="154">
        <v>0</v>
      </c>
      <c r="R69" s="154">
        <v>0</v>
      </c>
      <c r="S69" s="154">
        <v>6000</v>
      </c>
      <c r="T69" s="154">
        <v>0</v>
      </c>
      <c r="U69" s="154">
        <v>0</v>
      </c>
      <c r="V69" s="154">
        <v>34000</v>
      </c>
      <c r="W69" s="154">
        <v>69000</v>
      </c>
      <c r="X69" s="154">
        <v>34000</v>
      </c>
      <c r="Y69" s="154">
        <v>63000</v>
      </c>
      <c r="Z69" s="154">
        <v>0</v>
      </c>
      <c r="AA69" s="154">
        <v>97000</v>
      </c>
      <c r="AB69" s="154">
        <v>0</v>
      </c>
      <c r="AC69" s="154">
        <v>0</v>
      </c>
      <c r="AD69" s="154">
        <v>0</v>
      </c>
      <c r="AE69" s="154">
        <v>0</v>
      </c>
      <c r="AF69" s="154">
        <v>0</v>
      </c>
      <c r="AG69" s="154">
        <v>0</v>
      </c>
      <c r="AH69" s="154">
        <v>0</v>
      </c>
      <c r="AI69" s="154">
        <v>0</v>
      </c>
      <c r="AJ69" s="154">
        <v>0</v>
      </c>
      <c r="AK69" s="154">
        <v>20000</v>
      </c>
      <c r="AL69" s="154">
        <v>0</v>
      </c>
      <c r="AM69" s="154">
        <v>0</v>
      </c>
      <c r="AN69" s="154">
        <v>0</v>
      </c>
      <c r="AO69" s="154">
        <v>20000</v>
      </c>
      <c r="AP69" s="154">
        <v>0</v>
      </c>
      <c r="AQ69" s="154">
        <v>0</v>
      </c>
      <c r="AR69" s="154">
        <v>0</v>
      </c>
      <c r="AS69" s="154">
        <v>0</v>
      </c>
      <c r="AT69" s="154">
        <v>0</v>
      </c>
      <c r="AU69" s="154">
        <v>0</v>
      </c>
      <c r="AV69" s="154">
        <v>0</v>
      </c>
      <c r="AW69" s="154">
        <v>0</v>
      </c>
      <c r="AX69" s="154">
        <v>0</v>
      </c>
      <c r="AY69" s="154">
        <v>0</v>
      </c>
      <c r="AZ69" s="154">
        <v>20000</v>
      </c>
      <c r="BA69" s="154">
        <v>0</v>
      </c>
      <c r="BB69" s="154">
        <v>0</v>
      </c>
      <c r="BC69" s="154">
        <v>0</v>
      </c>
      <c r="BD69" s="154">
        <v>0</v>
      </c>
      <c r="BE69" s="154">
        <v>0</v>
      </c>
      <c r="BF69" s="154">
        <v>0</v>
      </c>
      <c r="BG69" s="154">
        <v>0</v>
      </c>
      <c r="BH69" s="154">
        <v>0</v>
      </c>
      <c r="BI69" s="154">
        <v>0</v>
      </c>
      <c r="BJ69" s="154">
        <v>0</v>
      </c>
      <c r="BK69" s="154">
        <v>0</v>
      </c>
      <c r="BL69" s="154">
        <v>0</v>
      </c>
      <c r="BM69" s="154">
        <v>0</v>
      </c>
      <c r="BN69" s="154">
        <v>0</v>
      </c>
      <c r="BO69" s="154">
        <v>0</v>
      </c>
      <c r="BP69" s="154">
        <v>0</v>
      </c>
      <c r="BQ69" s="154">
        <v>0</v>
      </c>
      <c r="BR69" s="154">
        <v>0</v>
      </c>
      <c r="BS69" s="154">
        <v>0</v>
      </c>
      <c r="BT69" s="154">
        <v>0</v>
      </c>
      <c r="BU69" s="154">
        <v>0</v>
      </c>
      <c r="BV69" s="154">
        <v>0</v>
      </c>
      <c r="BW69" s="154">
        <v>0</v>
      </c>
      <c r="BX69" s="154">
        <v>0</v>
      </c>
      <c r="BY69" s="154">
        <v>0</v>
      </c>
      <c r="BZ69" s="154">
        <v>0</v>
      </c>
      <c r="CA69" s="154">
        <v>0</v>
      </c>
      <c r="CB69" s="154">
        <v>0</v>
      </c>
      <c r="CC69" s="154">
        <v>0</v>
      </c>
      <c r="CD69" s="154">
        <v>0</v>
      </c>
      <c r="CE69" s="154">
        <v>0</v>
      </c>
      <c r="CF69" s="154">
        <v>0</v>
      </c>
      <c r="CG69" s="154">
        <v>0</v>
      </c>
      <c r="CH69" s="154">
        <v>0</v>
      </c>
      <c r="CI69" s="154">
        <v>0</v>
      </c>
      <c r="CJ69" s="154">
        <v>0</v>
      </c>
      <c r="CK69" s="154">
        <v>0</v>
      </c>
      <c r="CL69" s="154">
        <v>0</v>
      </c>
      <c r="CM69" s="154">
        <v>0</v>
      </c>
      <c r="CN69" s="154">
        <v>0</v>
      </c>
      <c r="CO69" s="154">
        <v>0</v>
      </c>
      <c r="CP69" s="154">
        <v>0</v>
      </c>
      <c r="CQ69" s="154">
        <v>0</v>
      </c>
      <c r="CR69" s="154">
        <v>0</v>
      </c>
      <c r="CS69" s="154">
        <v>0</v>
      </c>
      <c r="CT69" s="154">
        <v>20000</v>
      </c>
      <c r="CU69" s="154">
        <v>0</v>
      </c>
      <c r="CV69" s="154">
        <v>0</v>
      </c>
      <c r="CW69" s="154">
        <v>0</v>
      </c>
      <c r="CX69" s="154">
        <v>64000</v>
      </c>
      <c r="CY69" s="154">
        <v>0</v>
      </c>
      <c r="CZ69" s="154">
        <v>0</v>
      </c>
      <c r="DA69" s="154">
        <v>0</v>
      </c>
    </row>
    <row r="70" spans="1:105" s="155" customFormat="1" ht="32.4">
      <c r="A70" s="264"/>
      <c r="B70" s="151" t="s">
        <v>172</v>
      </c>
      <c r="C70" s="152">
        <v>161</v>
      </c>
      <c r="D70" s="153">
        <f t="shared" si="2"/>
        <v>512473000</v>
      </c>
      <c r="E70" s="154">
        <v>12284000</v>
      </c>
      <c r="F70" s="154">
        <v>39218000</v>
      </c>
      <c r="G70" s="154">
        <v>22357000</v>
      </c>
      <c r="H70" s="154">
        <v>9591000</v>
      </c>
      <c r="I70" s="154">
        <v>29873000</v>
      </c>
      <c r="J70" s="154">
        <v>5299000</v>
      </c>
      <c r="K70" s="154">
        <v>10731000</v>
      </c>
      <c r="L70" s="154">
        <v>7691000</v>
      </c>
      <c r="M70" s="154">
        <v>12128000</v>
      </c>
      <c r="N70" s="154">
        <v>1501000</v>
      </c>
      <c r="O70" s="154">
        <v>17240000</v>
      </c>
      <c r="P70" s="154">
        <v>5598000</v>
      </c>
      <c r="Q70" s="154">
        <v>2722000</v>
      </c>
      <c r="R70" s="154">
        <v>5233000</v>
      </c>
      <c r="S70" s="154">
        <v>3937000</v>
      </c>
      <c r="T70" s="154">
        <v>4753000</v>
      </c>
      <c r="U70" s="154">
        <v>12486000</v>
      </c>
      <c r="V70" s="154">
        <v>31728000</v>
      </c>
      <c r="W70" s="154">
        <v>13194000</v>
      </c>
      <c r="X70" s="154">
        <v>5520000</v>
      </c>
      <c r="Y70" s="154">
        <v>9364000</v>
      </c>
      <c r="Z70" s="154">
        <v>5620000</v>
      </c>
      <c r="AA70" s="154">
        <v>12387000</v>
      </c>
      <c r="AB70" s="154">
        <v>16308000</v>
      </c>
      <c r="AC70" s="154">
        <v>3011000</v>
      </c>
      <c r="AD70" s="154">
        <v>3731000</v>
      </c>
      <c r="AE70" s="154">
        <v>787000</v>
      </c>
      <c r="AF70" s="154">
        <v>3098000</v>
      </c>
      <c r="AG70" s="154">
        <v>3687000</v>
      </c>
      <c r="AH70" s="154">
        <v>2286000</v>
      </c>
      <c r="AI70" s="154">
        <v>1803000</v>
      </c>
      <c r="AJ70" s="154">
        <v>2431000</v>
      </c>
      <c r="AK70" s="154">
        <v>9031000</v>
      </c>
      <c r="AL70" s="154">
        <v>4358000</v>
      </c>
      <c r="AM70" s="154">
        <v>2304000</v>
      </c>
      <c r="AN70" s="154">
        <v>3616000</v>
      </c>
      <c r="AO70" s="154">
        <v>1189000</v>
      </c>
      <c r="AP70" s="154">
        <v>5654000</v>
      </c>
      <c r="AQ70" s="154">
        <v>5785000</v>
      </c>
      <c r="AR70" s="154">
        <v>4826000</v>
      </c>
      <c r="AS70" s="154">
        <v>6350000</v>
      </c>
      <c r="AT70" s="154">
        <v>6990000</v>
      </c>
      <c r="AU70" s="154">
        <v>2903000</v>
      </c>
      <c r="AV70" s="154">
        <v>405000</v>
      </c>
      <c r="AW70" s="154">
        <v>706000</v>
      </c>
      <c r="AX70" s="154">
        <v>2592000</v>
      </c>
      <c r="AY70" s="154">
        <v>1923000</v>
      </c>
      <c r="AZ70" s="154">
        <v>465000</v>
      </c>
      <c r="BA70" s="154">
        <v>1276000</v>
      </c>
      <c r="BB70" s="154">
        <v>741000</v>
      </c>
      <c r="BC70" s="154">
        <v>516000</v>
      </c>
      <c r="BD70" s="154">
        <v>2553000</v>
      </c>
      <c r="BE70" s="154">
        <v>9001000</v>
      </c>
      <c r="BF70" s="154">
        <v>4873000</v>
      </c>
      <c r="BG70" s="154">
        <v>3032000</v>
      </c>
      <c r="BH70" s="154">
        <v>1139000</v>
      </c>
      <c r="BI70" s="154">
        <v>1897000</v>
      </c>
      <c r="BJ70" s="154">
        <v>525000</v>
      </c>
      <c r="BK70" s="154">
        <v>494000</v>
      </c>
      <c r="BL70" s="154">
        <v>5007000</v>
      </c>
      <c r="BM70" s="154">
        <v>1005000</v>
      </c>
      <c r="BN70" s="154">
        <v>4784000</v>
      </c>
      <c r="BO70" s="154">
        <v>136000</v>
      </c>
      <c r="BP70" s="154">
        <v>1110000</v>
      </c>
      <c r="BQ70" s="154">
        <v>1622000</v>
      </c>
      <c r="BR70" s="154">
        <v>862000</v>
      </c>
      <c r="BS70" s="154">
        <v>304000</v>
      </c>
      <c r="BT70" s="154">
        <v>1704000</v>
      </c>
      <c r="BU70" s="154">
        <v>550000</v>
      </c>
      <c r="BV70" s="154">
        <v>839000</v>
      </c>
      <c r="BW70" s="154">
        <v>5875000</v>
      </c>
      <c r="BX70" s="154">
        <v>1323000</v>
      </c>
      <c r="BY70" s="154">
        <v>3744000</v>
      </c>
      <c r="BZ70" s="154">
        <v>3479000</v>
      </c>
      <c r="CA70" s="154">
        <v>1728000</v>
      </c>
      <c r="CB70" s="154">
        <v>2933000</v>
      </c>
      <c r="CC70" s="154">
        <v>3350000</v>
      </c>
      <c r="CD70" s="154">
        <v>6847000</v>
      </c>
      <c r="CE70" s="154">
        <v>470000</v>
      </c>
      <c r="CF70" s="154">
        <v>3379000</v>
      </c>
      <c r="CG70" s="154">
        <v>4057000</v>
      </c>
      <c r="CH70" s="154">
        <v>2544000</v>
      </c>
      <c r="CI70" s="154">
        <v>3945000</v>
      </c>
      <c r="CJ70" s="154">
        <v>2283000</v>
      </c>
      <c r="CK70" s="154">
        <v>4744000</v>
      </c>
      <c r="CL70" s="154">
        <v>2174000</v>
      </c>
      <c r="CM70" s="154">
        <v>8215000</v>
      </c>
      <c r="CN70" s="154">
        <v>4007000</v>
      </c>
      <c r="CO70" s="154">
        <v>2938000</v>
      </c>
      <c r="CP70" s="154">
        <v>1819000</v>
      </c>
      <c r="CQ70" s="154">
        <v>763000</v>
      </c>
      <c r="CR70" s="154">
        <v>2957000</v>
      </c>
      <c r="CS70" s="154">
        <v>2668000</v>
      </c>
      <c r="CT70" s="154">
        <v>2049000</v>
      </c>
      <c r="CU70" s="154">
        <v>2579000</v>
      </c>
      <c r="CV70" s="154">
        <v>831000</v>
      </c>
      <c r="CW70" s="154">
        <v>942000</v>
      </c>
      <c r="CX70" s="154">
        <v>1892000</v>
      </c>
      <c r="CY70" s="154">
        <v>909000</v>
      </c>
      <c r="CZ70" s="154">
        <v>4385000</v>
      </c>
      <c r="DA70" s="154">
        <v>1980000</v>
      </c>
    </row>
    <row r="71" spans="1:105" s="155" customFormat="1" ht="32.4">
      <c r="A71" s="264"/>
      <c r="B71" s="151" t="s">
        <v>173</v>
      </c>
      <c r="C71" s="152">
        <v>162</v>
      </c>
      <c r="D71" s="153">
        <f t="shared" si="2"/>
        <v>233000</v>
      </c>
      <c r="E71" s="154">
        <v>0</v>
      </c>
      <c r="F71" s="154">
        <v>0</v>
      </c>
      <c r="G71" s="154">
        <v>0</v>
      </c>
      <c r="H71" s="154">
        <v>0</v>
      </c>
      <c r="I71" s="154">
        <v>0</v>
      </c>
      <c r="J71" s="154">
        <v>0</v>
      </c>
      <c r="K71" s="154">
        <v>0</v>
      </c>
      <c r="L71" s="154">
        <v>0</v>
      </c>
      <c r="M71" s="154">
        <v>0</v>
      </c>
      <c r="N71" s="154">
        <v>0</v>
      </c>
      <c r="O71" s="154">
        <v>0</v>
      </c>
      <c r="P71" s="154">
        <v>0</v>
      </c>
      <c r="Q71" s="154">
        <v>0</v>
      </c>
      <c r="R71" s="154">
        <v>0</v>
      </c>
      <c r="S71" s="154">
        <v>13000</v>
      </c>
      <c r="T71" s="154">
        <v>0</v>
      </c>
      <c r="U71" s="154">
        <v>0</v>
      </c>
      <c r="V71" s="154">
        <v>0</v>
      </c>
      <c r="W71" s="154">
        <v>0</v>
      </c>
      <c r="X71" s="154">
        <v>0</v>
      </c>
      <c r="Y71" s="154">
        <v>0</v>
      </c>
      <c r="Z71" s="154">
        <v>0</v>
      </c>
      <c r="AA71" s="154">
        <v>0</v>
      </c>
      <c r="AB71" s="154">
        <v>0</v>
      </c>
      <c r="AC71" s="154">
        <v>172000</v>
      </c>
      <c r="AD71" s="154">
        <v>0</v>
      </c>
      <c r="AE71" s="154">
        <v>0</v>
      </c>
      <c r="AF71" s="154">
        <v>0</v>
      </c>
      <c r="AG71" s="154">
        <v>0</v>
      </c>
      <c r="AH71" s="154">
        <v>0</v>
      </c>
      <c r="AI71" s="154">
        <v>0</v>
      </c>
      <c r="AJ71" s="154">
        <v>0</v>
      </c>
      <c r="AK71" s="154">
        <v>0</v>
      </c>
      <c r="AL71" s="154">
        <v>0</v>
      </c>
      <c r="AM71" s="154">
        <v>0</v>
      </c>
      <c r="AN71" s="154">
        <v>0</v>
      </c>
      <c r="AO71" s="154">
        <v>0</v>
      </c>
      <c r="AP71" s="154">
        <v>0</v>
      </c>
      <c r="AQ71" s="154">
        <v>0</v>
      </c>
      <c r="AR71" s="154">
        <v>0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154">
        <v>0</v>
      </c>
      <c r="BT71" s="154">
        <v>0</v>
      </c>
      <c r="BU71" s="154">
        <v>0</v>
      </c>
      <c r="BV71" s="154">
        <v>0</v>
      </c>
      <c r="BW71" s="154">
        <v>26000</v>
      </c>
      <c r="BX71" s="154">
        <v>0</v>
      </c>
      <c r="BY71" s="154">
        <v>0</v>
      </c>
      <c r="BZ71" s="154">
        <v>0</v>
      </c>
      <c r="CA71" s="154">
        <v>22000</v>
      </c>
      <c r="CB71" s="154">
        <v>0</v>
      </c>
      <c r="CC71" s="154">
        <v>0</v>
      </c>
      <c r="CD71" s="154">
        <v>0</v>
      </c>
      <c r="CE71" s="154">
        <v>0</v>
      </c>
      <c r="CF71" s="154">
        <v>0</v>
      </c>
      <c r="CG71" s="154">
        <v>0</v>
      </c>
      <c r="CH71" s="154">
        <v>0</v>
      </c>
      <c r="CI71" s="154">
        <v>0</v>
      </c>
      <c r="CJ71" s="154">
        <v>0</v>
      </c>
      <c r="CK71" s="154">
        <v>0</v>
      </c>
      <c r="CL71" s="154">
        <v>0</v>
      </c>
      <c r="CM71" s="154">
        <v>0</v>
      </c>
      <c r="CN71" s="154">
        <v>0</v>
      </c>
      <c r="CO71" s="154">
        <v>0</v>
      </c>
      <c r="CP71" s="154">
        <v>0</v>
      </c>
      <c r="CQ71" s="154">
        <v>0</v>
      </c>
      <c r="CR71" s="154">
        <v>0</v>
      </c>
      <c r="CS71" s="154">
        <v>0</v>
      </c>
      <c r="CT71" s="154">
        <v>0</v>
      </c>
      <c r="CU71" s="154">
        <v>0</v>
      </c>
      <c r="CV71" s="154">
        <v>0</v>
      </c>
      <c r="CW71" s="154">
        <v>0</v>
      </c>
      <c r="CX71" s="154">
        <v>0</v>
      </c>
      <c r="CY71" s="154">
        <v>0</v>
      </c>
      <c r="CZ71" s="154">
        <v>0</v>
      </c>
      <c r="DA71" s="154">
        <v>0</v>
      </c>
    </row>
    <row r="72" spans="1:105" s="155" customFormat="1">
      <c r="A72" s="264"/>
      <c r="B72" s="151" t="s">
        <v>174</v>
      </c>
      <c r="C72" s="152">
        <v>163</v>
      </c>
      <c r="D72" s="153">
        <f t="shared" si="2"/>
        <v>4453000</v>
      </c>
      <c r="E72" s="154">
        <v>0</v>
      </c>
      <c r="F72" s="154">
        <v>53000</v>
      </c>
      <c r="G72" s="154">
        <v>0</v>
      </c>
      <c r="H72" s="154">
        <v>0</v>
      </c>
      <c r="I72" s="154">
        <v>0</v>
      </c>
      <c r="J72" s="154">
        <v>136000</v>
      </c>
      <c r="K72" s="154">
        <v>586000</v>
      </c>
      <c r="L72" s="154">
        <v>0</v>
      </c>
      <c r="M72" s="154">
        <v>0</v>
      </c>
      <c r="N72" s="154">
        <v>0</v>
      </c>
      <c r="O72" s="154">
        <v>0</v>
      </c>
      <c r="P72" s="154">
        <v>0</v>
      </c>
      <c r="Q72" s="154">
        <v>0</v>
      </c>
      <c r="R72" s="154">
        <v>0</v>
      </c>
      <c r="S72" s="154">
        <v>0</v>
      </c>
      <c r="T72" s="154">
        <v>516000</v>
      </c>
      <c r="U72" s="154">
        <v>0</v>
      </c>
      <c r="V72" s="154">
        <v>0</v>
      </c>
      <c r="W72" s="154">
        <v>0</v>
      </c>
      <c r="X72" s="154">
        <v>0</v>
      </c>
      <c r="Y72" s="154">
        <v>0</v>
      </c>
      <c r="Z72" s="154">
        <v>0</v>
      </c>
      <c r="AA72" s="154">
        <v>108000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92000</v>
      </c>
      <c r="AL72" s="154">
        <v>0</v>
      </c>
      <c r="AM72" s="154">
        <v>0</v>
      </c>
      <c r="AN72" s="154">
        <v>0</v>
      </c>
      <c r="AO72" s="154">
        <v>85000</v>
      </c>
      <c r="AP72" s="154">
        <v>0</v>
      </c>
      <c r="AQ72" s="154">
        <v>567000</v>
      </c>
      <c r="AR72" s="154">
        <v>0</v>
      </c>
      <c r="AS72" s="154">
        <v>441000</v>
      </c>
      <c r="AT72" s="154">
        <v>0</v>
      </c>
      <c r="AU72" s="154">
        <v>0</v>
      </c>
      <c r="AV72" s="154">
        <v>115000</v>
      </c>
      <c r="AW72" s="154">
        <v>0</v>
      </c>
      <c r="AX72" s="154">
        <v>0</v>
      </c>
      <c r="AY72" s="154">
        <v>736000</v>
      </c>
      <c r="AZ72" s="154">
        <v>255000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104000</v>
      </c>
      <c r="BK72" s="154">
        <v>0</v>
      </c>
      <c r="BL72" s="154">
        <v>0</v>
      </c>
      <c r="BM72" s="154">
        <v>0</v>
      </c>
      <c r="BN72" s="154">
        <v>51000</v>
      </c>
      <c r="BO72" s="154">
        <v>0</v>
      </c>
      <c r="BP72" s="154">
        <v>0</v>
      </c>
      <c r="BQ72" s="154">
        <v>0</v>
      </c>
      <c r="BR72" s="154">
        <v>0</v>
      </c>
      <c r="BS72" s="154">
        <v>0</v>
      </c>
      <c r="BT72" s="154">
        <v>0</v>
      </c>
      <c r="BU72" s="154">
        <v>0</v>
      </c>
      <c r="BV72" s="154">
        <v>0</v>
      </c>
      <c r="BW72" s="154">
        <v>0</v>
      </c>
      <c r="BX72" s="154">
        <v>0</v>
      </c>
      <c r="BY72" s="154">
        <v>170000</v>
      </c>
      <c r="BZ72" s="154">
        <v>0</v>
      </c>
      <c r="CA72" s="154">
        <v>0</v>
      </c>
      <c r="CB72" s="154">
        <v>0</v>
      </c>
      <c r="CC72" s="154">
        <v>0</v>
      </c>
      <c r="CD72" s="154">
        <v>0</v>
      </c>
      <c r="CE72" s="154">
        <v>0</v>
      </c>
      <c r="CF72" s="154">
        <v>0</v>
      </c>
      <c r="CG72" s="154">
        <v>0</v>
      </c>
      <c r="CH72" s="154">
        <v>0</v>
      </c>
      <c r="CI72" s="154">
        <v>0</v>
      </c>
      <c r="CJ72" s="154">
        <v>0</v>
      </c>
      <c r="CK72" s="154">
        <v>0</v>
      </c>
      <c r="CL72" s="154">
        <v>0</v>
      </c>
      <c r="CM72" s="154">
        <v>253000</v>
      </c>
      <c r="CN72" s="154">
        <v>0</v>
      </c>
      <c r="CO72" s="154">
        <v>0</v>
      </c>
      <c r="CP72" s="154">
        <v>0</v>
      </c>
      <c r="CQ72" s="154">
        <v>0</v>
      </c>
      <c r="CR72" s="154">
        <v>0</v>
      </c>
      <c r="CS72" s="154">
        <v>185000</v>
      </c>
      <c r="CT72" s="154">
        <v>0</v>
      </c>
      <c r="CU72" s="154">
        <v>0</v>
      </c>
      <c r="CV72" s="154">
        <v>0</v>
      </c>
      <c r="CW72" s="154">
        <v>0</v>
      </c>
      <c r="CX72" s="154">
        <v>0</v>
      </c>
      <c r="CY72" s="154">
        <v>0</v>
      </c>
      <c r="CZ72" s="154">
        <v>0</v>
      </c>
      <c r="DA72" s="154">
        <v>0</v>
      </c>
    </row>
    <row r="73" spans="1:105" s="155" customFormat="1">
      <c r="A73" s="264"/>
      <c r="B73" s="151" t="s">
        <v>175</v>
      </c>
      <c r="C73" s="152">
        <v>163</v>
      </c>
      <c r="D73" s="153">
        <f t="shared" si="2"/>
        <v>39280000</v>
      </c>
      <c r="E73" s="154">
        <v>1061000</v>
      </c>
      <c r="F73" s="154">
        <v>2782000</v>
      </c>
      <c r="G73" s="154">
        <v>1652000</v>
      </c>
      <c r="H73" s="154">
        <v>577000</v>
      </c>
      <c r="I73" s="154">
        <v>264000</v>
      </c>
      <c r="J73" s="154">
        <v>451000</v>
      </c>
      <c r="K73" s="154">
        <v>0</v>
      </c>
      <c r="L73" s="154">
        <v>251000</v>
      </c>
      <c r="M73" s="154">
        <v>968000</v>
      </c>
      <c r="N73" s="154">
        <v>0</v>
      </c>
      <c r="O73" s="154">
        <v>1335000</v>
      </c>
      <c r="P73" s="154">
        <v>0</v>
      </c>
      <c r="Q73" s="154">
        <v>0</v>
      </c>
      <c r="R73" s="154">
        <v>935000</v>
      </c>
      <c r="S73" s="154">
        <v>455000</v>
      </c>
      <c r="T73" s="154">
        <v>0</v>
      </c>
      <c r="U73" s="154">
        <v>909000</v>
      </c>
      <c r="V73" s="154">
        <v>1026000</v>
      </c>
      <c r="W73" s="154">
        <v>845000</v>
      </c>
      <c r="X73" s="154">
        <v>0</v>
      </c>
      <c r="Y73" s="154">
        <v>645000</v>
      </c>
      <c r="Z73" s="154">
        <v>675000</v>
      </c>
      <c r="AA73" s="154">
        <v>236000</v>
      </c>
      <c r="AB73" s="154">
        <v>749000</v>
      </c>
      <c r="AC73" s="154">
        <v>406000</v>
      </c>
      <c r="AD73" s="154">
        <v>0</v>
      </c>
      <c r="AE73" s="154">
        <v>466000</v>
      </c>
      <c r="AF73" s="154">
        <v>473000</v>
      </c>
      <c r="AG73" s="154">
        <v>481000</v>
      </c>
      <c r="AH73" s="154">
        <v>514000</v>
      </c>
      <c r="AI73" s="154">
        <v>237000</v>
      </c>
      <c r="AJ73" s="154">
        <v>556000</v>
      </c>
      <c r="AK73" s="154">
        <v>1416000</v>
      </c>
      <c r="AL73" s="154">
        <v>404000</v>
      </c>
      <c r="AM73" s="154">
        <v>133000</v>
      </c>
      <c r="AN73" s="154">
        <v>545000</v>
      </c>
      <c r="AO73" s="154">
        <v>0</v>
      </c>
      <c r="AP73" s="154">
        <v>133000</v>
      </c>
      <c r="AQ73" s="154">
        <v>0</v>
      </c>
      <c r="AR73" s="154">
        <v>987000</v>
      </c>
      <c r="AS73" s="154">
        <v>0</v>
      </c>
      <c r="AT73" s="154">
        <v>638000</v>
      </c>
      <c r="AU73" s="154">
        <v>0</v>
      </c>
      <c r="AV73" s="154">
        <v>281000</v>
      </c>
      <c r="AW73" s="154">
        <v>0</v>
      </c>
      <c r="AX73" s="154">
        <v>132000</v>
      </c>
      <c r="AY73" s="154">
        <v>0</v>
      </c>
      <c r="AZ73" s="154">
        <v>0</v>
      </c>
      <c r="BA73" s="154">
        <v>190000</v>
      </c>
      <c r="BB73" s="154">
        <v>0</v>
      </c>
      <c r="BC73" s="154">
        <v>0</v>
      </c>
      <c r="BD73" s="154">
        <v>0</v>
      </c>
      <c r="BE73" s="154">
        <v>748000</v>
      </c>
      <c r="BF73" s="154">
        <v>602000</v>
      </c>
      <c r="BG73" s="154">
        <v>465000</v>
      </c>
      <c r="BH73" s="154">
        <v>131000</v>
      </c>
      <c r="BI73" s="154">
        <v>0</v>
      </c>
      <c r="BJ73" s="154">
        <v>581000</v>
      </c>
      <c r="BK73" s="154">
        <v>281000</v>
      </c>
      <c r="BL73" s="154">
        <v>147000</v>
      </c>
      <c r="BM73" s="154">
        <v>0</v>
      </c>
      <c r="BN73" s="154">
        <v>282000</v>
      </c>
      <c r="BO73" s="154">
        <v>346000</v>
      </c>
      <c r="BP73" s="154">
        <v>0</v>
      </c>
      <c r="BQ73" s="154">
        <v>281000</v>
      </c>
      <c r="BR73" s="154">
        <v>0</v>
      </c>
      <c r="BS73" s="154">
        <v>508000</v>
      </c>
      <c r="BT73" s="154">
        <v>0</v>
      </c>
      <c r="BU73" s="154">
        <v>0</v>
      </c>
      <c r="BV73" s="154">
        <v>447000</v>
      </c>
      <c r="BW73" s="154">
        <v>0</v>
      </c>
      <c r="BX73" s="154">
        <v>0</v>
      </c>
      <c r="BY73" s="154">
        <v>646000</v>
      </c>
      <c r="BZ73" s="154">
        <v>566000</v>
      </c>
      <c r="CA73" s="154">
        <v>435000</v>
      </c>
      <c r="CB73" s="154">
        <v>246000</v>
      </c>
      <c r="CC73" s="154">
        <v>145000</v>
      </c>
      <c r="CD73" s="154">
        <v>118000</v>
      </c>
      <c r="CE73" s="154">
        <v>454000</v>
      </c>
      <c r="CF73" s="154">
        <v>883000</v>
      </c>
      <c r="CG73" s="154">
        <v>944000</v>
      </c>
      <c r="CH73" s="154">
        <v>0</v>
      </c>
      <c r="CI73" s="154">
        <v>500000</v>
      </c>
      <c r="CJ73" s="154">
        <v>0</v>
      </c>
      <c r="CK73" s="154">
        <v>0</v>
      </c>
      <c r="CL73" s="154">
        <v>278000</v>
      </c>
      <c r="CM73" s="154">
        <v>0</v>
      </c>
      <c r="CN73" s="154">
        <v>125000</v>
      </c>
      <c r="CO73" s="154">
        <v>271000</v>
      </c>
      <c r="CP73" s="154">
        <v>1503000</v>
      </c>
      <c r="CQ73" s="154">
        <v>0</v>
      </c>
      <c r="CR73" s="154">
        <v>1101000</v>
      </c>
      <c r="CS73" s="154">
        <v>462000</v>
      </c>
      <c r="CT73" s="154">
        <v>1109000</v>
      </c>
      <c r="CU73" s="154">
        <v>246000</v>
      </c>
      <c r="CV73" s="154">
        <v>621000</v>
      </c>
      <c r="CW73" s="154">
        <v>0</v>
      </c>
      <c r="CX73" s="154">
        <v>0</v>
      </c>
      <c r="CY73" s="154">
        <v>0</v>
      </c>
      <c r="CZ73" s="154">
        <v>0</v>
      </c>
      <c r="DA73" s="154">
        <v>0</v>
      </c>
    </row>
    <row r="74" spans="1:105" s="155" customFormat="1">
      <c r="A74" s="264"/>
      <c r="B74" s="151" t="s">
        <v>177</v>
      </c>
      <c r="C74" s="152"/>
      <c r="D74" s="154">
        <f>SUM(D69:D73)</f>
        <v>557009000</v>
      </c>
      <c r="E74" s="154">
        <f t="shared" ref="E74:BP74" si="10">SUM(E69:E73)</f>
        <v>13345000</v>
      </c>
      <c r="F74" s="154">
        <f t="shared" si="10"/>
        <v>42144000</v>
      </c>
      <c r="G74" s="154">
        <f t="shared" si="10"/>
        <v>24009000</v>
      </c>
      <c r="H74" s="154">
        <f t="shared" si="10"/>
        <v>10168000</v>
      </c>
      <c r="I74" s="154">
        <f t="shared" si="10"/>
        <v>30137000</v>
      </c>
      <c r="J74" s="154">
        <f t="shared" si="10"/>
        <v>5918000</v>
      </c>
      <c r="K74" s="154">
        <f t="shared" si="10"/>
        <v>11317000</v>
      </c>
      <c r="L74" s="154">
        <f t="shared" si="10"/>
        <v>7942000</v>
      </c>
      <c r="M74" s="154">
        <f t="shared" si="10"/>
        <v>13096000</v>
      </c>
      <c r="N74" s="154">
        <f t="shared" si="10"/>
        <v>1501000</v>
      </c>
      <c r="O74" s="154">
        <f t="shared" si="10"/>
        <v>18575000</v>
      </c>
      <c r="P74" s="154">
        <f t="shared" si="10"/>
        <v>5598000</v>
      </c>
      <c r="Q74" s="154">
        <f t="shared" si="10"/>
        <v>2722000</v>
      </c>
      <c r="R74" s="154">
        <f t="shared" si="10"/>
        <v>6168000</v>
      </c>
      <c r="S74" s="154">
        <f t="shared" si="10"/>
        <v>4411000</v>
      </c>
      <c r="T74" s="154">
        <f t="shared" si="10"/>
        <v>5269000</v>
      </c>
      <c r="U74" s="154">
        <f t="shared" si="10"/>
        <v>13395000</v>
      </c>
      <c r="V74" s="154">
        <f t="shared" si="10"/>
        <v>32788000</v>
      </c>
      <c r="W74" s="154">
        <f t="shared" si="10"/>
        <v>14108000</v>
      </c>
      <c r="X74" s="154">
        <f t="shared" si="10"/>
        <v>5554000</v>
      </c>
      <c r="Y74" s="154">
        <f t="shared" si="10"/>
        <v>10072000</v>
      </c>
      <c r="Z74" s="154">
        <f t="shared" si="10"/>
        <v>6295000</v>
      </c>
      <c r="AA74" s="154">
        <f t="shared" si="10"/>
        <v>12828000</v>
      </c>
      <c r="AB74" s="154">
        <f t="shared" si="10"/>
        <v>17057000</v>
      </c>
      <c r="AC74" s="154">
        <f t="shared" si="10"/>
        <v>3589000</v>
      </c>
      <c r="AD74" s="154">
        <f t="shared" si="10"/>
        <v>3731000</v>
      </c>
      <c r="AE74" s="154">
        <f t="shared" si="10"/>
        <v>1253000</v>
      </c>
      <c r="AF74" s="154">
        <f t="shared" si="10"/>
        <v>3571000</v>
      </c>
      <c r="AG74" s="154">
        <f t="shared" si="10"/>
        <v>4168000</v>
      </c>
      <c r="AH74" s="154">
        <f t="shared" si="10"/>
        <v>2800000</v>
      </c>
      <c r="AI74" s="154">
        <f t="shared" si="10"/>
        <v>2040000</v>
      </c>
      <c r="AJ74" s="154">
        <f t="shared" si="10"/>
        <v>2987000</v>
      </c>
      <c r="AK74" s="154">
        <f t="shared" si="10"/>
        <v>10559000</v>
      </c>
      <c r="AL74" s="154">
        <f t="shared" si="10"/>
        <v>4762000</v>
      </c>
      <c r="AM74" s="154">
        <f t="shared" si="10"/>
        <v>2437000</v>
      </c>
      <c r="AN74" s="154">
        <f t="shared" si="10"/>
        <v>4161000</v>
      </c>
      <c r="AO74" s="154">
        <f t="shared" si="10"/>
        <v>1294000</v>
      </c>
      <c r="AP74" s="154">
        <f t="shared" si="10"/>
        <v>5787000</v>
      </c>
      <c r="AQ74" s="154">
        <f t="shared" si="10"/>
        <v>6352000</v>
      </c>
      <c r="AR74" s="154">
        <f t="shared" si="10"/>
        <v>5813000</v>
      </c>
      <c r="AS74" s="154">
        <f t="shared" si="10"/>
        <v>6791000</v>
      </c>
      <c r="AT74" s="154">
        <f t="shared" si="10"/>
        <v>7628000</v>
      </c>
      <c r="AU74" s="154">
        <f t="shared" si="10"/>
        <v>2903000</v>
      </c>
      <c r="AV74" s="154">
        <f t="shared" si="10"/>
        <v>801000</v>
      </c>
      <c r="AW74" s="154">
        <f t="shared" si="10"/>
        <v>706000</v>
      </c>
      <c r="AX74" s="154">
        <f t="shared" si="10"/>
        <v>2724000</v>
      </c>
      <c r="AY74" s="154">
        <f t="shared" si="10"/>
        <v>2659000</v>
      </c>
      <c r="AZ74" s="154">
        <f t="shared" si="10"/>
        <v>740000</v>
      </c>
      <c r="BA74" s="154">
        <f t="shared" si="10"/>
        <v>1466000</v>
      </c>
      <c r="BB74" s="154">
        <f t="shared" si="10"/>
        <v>741000</v>
      </c>
      <c r="BC74" s="154">
        <f t="shared" si="10"/>
        <v>516000</v>
      </c>
      <c r="BD74" s="154">
        <f t="shared" si="10"/>
        <v>2553000</v>
      </c>
      <c r="BE74" s="154">
        <f t="shared" si="10"/>
        <v>9749000</v>
      </c>
      <c r="BF74" s="154">
        <f t="shared" si="10"/>
        <v>5475000</v>
      </c>
      <c r="BG74" s="154">
        <f t="shared" si="10"/>
        <v>3497000</v>
      </c>
      <c r="BH74" s="154">
        <f t="shared" si="10"/>
        <v>1270000</v>
      </c>
      <c r="BI74" s="154">
        <f t="shared" si="10"/>
        <v>1897000</v>
      </c>
      <c r="BJ74" s="154">
        <f t="shared" si="10"/>
        <v>1210000</v>
      </c>
      <c r="BK74" s="154">
        <f t="shared" si="10"/>
        <v>775000</v>
      </c>
      <c r="BL74" s="154">
        <f t="shared" si="10"/>
        <v>5154000</v>
      </c>
      <c r="BM74" s="154">
        <f t="shared" si="10"/>
        <v>1005000</v>
      </c>
      <c r="BN74" s="154">
        <f t="shared" si="10"/>
        <v>5117000</v>
      </c>
      <c r="BO74" s="154">
        <f t="shared" si="10"/>
        <v>482000</v>
      </c>
      <c r="BP74" s="154">
        <f t="shared" si="10"/>
        <v>1110000</v>
      </c>
      <c r="BQ74" s="154">
        <f t="shared" ref="BQ74:DA74" si="11">SUM(BQ69:BQ73)</f>
        <v>1903000</v>
      </c>
      <c r="BR74" s="154">
        <f t="shared" si="11"/>
        <v>862000</v>
      </c>
      <c r="BS74" s="154">
        <f t="shared" si="11"/>
        <v>812000</v>
      </c>
      <c r="BT74" s="154">
        <f t="shared" si="11"/>
        <v>1704000</v>
      </c>
      <c r="BU74" s="154">
        <f t="shared" si="11"/>
        <v>550000</v>
      </c>
      <c r="BV74" s="154">
        <f t="shared" si="11"/>
        <v>1286000</v>
      </c>
      <c r="BW74" s="154">
        <f t="shared" si="11"/>
        <v>5901000</v>
      </c>
      <c r="BX74" s="154">
        <f t="shared" si="11"/>
        <v>1323000</v>
      </c>
      <c r="BY74" s="154">
        <f t="shared" si="11"/>
        <v>4560000</v>
      </c>
      <c r="BZ74" s="154">
        <f t="shared" si="11"/>
        <v>4045000</v>
      </c>
      <c r="CA74" s="154">
        <f t="shared" si="11"/>
        <v>2185000</v>
      </c>
      <c r="CB74" s="154">
        <f t="shared" si="11"/>
        <v>3179000</v>
      </c>
      <c r="CC74" s="154">
        <f t="shared" si="11"/>
        <v>3495000</v>
      </c>
      <c r="CD74" s="154">
        <f t="shared" si="11"/>
        <v>6965000</v>
      </c>
      <c r="CE74" s="154">
        <f t="shared" si="11"/>
        <v>924000</v>
      </c>
      <c r="CF74" s="154">
        <f t="shared" si="11"/>
        <v>4262000</v>
      </c>
      <c r="CG74" s="154">
        <f t="shared" si="11"/>
        <v>5001000</v>
      </c>
      <c r="CH74" s="154">
        <f t="shared" si="11"/>
        <v>2544000</v>
      </c>
      <c r="CI74" s="154">
        <f t="shared" si="11"/>
        <v>4445000</v>
      </c>
      <c r="CJ74" s="154">
        <f t="shared" si="11"/>
        <v>2283000</v>
      </c>
      <c r="CK74" s="154">
        <f t="shared" si="11"/>
        <v>4744000</v>
      </c>
      <c r="CL74" s="154">
        <f t="shared" si="11"/>
        <v>2452000</v>
      </c>
      <c r="CM74" s="154">
        <f t="shared" si="11"/>
        <v>8468000</v>
      </c>
      <c r="CN74" s="154">
        <f t="shared" si="11"/>
        <v>4132000</v>
      </c>
      <c r="CO74" s="154">
        <f t="shared" si="11"/>
        <v>3209000</v>
      </c>
      <c r="CP74" s="154">
        <f t="shared" si="11"/>
        <v>3322000</v>
      </c>
      <c r="CQ74" s="154">
        <f t="shared" si="11"/>
        <v>763000</v>
      </c>
      <c r="CR74" s="154">
        <f t="shared" si="11"/>
        <v>4058000</v>
      </c>
      <c r="CS74" s="154">
        <f t="shared" si="11"/>
        <v>3315000</v>
      </c>
      <c r="CT74" s="154">
        <f t="shared" si="11"/>
        <v>3178000</v>
      </c>
      <c r="CU74" s="154">
        <f t="shared" si="11"/>
        <v>2825000</v>
      </c>
      <c r="CV74" s="154">
        <f t="shared" si="11"/>
        <v>1452000</v>
      </c>
      <c r="CW74" s="154">
        <f t="shared" si="11"/>
        <v>942000</v>
      </c>
      <c r="CX74" s="154">
        <f t="shared" si="11"/>
        <v>1956000</v>
      </c>
      <c r="CY74" s="154">
        <f t="shared" si="11"/>
        <v>909000</v>
      </c>
      <c r="CZ74" s="154">
        <f t="shared" si="11"/>
        <v>4385000</v>
      </c>
      <c r="DA74" s="154">
        <f t="shared" si="11"/>
        <v>1980000</v>
      </c>
    </row>
    <row r="75" spans="1:105" s="222" customFormat="1" ht="48.6">
      <c r="A75" s="223" t="s">
        <v>663</v>
      </c>
      <c r="B75" s="219" t="s">
        <v>680</v>
      </c>
      <c r="C75" s="220" t="s">
        <v>167</v>
      </c>
      <c r="D75" s="221">
        <f t="shared" ref="D75" si="12">SUM(E75:DA75)</f>
        <v>26162000</v>
      </c>
      <c r="E75" s="221">
        <v>165000</v>
      </c>
      <c r="F75" s="221">
        <v>1405000</v>
      </c>
      <c r="G75" s="221">
        <v>1378000</v>
      </c>
      <c r="H75" s="221">
        <v>458000</v>
      </c>
      <c r="I75" s="221">
        <v>554000</v>
      </c>
      <c r="J75" s="221">
        <v>253000</v>
      </c>
      <c r="K75" s="221">
        <v>428000</v>
      </c>
      <c r="L75" s="221">
        <v>896000</v>
      </c>
      <c r="M75" s="221">
        <v>705000</v>
      </c>
      <c r="N75" s="221">
        <v>51000</v>
      </c>
      <c r="O75" s="221">
        <v>1221000</v>
      </c>
      <c r="P75" s="221">
        <v>5000</v>
      </c>
      <c r="Q75" s="221">
        <v>293000</v>
      </c>
      <c r="R75" s="221">
        <v>642000</v>
      </c>
      <c r="S75" s="221">
        <v>367000</v>
      </c>
      <c r="T75" s="221">
        <v>492000</v>
      </c>
      <c r="U75" s="221">
        <v>345000</v>
      </c>
      <c r="V75" s="221">
        <v>1509000</v>
      </c>
      <c r="W75" s="221">
        <v>691000</v>
      </c>
      <c r="X75" s="221">
        <v>102000</v>
      </c>
      <c r="Y75" s="221">
        <v>264000</v>
      </c>
      <c r="Z75" s="221">
        <v>161000</v>
      </c>
      <c r="AA75" s="221">
        <v>366000</v>
      </c>
      <c r="AB75" s="221">
        <v>359000</v>
      </c>
      <c r="AC75" s="221">
        <v>29000</v>
      </c>
      <c r="AD75" s="221">
        <v>538000</v>
      </c>
      <c r="AE75" s="221">
        <v>292000</v>
      </c>
      <c r="AF75" s="221">
        <v>0</v>
      </c>
      <c r="AG75" s="221">
        <v>402000</v>
      </c>
      <c r="AH75" s="221">
        <v>158000</v>
      </c>
      <c r="AI75" s="221">
        <v>124000</v>
      </c>
      <c r="AJ75" s="221">
        <v>69000</v>
      </c>
      <c r="AK75" s="221">
        <v>134000</v>
      </c>
      <c r="AL75" s="221">
        <v>144000</v>
      </c>
      <c r="AM75" s="221">
        <v>89000</v>
      </c>
      <c r="AN75" s="221">
        <v>423000</v>
      </c>
      <c r="AO75" s="221">
        <v>120000</v>
      </c>
      <c r="AP75" s="221">
        <v>349000</v>
      </c>
      <c r="AQ75" s="221">
        <v>436000</v>
      </c>
      <c r="AR75" s="221">
        <v>53000</v>
      </c>
      <c r="AS75" s="221">
        <v>75000</v>
      </c>
      <c r="AT75" s="221">
        <v>288000</v>
      </c>
      <c r="AU75" s="221">
        <v>81000</v>
      </c>
      <c r="AV75" s="221">
        <v>0</v>
      </c>
      <c r="AW75" s="221">
        <v>28000</v>
      </c>
      <c r="AX75" s="221">
        <v>136000</v>
      </c>
      <c r="AY75" s="221">
        <v>37000</v>
      </c>
      <c r="AZ75" s="221">
        <v>54000</v>
      </c>
      <c r="BA75" s="221">
        <v>0</v>
      </c>
      <c r="BB75" s="221">
        <v>324000</v>
      </c>
      <c r="BC75" s="221">
        <v>277000</v>
      </c>
      <c r="BD75" s="221">
        <v>65000</v>
      </c>
      <c r="BE75" s="221">
        <v>674000</v>
      </c>
      <c r="BF75" s="221">
        <v>101000</v>
      </c>
      <c r="BG75" s="221">
        <v>81000</v>
      </c>
      <c r="BH75" s="221">
        <v>27000</v>
      </c>
      <c r="BI75" s="221">
        <v>3000</v>
      </c>
      <c r="BJ75" s="221">
        <v>73000</v>
      </c>
      <c r="BK75" s="221">
        <v>37000</v>
      </c>
      <c r="BL75" s="221">
        <v>134000</v>
      </c>
      <c r="BM75" s="221">
        <v>49000</v>
      </c>
      <c r="BN75" s="221">
        <v>57000</v>
      </c>
      <c r="BO75" s="221">
        <v>708000</v>
      </c>
      <c r="BP75" s="221">
        <v>401000</v>
      </c>
      <c r="BQ75" s="221">
        <v>500000</v>
      </c>
      <c r="BR75" s="221">
        <v>8000</v>
      </c>
      <c r="BS75" s="221">
        <v>37000</v>
      </c>
      <c r="BT75" s="221">
        <v>17000</v>
      </c>
      <c r="BU75" s="221">
        <v>31000</v>
      </c>
      <c r="BV75" s="221">
        <v>220000</v>
      </c>
      <c r="BW75" s="221">
        <v>253000</v>
      </c>
      <c r="BX75" s="221">
        <v>40000</v>
      </c>
      <c r="BY75" s="221">
        <v>11000</v>
      </c>
      <c r="BZ75" s="221">
        <v>212000</v>
      </c>
      <c r="CA75" s="221">
        <v>41000</v>
      </c>
      <c r="CB75" s="221">
        <v>134000</v>
      </c>
      <c r="CC75" s="221">
        <v>80000</v>
      </c>
      <c r="CD75" s="221">
        <v>398000</v>
      </c>
      <c r="CE75" s="221">
        <v>218000</v>
      </c>
      <c r="CF75" s="221">
        <v>153000</v>
      </c>
      <c r="CG75" s="221">
        <v>5000</v>
      </c>
      <c r="CH75" s="221">
        <v>228000</v>
      </c>
      <c r="CI75" s="221">
        <v>289000</v>
      </c>
      <c r="CJ75" s="221">
        <v>355000</v>
      </c>
      <c r="CK75" s="221">
        <v>2000</v>
      </c>
      <c r="CL75" s="221">
        <v>259000</v>
      </c>
      <c r="CM75" s="221">
        <v>305000</v>
      </c>
      <c r="CN75" s="221">
        <v>103000</v>
      </c>
      <c r="CO75" s="221">
        <v>343000</v>
      </c>
      <c r="CP75" s="221">
        <v>7000</v>
      </c>
      <c r="CQ75" s="221">
        <v>113000</v>
      </c>
      <c r="CR75" s="221">
        <v>1000</v>
      </c>
      <c r="CS75" s="221">
        <v>383000</v>
      </c>
      <c r="CT75" s="221">
        <v>74000</v>
      </c>
      <c r="CU75" s="221">
        <v>76000</v>
      </c>
      <c r="CV75" s="221">
        <v>279000</v>
      </c>
      <c r="CW75" s="221">
        <v>273000</v>
      </c>
      <c r="CX75" s="221">
        <v>72000</v>
      </c>
      <c r="CY75" s="221">
        <v>5000</v>
      </c>
      <c r="CZ75" s="221">
        <v>422000</v>
      </c>
      <c r="DA75" s="221">
        <v>35000</v>
      </c>
    </row>
    <row r="76" spans="1:105" s="150" customFormat="1">
      <c r="A76" s="265" t="s">
        <v>176</v>
      </c>
      <c r="B76" s="156" t="s">
        <v>145</v>
      </c>
      <c r="C76" s="147" t="s">
        <v>146</v>
      </c>
      <c r="D76" s="148">
        <f t="shared" si="2"/>
        <v>2184000</v>
      </c>
      <c r="E76" s="149">
        <v>598000</v>
      </c>
      <c r="F76" s="149">
        <v>0</v>
      </c>
      <c r="G76" s="149">
        <v>0</v>
      </c>
      <c r="H76" s="149">
        <v>0</v>
      </c>
      <c r="I76" s="149">
        <v>0</v>
      </c>
      <c r="J76" s="149">
        <v>0</v>
      </c>
      <c r="K76" s="149">
        <v>25000</v>
      </c>
      <c r="L76" s="149">
        <v>0</v>
      </c>
      <c r="M76" s="149">
        <v>0</v>
      </c>
      <c r="N76" s="149">
        <v>0</v>
      </c>
      <c r="O76" s="149">
        <v>0</v>
      </c>
      <c r="P76" s="149">
        <v>0</v>
      </c>
      <c r="Q76" s="149">
        <v>0</v>
      </c>
      <c r="R76" s="149">
        <v>0</v>
      </c>
      <c r="S76" s="149">
        <v>0</v>
      </c>
      <c r="T76" s="149">
        <v>0</v>
      </c>
      <c r="U76" s="149">
        <v>0</v>
      </c>
      <c r="V76" s="149">
        <v>0</v>
      </c>
      <c r="W76" s="149">
        <v>0</v>
      </c>
      <c r="X76" s="149">
        <v>0</v>
      </c>
      <c r="Y76" s="149">
        <v>0</v>
      </c>
      <c r="Z76" s="149">
        <v>0</v>
      </c>
      <c r="AA76" s="149">
        <v>0</v>
      </c>
      <c r="AB76" s="149">
        <v>0</v>
      </c>
      <c r="AC76" s="149">
        <v>0</v>
      </c>
      <c r="AD76" s="149">
        <v>110000</v>
      </c>
      <c r="AE76" s="149">
        <v>0</v>
      </c>
      <c r="AF76" s="149">
        <v>0</v>
      </c>
      <c r="AG76" s="149">
        <v>0</v>
      </c>
      <c r="AH76" s="149">
        <v>0</v>
      </c>
      <c r="AI76" s="149">
        <v>0</v>
      </c>
      <c r="AJ76" s="149">
        <v>0</v>
      </c>
      <c r="AK76" s="149">
        <v>0</v>
      </c>
      <c r="AL76" s="149">
        <v>0</v>
      </c>
      <c r="AM76" s="149">
        <v>0</v>
      </c>
      <c r="AN76" s="149">
        <v>0</v>
      </c>
      <c r="AO76" s="149">
        <v>0</v>
      </c>
      <c r="AP76" s="149">
        <v>0</v>
      </c>
      <c r="AQ76" s="149">
        <v>0</v>
      </c>
      <c r="AR76" s="149">
        <v>100000</v>
      </c>
      <c r="AS76" s="149">
        <v>0</v>
      </c>
      <c r="AT76" s="149">
        <v>0</v>
      </c>
      <c r="AU76" s="149">
        <v>160000</v>
      </c>
      <c r="AV76" s="149">
        <v>0</v>
      </c>
      <c r="AW76" s="149">
        <v>0</v>
      </c>
      <c r="AX76" s="149">
        <v>0</v>
      </c>
      <c r="AY76" s="149">
        <v>0</v>
      </c>
      <c r="AZ76" s="149">
        <v>0</v>
      </c>
      <c r="BA76" s="149">
        <v>0</v>
      </c>
      <c r="BB76" s="149">
        <v>0</v>
      </c>
      <c r="BC76" s="149">
        <v>100000</v>
      </c>
      <c r="BD76" s="149">
        <v>0</v>
      </c>
      <c r="BE76" s="149">
        <v>0</v>
      </c>
      <c r="BF76" s="149">
        <v>0</v>
      </c>
      <c r="BG76" s="149">
        <v>0</v>
      </c>
      <c r="BH76" s="149">
        <v>0</v>
      </c>
      <c r="BI76" s="149">
        <v>0</v>
      </c>
      <c r="BJ76" s="149">
        <v>65000</v>
      </c>
      <c r="BK76" s="149">
        <v>0</v>
      </c>
      <c r="BL76" s="149">
        <v>0</v>
      </c>
      <c r="BM76" s="149">
        <v>0</v>
      </c>
      <c r="BN76" s="149">
        <v>0</v>
      </c>
      <c r="BO76" s="149">
        <v>0</v>
      </c>
      <c r="BP76" s="149">
        <v>0</v>
      </c>
      <c r="BQ76" s="149">
        <v>0</v>
      </c>
      <c r="BR76" s="149">
        <v>0</v>
      </c>
      <c r="BS76" s="149">
        <v>0</v>
      </c>
      <c r="BT76" s="149">
        <v>0</v>
      </c>
      <c r="BU76" s="149">
        <v>0</v>
      </c>
      <c r="BV76" s="149">
        <v>0</v>
      </c>
      <c r="BW76" s="149">
        <v>0</v>
      </c>
      <c r="BX76" s="149">
        <v>0</v>
      </c>
      <c r="BY76" s="149">
        <v>0</v>
      </c>
      <c r="BZ76" s="149">
        <v>0</v>
      </c>
      <c r="CA76" s="149">
        <v>900000</v>
      </c>
      <c r="CB76" s="149">
        <v>0</v>
      </c>
      <c r="CC76" s="149">
        <v>0</v>
      </c>
      <c r="CD76" s="149">
        <v>0</v>
      </c>
      <c r="CE76" s="149">
        <v>0</v>
      </c>
      <c r="CF76" s="149">
        <v>0</v>
      </c>
      <c r="CG76" s="149">
        <v>0</v>
      </c>
      <c r="CH76" s="149">
        <v>0</v>
      </c>
      <c r="CI76" s="149">
        <v>0</v>
      </c>
      <c r="CJ76" s="149">
        <v>0</v>
      </c>
      <c r="CK76" s="149">
        <v>0</v>
      </c>
      <c r="CL76" s="149">
        <v>0</v>
      </c>
      <c r="CM76" s="149">
        <v>30000</v>
      </c>
      <c r="CN76" s="149">
        <v>46000</v>
      </c>
      <c r="CO76" s="149">
        <v>0</v>
      </c>
      <c r="CP76" s="149">
        <v>0</v>
      </c>
      <c r="CQ76" s="149">
        <v>0</v>
      </c>
      <c r="CR76" s="149">
        <v>0</v>
      </c>
      <c r="CS76" s="149">
        <v>0</v>
      </c>
      <c r="CT76" s="149">
        <v>0</v>
      </c>
      <c r="CU76" s="149">
        <v>0</v>
      </c>
      <c r="CV76" s="149">
        <v>0</v>
      </c>
      <c r="CW76" s="149">
        <v>0</v>
      </c>
      <c r="CX76" s="149">
        <v>50000</v>
      </c>
      <c r="CY76" s="149">
        <v>0</v>
      </c>
      <c r="CZ76" s="149">
        <v>0</v>
      </c>
      <c r="DA76" s="149">
        <v>0</v>
      </c>
    </row>
    <row r="77" spans="1:105" s="150" customFormat="1">
      <c r="A77" s="265"/>
      <c r="B77" s="156" t="s">
        <v>148</v>
      </c>
      <c r="C77" s="147" t="s">
        <v>146</v>
      </c>
      <c r="D77" s="148">
        <f t="shared" si="2"/>
        <v>195000</v>
      </c>
      <c r="E77" s="149">
        <v>0</v>
      </c>
      <c r="F77" s="149">
        <v>0</v>
      </c>
      <c r="G77" s="149">
        <v>0</v>
      </c>
      <c r="H77" s="149">
        <v>0</v>
      </c>
      <c r="I77" s="149">
        <v>0</v>
      </c>
      <c r="J77" s="149">
        <v>0</v>
      </c>
      <c r="K77" s="149">
        <v>40000</v>
      </c>
      <c r="L77" s="149">
        <v>50000</v>
      </c>
      <c r="M77" s="149">
        <v>0</v>
      </c>
      <c r="N77" s="149">
        <v>0</v>
      </c>
      <c r="O77" s="149">
        <v>35000</v>
      </c>
      <c r="P77" s="149">
        <v>0</v>
      </c>
      <c r="Q77" s="149">
        <v>0</v>
      </c>
      <c r="R77" s="149">
        <v>0</v>
      </c>
      <c r="S77" s="149">
        <v>0</v>
      </c>
      <c r="T77" s="149">
        <v>0</v>
      </c>
      <c r="U77" s="149">
        <v>0</v>
      </c>
      <c r="V77" s="149">
        <v>50000</v>
      </c>
      <c r="W77" s="149">
        <v>0</v>
      </c>
      <c r="X77" s="149">
        <v>0</v>
      </c>
      <c r="Y77" s="149">
        <v>0</v>
      </c>
      <c r="Z77" s="149">
        <v>0</v>
      </c>
      <c r="AA77" s="149">
        <v>0</v>
      </c>
      <c r="AB77" s="149">
        <v>0</v>
      </c>
      <c r="AC77" s="149">
        <v>0</v>
      </c>
      <c r="AD77" s="149">
        <v>0</v>
      </c>
      <c r="AE77" s="149">
        <v>0</v>
      </c>
      <c r="AF77" s="149">
        <v>0</v>
      </c>
      <c r="AG77" s="149">
        <v>0</v>
      </c>
      <c r="AH77" s="149">
        <v>0</v>
      </c>
      <c r="AI77" s="149">
        <v>0</v>
      </c>
      <c r="AJ77" s="149">
        <v>0</v>
      </c>
      <c r="AK77" s="149">
        <v>0</v>
      </c>
      <c r="AL77" s="149">
        <v>0</v>
      </c>
      <c r="AM77" s="149">
        <v>0</v>
      </c>
      <c r="AN77" s="149">
        <v>0</v>
      </c>
      <c r="AO77" s="149">
        <v>0</v>
      </c>
      <c r="AP77" s="149">
        <v>0</v>
      </c>
      <c r="AQ77" s="149">
        <v>0</v>
      </c>
      <c r="AR77" s="149">
        <v>0</v>
      </c>
      <c r="AS77" s="149">
        <v>0</v>
      </c>
      <c r="AT77" s="149">
        <v>0</v>
      </c>
      <c r="AU77" s="149">
        <v>0</v>
      </c>
      <c r="AV77" s="149">
        <v>0</v>
      </c>
      <c r="AW77" s="149">
        <v>0</v>
      </c>
      <c r="AX77" s="149">
        <v>0</v>
      </c>
      <c r="AY77" s="149">
        <v>0</v>
      </c>
      <c r="AZ77" s="149">
        <v>0</v>
      </c>
      <c r="BA77" s="149">
        <v>0</v>
      </c>
      <c r="BB77" s="149">
        <v>0</v>
      </c>
      <c r="BC77" s="149">
        <v>0</v>
      </c>
      <c r="BD77" s="149">
        <v>0</v>
      </c>
      <c r="BE77" s="149">
        <v>0</v>
      </c>
      <c r="BF77" s="149">
        <v>0</v>
      </c>
      <c r="BG77" s="149">
        <v>0</v>
      </c>
      <c r="BH77" s="149">
        <v>0</v>
      </c>
      <c r="BI77" s="149">
        <v>0</v>
      </c>
      <c r="BJ77" s="149">
        <v>0</v>
      </c>
      <c r="BK77" s="149">
        <v>0</v>
      </c>
      <c r="BL77" s="149">
        <v>0</v>
      </c>
      <c r="BM77" s="149">
        <v>0</v>
      </c>
      <c r="BN77" s="149">
        <v>0</v>
      </c>
      <c r="BO77" s="149">
        <v>0</v>
      </c>
      <c r="BP77" s="149">
        <v>0</v>
      </c>
      <c r="BQ77" s="149">
        <v>0</v>
      </c>
      <c r="BR77" s="149">
        <v>0</v>
      </c>
      <c r="BS77" s="149">
        <v>0</v>
      </c>
      <c r="BT77" s="149">
        <v>0</v>
      </c>
      <c r="BU77" s="149">
        <v>0</v>
      </c>
      <c r="BV77" s="149">
        <v>0</v>
      </c>
      <c r="BW77" s="149">
        <v>0</v>
      </c>
      <c r="BX77" s="149">
        <v>0</v>
      </c>
      <c r="BY77" s="149">
        <v>0</v>
      </c>
      <c r="BZ77" s="149">
        <v>0</v>
      </c>
      <c r="CA77" s="149">
        <v>0</v>
      </c>
      <c r="CB77" s="149">
        <v>0</v>
      </c>
      <c r="CC77" s="149">
        <v>0</v>
      </c>
      <c r="CD77" s="149">
        <v>0</v>
      </c>
      <c r="CE77" s="149">
        <v>20000</v>
      </c>
      <c r="CF77" s="149">
        <v>0</v>
      </c>
      <c r="CG77" s="149">
        <v>0</v>
      </c>
      <c r="CH77" s="149">
        <v>0</v>
      </c>
      <c r="CI77" s="149">
        <v>0</v>
      </c>
      <c r="CJ77" s="149">
        <v>0</v>
      </c>
      <c r="CK77" s="149">
        <v>0</v>
      </c>
      <c r="CL77" s="149">
        <v>0</v>
      </c>
      <c r="CM77" s="149">
        <v>0</v>
      </c>
      <c r="CN77" s="149">
        <v>0</v>
      </c>
      <c r="CO77" s="149">
        <v>0</v>
      </c>
      <c r="CP77" s="149">
        <v>0</v>
      </c>
      <c r="CQ77" s="149">
        <v>0</v>
      </c>
      <c r="CR77" s="149">
        <v>0</v>
      </c>
      <c r="CS77" s="149">
        <v>0</v>
      </c>
      <c r="CT77" s="149">
        <v>0</v>
      </c>
      <c r="CU77" s="149">
        <v>0</v>
      </c>
      <c r="CV77" s="149">
        <v>0</v>
      </c>
      <c r="CW77" s="149">
        <v>0</v>
      </c>
      <c r="CX77" s="149">
        <v>0</v>
      </c>
      <c r="CY77" s="149">
        <v>0</v>
      </c>
      <c r="CZ77" s="149">
        <v>0</v>
      </c>
      <c r="DA77" s="149">
        <v>0</v>
      </c>
    </row>
    <row r="78" spans="1:105" s="150" customFormat="1">
      <c r="A78" s="265"/>
      <c r="B78" s="156" t="s">
        <v>177</v>
      </c>
      <c r="C78" s="147"/>
      <c r="D78" s="149">
        <f>SUM(D76:D77)</f>
        <v>2379000</v>
      </c>
      <c r="E78" s="149">
        <f t="shared" ref="E78:BP78" si="13">SUM(E76:E77)</f>
        <v>598000</v>
      </c>
      <c r="F78" s="149">
        <f t="shared" si="13"/>
        <v>0</v>
      </c>
      <c r="G78" s="149">
        <f t="shared" si="13"/>
        <v>0</v>
      </c>
      <c r="H78" s="149">
        <f t="shared" si="13"/>
        <v>0</v>
      </c>
      <c r="I78" s="149">
        <f t="shared" si="13"/>
        <v>0</v>
      </c>
      <c r="J78" s="149">
        <f t="shared" si="13"/>
        <v>0</v>
      </c>
      <c r="K78" s="149">
        <f t="shared" si="13"/>
        <v>65000</v>
      </c>
      <c r="L78" s="149">
        <f t="shared" si="13"/>
        <v>50000</v>
      </c>
      <c r="M78" s="149">
        <f t="shared" si="13"/>
        <v>0</v>
      </c>
      <c r="N78" s="149">
        <f t="shared" si="13"/>
        <v>0</v>
      </c>
      <c r="O78" s="149">
        <f t="shared" si="13"/>
        <v>35000</v>
      </c>
      <c r="P78" s="149">
        <f t="shared" si="13"/>
        <v>0</v>
      </c>
      <c r="Q78" s="149">
        <f t="shared" si="13"/>
        <v>0</v>
      </c>
      <c r="R78" s="149">
        <f t="shared" si="13"/>
        <v>0</v>
      </c>
      <c r="S78" s="149">
        <f t="shared" si="13"/>
        <v>0</v>
      </c>
      <c r="T78" s="149">
        <f t="shared" si="13"/>
        <v>0</v>
      </c>
      <c r="U78" s="149">
        <f t="shared" si="13"/>
        <v>0</v>
      </c>
      <c r="V78" s="149">
        <f t="shared" si="13"/>
        <v>50000</v>
      </c>
      <c r="W78" s="149">
        <f t="shared" si="13"/>
        <v>0</v>
      </c>
      <c r="X78" s="149">
        <f t="shared" si="13"/>
        <v>0</v>
      </c>
      <c r="Y78" s="149">
        <f t="shared" si="13"/>
        <v>0</v>
      </c>
      <c r="Z78" s="149">
        <f t="shared" si="13"/>
        <v>0</v>
      </c>
      <c r="AA78" s="149">
        <f t="shared" si="13"/>
        <v>0</v>
      </c>
      <c r="AB78" s="149">
        <f t="shared" si="13"/>
        <v>0</v>
      </c>
      <c r="AC78" s="149">
        <f t="shared" si="13"/>
        <v>0</v>
      </c>
      <c r="AD78" s="149">
        <f t="shared" si="13"/>
        <v>110000</v>
      </c>
      <c r="AE78" s="149">
        <f t="shared" si="13"/>
        <v>0</v>
      </c>
      <c r="AF78" s="149">
        <f t="shared" si="13"/>
        <v>0</v>
      </c>
      <c r="AG78" s="149">
        <f t="shared" si="13"/>
        <v>0</v>
      </c>
      <c r="AH78" s="149">
        <f t="shared" si="13"/>
        <v>0</v>
      </c>
      <c r="AI78" s="149">
        <f t="shared" si="13"/>
        <v>0</v>
      </c>
      <c r="AJ78" s="149">
        <f t="shared" si="13"/>
        <v>0</v>
      </c>
      <c r="AK78" s="149">
        <f t="shared" si="13"/>
        <v>0</v>
      </c>
      <c r="AL78" s="149">
        <f t="shared" si="13"/>
        <v>0</v>
      </c>
      <c r="AM78" s="149">
        <f t="shared" si="13"/>
        <v>0</v>
      </c>
      <c r="AN78" s="149">
        <f t="shared" si="13"/>
        <v>0</v>
      </c>
      <c r="AO78" s="149">
        <f t="shared" si="13"/>
        <v>0</v>
      </c>
      <c r="AP78" s="149">
        <f t="shared" si="13"/>
        <v>0</v>
      </c>
      <c r="AQ78" s="149">
        <f t="shared" si="13"/>
        <v>0</v>
      </c>
      <c r="AR78" s="149">
        <f t="shared" si="13"/>
        <v>100000</v>
      </c>
      <c r="AS78" s="149">
        <f t="shared" si="13"/>
        <v>0</v>
      </c>
      <c r="AT78" s="149">
        <f t="shared" si="13"/>
        <v>0</v>
      </c>
      <c r="AU78" s="149">
        <f t="shared" si="13"/>
        <v>160000</v>
      </c>
      <c r="AV78" s="149">
        <f t="shared" si="13"/>
        <v>0</v>
      </c>
      <c r="AW78" s="149">
        <f t="shared" si="13"/>
        <v>0</v>
      </c>
      <c r="AX78" s="149">
        <f t="shared" si="13"/>
        <v>0</v>
      </c>
      <c r="AY78" s="149">
        <f t="shared" si="13"/>
        <v>0</v>
      </c>
      <c r="AZ78" s="149">
        <f t="shared" si="13"/>
        <v>0</v>
      </c>
      <c r="BA78" s="149">
        <f t="shared" si="13"/>
        <v>0</v>
      </c>
      <c r="BB78" s="149">
        <f t="shared" si="13"/>
        <v>0</v>
      </c>
      <c r="BC78" s="149">
        <f t="shared" si="13"/>
        <v>100000</v>
      </c>
      <c r="BD78" s="149">
        <f t="shared" si="13"/>
        <v>0</v>
      </c>
      <c r="BE78" s="149">
        <f t="shared" si="13"/>
        <v>0</v>
      </c>
      <c r="BF78" s="149">
        <f t="shared" si="13"/>
        <v>0</v>
      </c>
      <c r="BG78" s="149">
        <f t="shared" si="13"/>
        <v>0</v>
      </c>
      <c r="BH78" s="149">
        <f t="shared" si="13"/>
        <v>0</v>
      </c>
      <c r="BI78" s="149">
        <f t="shared" si="13"/>
        <v>0</v>
      </c>
      <c r="BJ78" s="149">
        <f t="shared" si="13"/>
        <v>65000</v>
      </c>
      <c r="BK78" s="149">
        <f t="shared" si="13"/>
        <v>0</v>
      </c>
      <c r="BL78" s="149">
        <f t="shared" si="13"/>
        <v>0</v>
      </c>
      <c r="BM78" s="149">
        <f t="shared" si="13"/>
        <v>0</v>
      </c>
      <c r="BN78" s="149">
        <f t="shared" si="13"/>
        <v>0</v>
      </c>
      <c r="BO78" s="149">
        <f t="shared" si="13"/>
        <v>0</v>
      </c>
      <c r="BP78" s="149">
        <f t="shared" si="13"/>
        <v>0</v>
      </c>
      <c r="BQ78" s="149">
        <f t="shared" ref="BQ78:DA78" si="14">SUM(BQ76:BQ77)</f>
        <v>0</v>
      </c>
      <c r="BR78" s="149">
        <f t="shared" si="14"/>
        <v>0</v>
      </c>
      <c r="BS78" s="149">
        <f t="shared" si="14"/>
        <v>0</v>
      </c>
      <c r="BT78" s="149">
        <f t="shared" si="14"/>
        <v>0</v>
      </c>
      <c r="BU78" s="149">
        <f t="shared" si="14"/>
        <v>0</v>
      </c>
      <c r="BV78" s="149">
        <f t="shared" si="14"/>
        <v>0</v>
      </c>
      <c r="BW78" s="149">
        <f t="shared" si="14"/>
        <v>0</v>
      </c>
      <c r="BX78" s="149">
        <f t="shared" si="14"/>
        <v>0</v>
      </c>
      <c r="BY78" s="149">
        <f t="shared" si="14"/>
        <v>0</v>
      </c>
      <c r="BZ78" s="149">
        <f t="shared" si="14"/>
        <v>0</v>
      </c>
      <c r="CA78" s="149">
        <f t="shared" si="14"/>
        <v>900000</v>
      </c>
      <c r="CB78" s="149">
        <f t="shared" si="14"/>
        <v>0</v>
      </c>
      <c r="CC78" s="149">
        <f t="shared" si="14"/>
        <v>0</v>
      </c>
      <c r="CD78" s="149">
        <f t="shared" si="14"/>
        <v>0</v>
      </c>
      <c r="CE78" s="149">
        <f t="shared" si="14"/>
        <v>20000</v>
      </c>
      <c r="CF78" s="149">
        <f t="shared" si="14"/>
        <v>0</v>
      </c>
      <c r="CG78" s="149">
        <f t="shared" si="14"/>
        <v>0</v>
      </c>
      <c r="CH78" s="149">
        <f t="shared" si="14"/>
        <v>0</v>
      </c>
      <c r="CI78" s="149">
        <f t="shared" si="14"/>
        <v>0</v>
      </c>
      <c r="CJ78" s="149">
        <f t="shared" si="14"/>
        <v>0</v>
      </c>
      <c r="CK78" s="149">
        <f t="shared" si="14"/>
        <v>0</v>
      </c>
      <c r="CL78" s="149">
        <f t="shared" si="14"/>
        <v>0</v>
      </c>
      <c r="CM78" s="149">
        <f t="shared" si="14"/>
        <v>30000</v>
      </c>
      <c r="CN78" s="149">
        <f t="shared" si="14"/>
        <v>46000</v>
      </c>
      <c r="CO78" s="149">
        <f t="shared" si="14"/>
        <v>0</v>
      </c>
      <c r="CP78" s="149">
        <f t="shared" si="14"/>
        <v>0</v>
      </c>
      <c r="CQ78" s="149">
        <f t="shared" si="14"/>
        <v>0</v>
      </c>
      <c r="CR78" s="149">
        <f t="shared" si="14"/>
        <v>0</v>
      </c>
      <c r="CS78" s="149">
        <f t="shared" si="14"/>
        <v>0</v>
      </c>
      <c r="CT78" s="149">
        <f t="shared" si="14"/>
        <v>0</v>
      </c>
      <c r="CU78" s="149">
        <f t="shared" si="14"/>
        <v>0</v>
      </c>
      <c r="CV78" s="149">
        <f t="shared" si="14"/>
        <v>0</v>
      </c>
      <c r="CW78" s="149">
        <f t="shared" si="14"/>
        <v>0</v>
      </c>
      <c r="CX78" s="149">
        <f t="shared" si="14"/>
        <v>50000</v>
      </c>
      <c r="CY78" s="149">
        <f t="shared" si="14"/>
        <v>0</v>
      </c>
      <c r="CZ78" s="149">
        <f t="shared" si="14"/>
        <v>0</v>
      </c>
      <c r="DA78" s="149">
        <f t="shared" si="14"/>
        <v>0</v>
      </c>
    </row>
  </sheetData>
  <mergeCells count="17">
    <mergeCell ref="A47:A68"/>
    <mergeCell ref="A69:A74"/>
    <mergeCell ref="A76:A78"/>
    <mergeCell ref="A7:B7"/>
    <mergeCell ref="A8:B8"/>
    <mergeCell ref="A9:B9"/>
    <mergeCell ref="A10:B10"/>
    <mergeCell ref="A11:B11"/>
    <mergeCell ref="A12:B12"/>
    <mergeCell ref="A13:B13"/>
    <mergeCell ref="A14:A46"/>
    <mergeCell ref="A6:B6"/>
    <mergeCell ref="A1:B1"/>
    <mergeCell ref="A2:B2"/>
    <mergeCell ref="A3:B3"/>
    <mergeCell ref="A4:B4"/>
    <mergeCell ref="A5:B5"/>
  </mergeCells>
  <phoneticPr fontId="3" type="noConversion"/>
  <pageMargins left="0.7" right="0.7" top="0.75" bottom="0.75" header="0.3" footer="0.3"/>
  <pageSetup paperSize="8" scale="61" fitToWidth="0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665</v>
      </c>
      <c r="D1" s="28" t="str">
        <f>VLOOKUP(C1,[1]學校編號!A:B,2,FALSE)</f>
        <v>665中城國小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52769000</v>
      </c>
      <c r="E2" s="37"/>
      <c r="F2" s="37">
        <f>F48+F70+F76+F77+F83</f>
        <v>15606000</v>
      </c>
      <c r="G2" s="37">
        <f t="shared" ref="G2:Q2" si="0">G48+G70+G76+G77+G83</f>
        <v>3718000</v>
      </c>
      <c r="H2" s="37">
        <f t="shared" si="0"/>
        <v>3839000</v>
      </c>
      <c r="I2" s="37">
        <f t="shared" si="0"/>
        <v>4362000</v>
      </c>
      <c r="J2" s="37">
        <f t="shared" si="0"/>
        <v>3718000</v>
      </c>
      <c r="K2" s="37">
        <f t="shared" si="0"/>
        <v>3722000</v>
      </c>
      <c r="L2" s="37">
        <f t="shared" si="0"/>
        <v>3802000</v>
      </c>
      <c r="M2" s="37">
        <f t="shared" si="0"/>
        <v>3718000</v>
      </c>
      <c r="N2" s="37">
        <f t="shared" si="0"/>
        <v>6366000</v>
      </c>
      <c r="O2" s="37">
        <f t="shared" si="0"/>
        <v>3724000</v>
      </c>
      <c r="P2" s="37">
        <f t="shared" si="0"/>
        <v>94000</v>
      </c>
      <c r="Q2" s="37">
        <f t="shared" si="0"/>
        <v>100000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271000</v>
      </c>
      <c r="E3" s="37" t="s">
        <v>525</v>
      </c>
      <c r="F3" s="37">
        <f t="shared" ref="F3:P17" si="1">ROUND($D3/12,0)</f>
        <v>22583</v>
      </c>
      <c r="G3" s="37">
        <f t="shared" si="1"/>
        <v>22583</v>
      </c>
      <c r="H3" s="37">
        <f t="shared" si="1"/>
        <v>22583</v>
      </c>
      <c r="I3" s="37">
        <f t="shared" si="1"/>
        <v>22583</v>
      </c>
      <c r="J3" s="37">
        <f t="shared" si="1"/>
        <v>22583</v>
      </c>
      <c r="K3" s="37">
        <f t="shared" si="1"/>
        <v>22583</v>
      </c>
      <c r="L3" s="37">
        <f t="shared" si="1"/>
        <v>22583</v>
      </c>
      <c r="M3" s="37">
        <f t="shared" si="1"/>
        <v>22583</v>
      </c>
      <c r="N3" s="37">
        <f t="shared" si="1"/>
        <v>22583</v>
      </c>
      <c r="O3" s="37">
        <f t="shared" si="1"/>
        <v>22583</v>
      </c>
      <c r="P3" s="37">
        <f t="shared" si="1"/>
        <v>22583</v>
      </c>
      <c r="Q3" s="37">
        <f t="shared" ref="Q3:Q10" si="2">D3-SUM(F3:P3)</f>
        <v>22587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116000</v>
      </c>
      <c r="E4" s="37" t="s">
        <v>525</v>
      </c>
      <c r="F4" s="37">
        <f t="shared" si="1"/>
        <v>9667</v>
      </c>
      <c r="G4" s="37">
        <f t="shared" si="1"/>
        <v>9667</v>
      </c>
      <c r="H4" s="37">
        <f t="shared" si="1"/>
        <v>9667</v>
      </c>
      <c r="I4" s="37">
        <f t="shared" si="1"/>
        <v>9667</v>
      </c>
      <c r="J4" s="37">
        <f t="shared" si="1"/>
        <v>9667</v>
      </c>
      <c r="K4" s="37">
        <f t="shared" si="1"/>
        <v>9667</v>
      </c>
      <c r="L4" s="37">
        <f t="shared" si="1"/>
        <v>9667</v>
      </c>
      <c r="M4" s="37">
        <f t="shared" si="1"/>
        <v>9667</v>
      </c>
      <c r="N4" s="37">
        <f t="shared" si="1"/>
        <v>9667</v>
      </c>
      <c r="O4" s="37">
        <f t="shared" si="1"/>
        <v>9667</v>
      </c>
      <c r="P4" s="37">
        <f t="shared" si="1"/>
        <v>9667</v>
      </c>
      <c r="Q4" s="37">
        <f t="shared" si="2"/>
        <v>9663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69000</v>
      </c>
      <c r="E7" s="37" t="s">
        <v>525</v>
      </c>
      <c r="F7" s="37">
        <f t="shared" si="1"/>
        <v>5750</v>
      </c>
      <c r="G7" s="37">
        <f t="shared" si="1"/>
        <v>5750</v>
      </c>
      <c r="H7" s="37">
        <f t="shared" si="1"/>
        <v>5750</v>
      </c>
      <c r="I7" s="37">
        <f t="shared" si="1"/>
        <v>5750</v>
      </c>
      <c r="J7" s="37">
        <f t="shared" si="1"/>
        <v>5750</v>
      </c>
      <c r="K7" s="37">
        <f t="shared" si="1"/>
        <v>5750</v>
      </c>
      <c r="L7" s="37">
        <f t="shared" si="1"/>
        <v>5750</v>
      </c>
      <c r="M7" s="37">
        <f t="shared" si="1"/>
        <v>5750</v>
      </c>
      <c r="N7" s="37">
        <f t="shared" si="1"/>
        <v>5750</v>
      </c>
      <c r="O7" s="37">
        <f t="shared" si="1"/>
        <v>5750</v>
      </c>
      <c r="P7" s="37">
        <f t="shared" si="1"/>
        <v>5750</v>
      </c>
      <c r="Q7" s="37">
        <f t="shared" si="2"/>
        <v>5750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30000</v>
      </c>
      <c r="E8" s="37" t="s">
        <v>525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6000</v>
      </c>
      <c r="E9" s="37" t="s">
        <v>525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0</v>
      </c>
      <c r="E13" s="37" t="s">
        <v>525</v>
      </c>
      <c r="F13" s="37">
        <f>ROUND($D13/12,0)</f>
        <v>0</v>
      </c>
      <c r="G13" s="37">
        <f t="shared" si="1"/>
        <v>0</v>
      </c>
      <c r="H13" s="37">
        <f t="shared" si="1"/>
        <v>0</v>
      </c>
      <c r="I13" s="37">
        <f t="shared" si="1"/>
        <v>0</v>
      </c>
      <c r="J13" s="37">
        <f t="shared" si="1"/>
        <v>0</v>
      </c>
      <c r="K13" s="37">
        <f t="shared" si="1"/>
        <v>0</v>
      </c>
      <c r="L13" s="37">
        <f t="shared" si="1"/>
        <v>0</v>
      </c>
      <c r="M13" s="37">
        <f t="shared" si="1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>D13-SUM(F13:P13)</f>
        <v>0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68000</v>
      </c>
      <c r="E15" s="37" t="s">
        <v>193</v>
      </c>
      <c r="F15" s="37">
        <f>ROUND($D15/2,-3)</f>
        <v>34000</v>
      </c>
      <c r="G15" s="37"/>
      <c r="H15" s="37"/>
      <c r="I15" s="37"/>
      <c r="J15" s="37"/>
      <c r="K15" s="37"/>
      <c r="L15" s="37">
        <f>D15-F15</f>
        <v>34000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53000</v>
      </c>
      <c r="E17" s="37" t="s">
        <v>525</v>
      </c>
      <c r="F17" s="37">
        <f>ROUND($D17/12,0)</f>
        <v>4417</v>
      </c>
      <c r="G17" s="37">
        <f t="shared" si="1"/>
        <v>4417</v>
      </c>
      <c r="H17" s="37">
        <f t="shared" si="1"/>
        <v>4417</v>
      </c>
      <c r="I17" s="37">
        <f t="shared" si="1"/>
        <v>4417</v>
      </c>
      <c r="J17" s="37">
        <f t="shared" si="1"/>
        <v>4417</v>
      </c>
      <c r="K17" s="37">
        <f t="shared" si="1"/>
        <v>4417</v>
      </c>
      <c r="L17" s="37">
        <f t="shared" si="1"/>
        <v>4417</v>
      </c>
      <c r="M17" s="37">
        <f t="shared" si="1"/>
        <v>4417</v>
      </c>
      <c r="N17" s="37">
        <f t="shared" si="1"/>
        <v>4417</v>
      </c>
      <c r="O17" s="37">
        <f t="shared" si="1"/>
        <v>4417</v>
      </c>
      <c r="P17" s="37">
        <f t="shared" si="1"/>
        <v>4417</v>
      </c>
      <c r="Q17" s="37">
        <f>D17-SUM(F17:P17)</f>
        <v>4413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70000</v>
      </c>
      <c r="E24" s="37" t="s">
        <v>193</v>
      </c>
      <c r="F24" s="37">
        <f>ROUND($D24/2,-3)</f>
        <v>35000</v>
      </c>
      <c r="G24" s="37"/>
      <c r="H24" s="37"/>
      <c r="I24" s="37"/>
      <c r="J24" s="37"/>
      <c r="K24" s="37"/>
      <c r="L24" s="37">
        <f>D24-F24</f>
        <v>35000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779000</v>
      </c>
      <c r="E25" s="108"/>
      <c r="F25" s="108">
        <f>ROUND(SUM(F3:F24),-3)</f>
        <v>122000</v>
      </c>
      <c r="G25" s="108">
        <f t="shared" ref="G25:P25" si="5">ROUND(SUM(G3:G24),-3)</f>
        <v>53000</v>
      </c>
      <c r="H25" s="108">
        <f t="shared" si="5"/>
        <v>53000</v>
      </c>
      <c r="I25" s="108">
        <f t="shared" si="5"/>
        <v>53000</v>
      </c>
      <c r="J25" s="108">
        <f t="shared" si="5"/>
        <v>53000</v>
      </c>
      <c r="K25" s="108">
        <f t="shared" si="5"/>
        <v>53000</v>
      </c>
      <c r="L25" s="108">
        <f t="shared" si="5"/>
        <v>122000</v>
      </c>
      <c r="M25" s="108">
        <f t="shared" si="5"/>
        <v>53000</v>
      </c>
      <c r="N25" s="108">
        <f t="shared" si="5"/>
        <v>53000</v>
      </c>
      <c r="O25" s="108">
        <f t="shared" si="5"/>
        <v>53000</v>
      </c>
      <c r="P25" s="108">
        <f t="shared" si="5"/>
        <v>53000</v>
      </c>
      <c r="Q25" s="108">
        <f t="shared" ref="Q25:Q33" si="6">D25-SUM(F25:P25)</f>
        <v>58000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302000</v>
      </c>
      <c r="E27" s="37" t="s">
        <v>525</v>
      </c>
      <c r="F27" s="37">
        <f t="shared" ref="F27:P33" si="8">ROUND($D27/12,0)</f>
        <v>25167</v>
      </c>
      <c r="G27" s="37">
        <f t="shared" si="8"/>
        <v>25167</v>
      </c>
      <c r="H27" s="37">
        <f t="shared" si="8"/>
        <v>25167</v>
      </c>
      <c r="I27" s="37">
        <f t="shared" si="8"/>
        <v>25167</v>
      </c>
      <c r="J27" s="37">
        <f t="shared" si="8"/>
        <v>25167</v>
      </c>
      <c r="K27" s="37">
        <f t="shared" si="8"/>
        <v>25167</v>
      </c>
      <c r="L27" s="37">
        <f t="shared" si="8"/>
        <v>25167</v>
      </c>
      <c r="M27" s="37">
        <f t="shared" si="8"/>
        <v>25167</v>
      </c>
      <c r="N27" s="37">
        <f t="shared" si="8"/>
        <v>25167</v>
      </c>
      <c r="O27" s="37">
        <f t="shared" si="8"/>
        <v>25167</v>
      </c>
      <c r="P27" s="37">
        <f t="shared" si="8"/>
        <v>25167</v>
      </c>
      <c r="Q27" s="37">
        <f t="shared" si="6"/>
        <v>25163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29000</v>
      </c>
      <c r="E29" s="37" t="s">
        <v>525</v>
      </c>
      <c r="F29" s="37">
        <f t="shared" si="8"/>
        <v>2417</v>
      </c>
      <c r="G29" s="37">
        <f t="shared" si="8"/>
        <v>2417</v>
      </c>
      <c r="H29" s="37">
        <f t="shared" si="8"/>
        <v>2417</v>
      </c>
      <c r="I29" s="37">
        <f t="shared" si="8"/>
        <v>2417</v>
      </c>
      <c r="J29" s="37">
        <f t="shared" si="8"/>
        <v>2417</v>
      </c>
      <c r="K29" s="37">
        <f t="shared" si="8"/>
        <v>2417</v>
      </c>
      <c r="L29" s="37">
        <f t="shared" si="8"/>
        <v>2417</v>
      </c>
      <c r="M29" s="37">
        <f t="shared" si="8"/>
        <v>2417</v>
      </c>
      <c r="N29" s="37">
        <f t="shared" si="8"/>
        <v>2417</v>
      </c>
      <c r="O29" s="37">
        <f t="shared" si="8"/>
        <v>2417</v>
      </c>
      <c r="P29" s="37">
        <f t="shared" si="8"/>
        <v>2417</v>
      </c>
      <c r="Q29" s="37">
        <f t="shared" si="6"/>
        <v>2413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60000</v>
      </c>
      <c r="E30" s="37" t="s">
        <v>525</v>
      </c>
      <c r="F30" s="37">
        <f t="shared" si="8"/>
        <v>5000</v>
      </c>
      <c r="G30" s="37">
        <f t="shared" si="8"/>
        <v>5000</v>
      </c>
      <c r="H30" s="37">
        <f t="shared" si="8"/>
        <v>5000</v>
      </c>
      <c r="I30" s="37">
        <f t="shared" si="8"/>
        <v>5000</v>
      </c>
      <c r="J30" s="37">
        <f t="shared" si="8"/>
        <v>5000</v>
      </c>
      <c r="K30" s="37">
        <f t="shared" si="8"/>
        <v>5000</v>
      </c>
      <c r="L30" s="37">
        <f t="shared" si="8"/>
        <v>5000</v>
      </c>
      <c r="M30" s="37">
        <f t="shared" si="8"/>
        <v>5000</v>
      </c>
      <c r="N30" s="37">
        <f t="shared" si="8"/>
        <v>5000</v>
      </c>
      <c r="O30" s="37">
        <f t="shared" si="8"/>
        <v>5000</v>
      </c>
      <c r="P30" s="37">
        <f t="shared" si="8"/>
        <v>5000</v>
      </c>
      <c r="Q30" s="37">
        <f t="shared" si="6"/>
        <v>5000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30000</v>
      </c>
      <c r="E31" s="37" t="s">
        <v>525</v>
      </c>
      <c r="F31" s="37">
        <f t="shared" si="8"/>
        <v>2500</v>
      </c>
      <c r="G31" s="37">
        <f t="shared" si="8"/>
        <v>2500</v>
      </c>
      <c r="H31" s="37">
        <f t="shared" si="8"/>
        <v>2500</v>
      </c>
      <c r="I31" s="37">
        <f t="shared" si="8"/>
        <v>2500</v>
      </c>
      <c r="J31" s="37">
        <f t="shared" si="8"/>
        <v>2500</v>
      </c>
      <c r="K31" s="37">
        <f t="shared" si="8"/>
        <v>2500</v>
      </c>
      <c r="L31" s="37">
        <f t="shared" si="8"/>
        <v>2500</v>
      </c>
      <c r="M31" s="37">
        <f t="shared" si="8"/>
        <v>2500</v>
      </c>
      <c r="N31" s="37">
        <f t="shared" si="8"/>
        <v>2500</v>
      </c>
      <c r="O31" s="37">
        <f t="shared" si="8"/>
        <v>2500</v>
      </c>
      <c r="P31" s="37">
        <f t="shared" si="8"/>
        <v>2500</v>
      </c>
      <c r="Q31" s="37">
        <f t="shared" si="6"/>
        <v>2500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30000</v>
      </c>
      <c r="E36" s="37" t="s">
        <v>193</v>
      </c>
      <c r="F36" s="37">
        <f>ROUND($D36/2,-3)</f>
        <v>15000</v>
      </c>
      <c r="G36" s="37"/>
      <c r="H36" s="37"/>
      <c r="I36" s="37"/>
      <c r="J36" s="37"/>
      <c r="K36" s="37"/>
      <c r="L36" s="37">
        <f>D36-F36</f>
        <v>15000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451000</v>
      </c>
      <c r="E37" s="108"/>
      <c r="F37" s="108">
        <f t="shared" ref="F37:P37" si="9">ROUND(SUM(F26:F36),-3)</f>
        <v>50000</v>
      </c>
      <c r="G37" s="108">
        <f t="shared" si="9"/>
        <v>35000</v>
      </c>
      <c r="H37" s="108">
        <f t="shared" si="9"/>
        <v>35000</v>
      </c>
      <c r="I37" s="108">
        <f t="shared" si="9"/>
        <v>35000</v>
      </c>
      <c r="J37" s="108">
        <f t="shared" si="9"/>
        <v>35000</v>
      </c>
      <c r="K37" s="108">
        <f t="shared" si="9"/>
        <v>35000</v>
      </c>
      <c r="L37" s="108">
        <f t="shared" si="9"/>
        <v>50000</v>
      </c>
      <c r="M37" s="108">
        <f t="shared" si="9"/>
        <v>35000</v>
      </c>
      <c r="N37" s="108">
        <f t="shared" si="9"/>
        <v>35000</v>
      </c>
      <c r="O37" s="108">
        <f t="shared" si="9"/>
        <v>35000</v>
      </c>
      <c r="P37" s="108">
        <f t="shared" si="9"/>
        <v>35000</v>
      </c>
      <c r="Q37" s="108">
        <f>D37-SUM(F37:P37)</f>
        <v>36000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1242000</v>
      </c>
      <c r="E48" s="37"/>
      <c r="F48" s="115">
        <f>F25+F37+F45+F47</f>
        <v>176000</v>
      </c>
      <c r="G48" s="115">
        <f t="shared" ref="G48:R48" si="14">G25+G37+G45+G47</f>
        <v>88000</v>
      </c>
      <c r="H48" s="115">
        <f t="shared" si="14"/>
        <v>88000</v>
      </c>
      <c r="I48" s="115">
        <f t="shared" si="14"/>
        <v>88000</v>
      </c>
      <c r="J48" s="115">
        <f t="shared" si="14"/>
        <v>88000</v>
      </c>
      <c r="K48" s="115">
        <f t="shared" si="14"/>
        <v>92000</v>
      </c>
      <c r="L48" s="115">
        <f t="shared" si="14"/>
        <v>172000</v>
      </c>
      <c r="M48" s="115">
        <f t="shared" si="14"/>
        <v>88000</v>
      </c>
      <c r="N48" s="115">
        <f t="shared" si="14"/>
        <v>92000</v>
      </c>
      <c r="O48" s="115">
        <f t="shared" si="14"/>
        <v>88000</v>
      </c>
      <c r="P48" s="115">
        <f t="shared" si="14"/>
        <v>88000</v>
      </c>
      <c r="Q48" s="115">
        <f t="shared" si="14"/>
        <v>94000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28478000</v>
      </c>
      <c r="E49" s="114" t="s">
        <v>202</v>
      </c>
      <c r="F49" s="37">
        <f>ROUND($D49/12*3,-3)</f>
        <v>7120000</v>
      </c>
      <c r="G49" s="37">
        <f>ROUND($D49/12,-3)</f>
        <v>2373000</v>
      </c>
      <c r="H49" s="37">
        <f t="shared" ref="H49:N53" si="15">ROUND($D49/12,-3)</f>
        <v>2373000</v>
      </c>
      <c r="I49" s="37">
        <f t="shared" si="15"/>
        <v>2373000</v>
      </c>
      <c r="J49" s="37">
        <f t="shared" si="15"/>
        <v>2373000</v>
      </c>
      <c r="K49" s="37">
        <f t="shared" si="15"/>
        <v>2373000</v>
      </c>
      <c r="L49" s="37">
        <f t="shared" si="15"/>
        <v>2373000</v>
      </c>
      <c r="M49" s="37">
        <f t="shared" si="15"/>
        <v>2373000</v>
      </c>
      <c r="N49" s="37">
        <f t="shared" si="15"/>
        <v>2373000</v>
      </c>
      <c r="O49" s="37">
        <f>D49-SUM(F49:N49)</f>
        <v>2374000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406000</v>
      </c>
      <c r="E50" s="114" t="s">
        <v>202</v>
      </c>
      <c r="F50" s="37">
        <f t="shared" ref="F50:F53" si="16">ROUND($D50/12*3,-3)</f>
        <v>102000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si="15"/>
        <v>34000</v>
      </c>
      <c r="N50" s="37">
        <f t="shared" si="15"/>
        <v>34000</v>
      </c>
      <c r="O50" s="37">
        <f t="shared" ref="O50:O53" si="18">D50-SUM(F50:N50)</f>
        <v>32000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3309000</v>
      </c>
      <c r="E51" s="114" t="s">
        <v>202</v>
      </c>
      <c r="F51" s="37">
        <f t="shared" si="16"/>
        <v>827000</v>
      </c>
      <c r="G51" s="37">
        <f t="shared" si="17"/>
        <v>276000</v>
      </c>
      <c r="H51" s="37">
        <f t="shared" si="15"/>
        <v>276000</v>
      </c>
      <c r="I51" s="37">
        <f t="shared" si="15"/>
        <v>276000</v>
      </c>
      <c r="J51" s="37">
        <f t="shared" si="15"/>
        <v>276000</v>
      </c>
      <c r="K51" s="37">
        <f t="shared" si="15"/>
        <v>276000</v>
      </c>
      <c r="L51" s="37">
        <f t="shared" si="15"/>
        <v>276000</v>
      </c>
      <c r="M51" s="37">
        <f t="shared" si="15"/>
        <v>276000</v>
      </c>
      <c r="N51" s="37">
        <f t="shared" si="15"/>
        <v>276000</v>
      </c>
      <c r="O51" s="37">
        <f t="shared" si="18"/>
        <v>274000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399000</v>
      </c>
      <c r="E52" s="114" t="s">
        <v>202</v>
      </c>
      <c r="F52" s="37">
        <f t="shared" si="16"/>
        <v>100000</v>
      </c>
      <c r="G52" s="37">
        <f t="shared" si="17"/>
        <v>33000</v>
      </c>
      <c r="H52" s="37">
        <f t="shared" si="15"/>
        <v>33000</v>
      </c>
      <c r="I52" s="37">
        <f t="shared" si="15"/>
        <v>33000</v>
      </c>
      <c r="J52" s="37">
        <f t="shared" si="15"/>
        <v>33000</v>
      </c>
      <c r="K52" s="37">
        <f t="shared" si="15"/>
        <v>33000</v>
      </c>
      <c r="L52" s="37">
        <f t="shared" si="15"/>
        <v>33000</v>
      </c>
      <c r="M52" s="37">
        <f t="shared" si="15"/>
        <v>33000</v>
      </c>
      <c r="N52" s="37">
        <f t="shared" si="15"/>
        <v>33000</v>
      </c>
      <c r="O52" s="37">
        <f t="shared" si="18"/>
        <v>35000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72000</v>
      </c>
      <c r="E54" s="37" t="s">
        <v>525</v>
      </c>
      <c r="F54" s="37">
        <f t="shared" ref="F54:P61" si="19">ROUND($D54/12,0)</f>
        <v>6000</v>
      </c>
      <c r="G54" s="37">
        <f t="shared" si="19"/>
        <v>6000</v>
      </c>
      <c r="H54" s="37">
        <f t="shared" si="19"/>
        <v>6000</v>
      </c>
      <c r="I54" s="37">
        <f t="shared" si="19"/>
        <v>6000</v>
      </c>
      <c r="J54" s="37">
        <f t="shared" si="19"/>
        <v>6000</v>
      </c>
      <c r="K54" s="37">
        <f t="shared" si="19"/>
        <v>6000</v>
      </c>
      <c r="L54" s="37">
        <f t="shared" si="19"/>
        <v>6000</v>
      </c>
      <c r="M54" s="37">
        <f t="shared" si="19"/>
        <v>6000</v>
      </c>
      <c r="N54" s="37">
        <f t="shared" si="19"/>
        <v>6000</v>
      </c>
      <c r="O54" s="37">
        <f t="shared" si="19"/>
        <v>6000</v>
      </c>
      <c r="P54" s="37">
        <f t="shared" si="19"/>
        <v>6000</v>
      </c>
      <c r="Q54" s="37">
        <f t="shared" ref="Q54:Q61" si="20">D54-SUM(F54:P54)</f>
        <v>6000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0</v>
      </c>
      <c r="E59" s="37" t="s">
        <v>525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753000</v>
      </c>
      <c r="E60" s="37" t="s">
        <v>195</v>
      </c>
      <c r="F60" s="37">
        <f>D60</f>
        <v>753000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3221000</v>
      </c>
      <c r="E62" s="37" t="s">
        <v>197</v>
      </c>
      <c r="F62" s="37"/>
      <c r="G62" s="37"/>
      <c r="H62" s="37"/>
      <c r="I62" s="37">
        <f>ROUND($D62/5,-3)</f>
        <v>644000</v>
      </c>
      <c r="J62" s="37"/>
      <c r="K62" s="37"/>
      <c r="L62" s="37"/>
      <c r="M62" s="37"/>
      <c r="N62" s="37">
        <f>D62-I62</f>
        <v>2577000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3543000</v>
      </c>
      <c r="E63" s="37" t="s">
        <v>195</v>
      </c>
      <c r="F63" s="37">
        <f>D63</f>
        <v>3543000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2941000</v>
      </c>
      <c r="E64" s="114" t="s">
        <v>202</v>
      </c>
      <c r="F64" s="37">
        <f>ROUND($D64/12*3,-3)</f>
        <v>735000</v>
      </c>
      <c r="G64" s="37">
        <f>ROUND($D64/12,-3)</f>
        <v>245000</v>
      </c>
      <c r="H64" s="37">
        <f t="shared" ref="H64:N66" si="21">ROUND($D64/12,-3)</f>
        <v>245000</v>
      </c>
      <c r="I64" s="37">
        <f t="shared" si="21"/>
        <v>245000</v>
      </c>
      <c r="J64" s="37">
        <f t="shared" si="21"/>
        <v>245000</v>
      </c>
      <c r="K64" s="37">
        <f t="shared" si="21"/>
        <v>245000</v>
      </c>
      <c r="L64" s="37">
        <f t="shared" si="21"/>
        <v>245000</v>
      </c>
      <c r="M64" s="37">
        <f t="shared" si="21"/>
        <v>245000</v>
      </c>
      <c r="N64" s="37">
        <f t="shared" si="21"/>
        <v>245000</v>
      </c>
      <c r="O64" s="37">
        <f>D64-SUM(F64:N64)</f>
        <v>246000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686000</v>
      </c>
      <c r="E65" s="114" t="s">
        <v>202</v>
      </c>
      <c r="F65" s="37">
        <f t="shared" ref="F65:F66" si="22">ROUND($D65/12*3,-3)</f>
        <v>172000</v>
      </c>
      <c r="G65" s="37">
        <f t="shared" ref="G65:G66" si="23">ROUND($D65/12,-3)</f>
        <v>57000</v>
      </c>
      <c r="H65" s="37">
        <f t="shared" si="21"/>
        <v>57000</v>
      </c>
      <c r="I65" s="37">
        <f t="shared" si="21"/>
        <v>57000</v>
      </c>
      <c r="J65" s="37">
        <f t="shared" si="21"/>
        <v>57000</v>
      </c>
      <c r="K65" s="37">
        <f t="shared" si="21"/>
        <v>57000</v>
      </c>
      <c r="L65" s="37">
        <f t="shared" si="21"/>
        <v>57000</v>
      </c>
      <c r="M65" s="37">
        <f t="shared" si="21"/>
        <v>57000</v>
      </c>
      <c r="N65" s="37">
        <f t="shared" si="21"/>
        <v>57000</v>
      </c>
      <c r="O65" s="37">
        <f t="shared" ref="O65:O66" si="24">D65-SUM(F65:N65)</f>
        <v>58000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2126000</v>
      </c>
      <c r="E66" s="114" t="s">
        <v>202</v>
      </c>
      <c r="F66" s="37">
        <f t="shared" si="22"/>
        <v>532000</v>
      </c>
      <c r="G66" s="37">
        <f t="shared" si="23"/>
        <v>177000</v>
      </c>
      <c r="H66" s="37">
        <f t="shared" si="21"/>
        <v>177000</v>
      </c>
      <c r="I66" s="37">
        <f t="shared" si="21"/>
        <v>177000</v>
      </c>
      <c r="J66" s="37">
        <f t="shared" si="21"/>
        <v>177000</v>
      </c>
      <c r="K66" s="37">
        <f t="shared" si="21"/>
        <v>177000</v>
      </c>
      <c r="L66" s="37">
        <f t="shared" si="21"/>
        <v>177000</v>
      </c>
      <c r="M66" s="37">
        <f t="shared" si="21"/>
        <v>177000</v>
      </c>
      <c r="N66" s="37">
        <f t="shared" si="21"/>
        <v>177000</v>
      </c>
      <c r="O66" s="37">
        <f t="shared" si="24"/>
        <v>178000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54000</v>
      </c>
      <c r="E67" s="37" t="s">
        <v>196</v>
      </c>
      <c r="F67" s="37"/>
      <c r="G67" s="37"/>
      <c r="H67" s="37">
        <f>D67</f>
        <v>54000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251000</v>
      </c>
      <c r="E68" s="37" t="s">
        <v>195</v>
      </c>
      <c r="F68" s="37">
        <f>D68</f>
        <v>251000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46239000</v>
      </c>
      <c r="E70" s="108"/>
      <c r="F70" s="108">
        <f t="shared" ref="F70:P70" si="25">ROUND(SUM(F49:F69),-3)</f>
        <v>14141000</v>
      </c>
      <c r="G70" s="108">
        <f t="shared" si="25"/>
        <v>3201000</v>
      </c>
      <c r="H70" s="108">
        <f t="shared" si="25"/>
        <v>3255000</v>
      </c>
      <c r="I70" s="108">
        <f t="shared" si="25"/>
        <v>3845000</v>
      </c>
      <c r="J70" s="108">
        <f t="shared" si="25"/>
        <v>3201000</v>
      </c>
      <c r="K70" s="108">
        <f t="shared" si="25"/>
        <v>3201000</v>
      </c>
      <c r="L70" s="108">
        <f t="shared" si="25"/>
        <v>3201000</v>
      </c>
      <c r="M70" s="108">
        <f t="shared" si="25"/>
        <v>3201000</v>
      </c>
      <c r="N70" s="108">
        <f t="shared" si="25"/>
        <v>5778000</v>
      </c>
      <c r="O70" s="108">
        <f t="shared" si="25"/>
        <v>3203000</v>
      </c>
      <c r="P70" s="108">
        <f t="shared" si="25"/>
        <v>6000</v>
      </c>
      <c r="Q70" s="108">
        <f>D70-SUM(F70:P70)</f>
        <v>6000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5007000</v>
      </c>
      <c r="E72" s="114" t="s">
        <v>202</v>
      </c>
      <c r="F72" s="37">
        <f>ROUND($D72/12*3,-3)</f>
        <v>1252000</v>
      </c>
      <c r="G72" s="37">
        <f>ROUND($D72/12,-3)</f>
        <v>417000</v>
      </c>
      <c r="H72" s="37">
        <f t="shared" ref="H72:N75" si="26">ROUND($D72/12,-3)</f>
        <v>417000</v>
      </c>
      <c r="I72" s="37">
        <f t="shared" si="26"/>
        <v>417000</v>
      </c>
      <c r="J72" s="37">
        <f t="shared" si="26"/>
        <v>417000</v>
      </c>
      <c r="K72" s="37">
        <f t="shared" si="26"/>
        <v>417000</v>
      </c>
      <c r="L72" s="37">
        <f t="shared" si="26"/>
        <v>417000</v>
      </c>
      <c r="M72" s="37">
        <f t="shared" si="26"/>
        <v>417000</v>
      </c>
      <c r="N72" s="37">
        <f t="shared" si="26"/>
        <v>417000</v>
      </c>
      <c r="O72" s="37">
        <f>D72-SUM(F72:N72)</f>
        <v>419000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147000</v>
      </c>
      <c r="E75" s="114" t="s">
        <v>202</v>
      </c>
      <c r="F75" s="37">
        <f>ROUND($D75/12*3,-3)</f>
        <v>37000</v>
      </c>
      <c r="G75" s="37">
        <f>ROUND($D75/12,-3)</f>
        <v>12000</v>
      </c>
      <c r="H75" s="37">
        <f t="shared" si="26"/>
        <v>12000</v>
      </c>
      <c r="I75" s="37">
        <f t="shared" si="26"/>
        <v>12000</v>
      </c>
      <c r="J75" s="37">
        <f t="shared" si="26"/>
        <v>12000</v>
      </c>
      <c r="K75" s="37">
        <f t="shared" si="26"/>
        <v>12000</v>
      </c>
      <c r="L75" s="37">
        <f t="shared" si="26"/>
        <v>12000</v>
      </c>
      <c r="M75" s="37">
        <f t="shared" si="26"/>
        <v>12000</v>
      </c>
      <c r="N75" s="37">
        <f t="shared" si="26"/>
        <v>12000</v>
      </c>
      <c r="O75" s="37">
        <f>D75-SUM(F75:N75)</f>
        <v>14000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5154000</v>
      </c>
      <c r="E76" s="108"/>
      <c r="F76" s="108">
        <f>ROUND(SUM(F71:F75),-3)</f>
        <v>1289000</v>
      </c>
      <c r="G76" s="108">
        <f t="shared" ref="G76:N76" si="27">ROUND(SUM(G71:G75),-3)</f>
        <v>429000</v>
      </c>
      <c r="H76" s="108">
        <f t="shared" si="27"/>
        <v>429000</v>
      </c>
      <c r="I76" s="108">
        <f t="shared" si="27"/>
        <v>429000</v>
      </c>
      <c r="J76" s="108">
        <f t="shared" si="27"/>
        <v>429000</v>
      </c>
      <c r="K76" s="108">
        <f t="shared" si="27"/>
        <v>429000</v>
      </c>
      <c r="L76" s="108">
        <f t="shared" si="27"/>
        <v>429000</v>
      </c>
      <c r="M76" s="108">
        <f t="shared" si="27"/>
        <v>429000</v>
      </c>
      <c r="N76" s="108">
        <f t="shared" si="27"/>
        <v>429000</v>
      </c>
      <c r="O76" s="108">
        <f>D76-SUM(F76:N76)</f>
        <v>433000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134000</v>
      </c>
      <c r="E77" s="37" t="s">
        <v>681</v>
      </c>
      <c r="F77" s="224"/>
      <c r="G77" s="224"/>
      <c r="H77" s="224">
        <f>ROUND($D77/2,-3)</f>
        <v>67000</v>
      </c>
      <c r="I77" s="224"/>
      <c r="J77" s="224"/>
      <c r="K77" s="224"/>
      <c r="L77" s="224"/>
      <c r="M77" s="224"/>
      <c r="N77" s="224">
        <f>D77-H77</f>
        <v>67000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51527000</v>
      </c>
      <c r="E78" s="227"/>
      <c r="F78" s="227">
        <f>F76+F70+F77</f>
        <v>15430000</v>
      </c>
      <c r="G78" s="227">
        <f t="shared" ref="G78:Q78" si="29">G76+G70+G77</f>
        <v>3630000</v>
      </c>
      <c r="H78" s="227">
        <f t="shared" si="29"/>
        <v>3751000</v>
      </c>
      <c r="I78" s="227">
        <f t="shared" si="29"/>
        <v>4274000</v>
      </c>
      <c r="J78" s="227">
        <f t="shared" si="29"/>
        <v>3630000</v>
      </c>
      <c r="K78" s="227">
        <f t="shared" si="29"/>
        <v>3630000</v>
      </c>
      <c r="L78" s="227">
        <f t="shared" si="29"/>
        <v>3630000</v>
      </c>
      <c r="M78" s="227">
        <f t="shared" si="29"/>
        <v>3630000</v>
      </c>
      <c r="N78" s="227">
        <f t="shared" si="29"/>
        <v>6274000</v>
      </c>
      <c r="O78" s="227">
        <f t="shared" si="29"/>
        <v>3636000</v>
      </c>
      <c r="P78" s="227">
        <f t="shared" si="29"/>
        <v>6000</v>
      </c>
      <c r="Q78" s="227">
        <f t="shared" si="29"/>
        <v>6000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52769000</v>
      </c>
      <c r="E87" s="37"/>
      <c r="F87" s="37">
        <f>F88+F89+F90+F91</f>
        <v>15606000</v>
      </c>
      <c r="G87" s="37">
        <f t="shared" ref="G87:Q87" si="32">G88+G89+G90+G91</f>
        <v>3718000</v>
      </c>
      <c r="H87" s="37">
        <f t="shared" si="32"/>
        <v>3839000</v>
      </c>
      <c r="I87" s="37">
        <f t="shared" si="32"/>
        <v>4362000</v>
      </c>
      <c r="J87" s="37">
        <f t="shared" si="32"/>
        <v>3718000</v>
      </c>
      <c r="K87" s="37">
        <f t="shared" si="32"/>
        <v>3722000</v>
      </c>
      <c r="L87" s="37">
        <f t="shared" si="32"/>
        <v>3802000</v>
      </c>
      <c r="M87" s="37">
        <f t="shared" si="32"/>
        <v>3718000</v>
      </c>
      <c r="N87" s="37">
        <f t="shared" si="32"/>
        <v>6366000</v>
      </c>
      <c r="O87" s="37">
        <f t="shared" si="32"/>
        <v>3724000</v>
      </c>
      <c r="P87" s="37">
        <f t="shared" si="32"/>
        <v>94000</v>
      </c>
      <c r="Q87" s="37">
        <f t="shared" si="32"/>
        <v>100000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104000</v>
      </c>
      <c r="E88" s="108" t="s">
        <v>193</v>
      </c>
      <c r="F88" s="108">
        <f>ROUND($D88/2,-3)</f>
        <v>52000</v>
      </c>
      <c r="G88" s="108"/>
      <c r="H88" s="108"/>
      <c r="I88" s="108"/>
      <c r="J88" s="108"/>
      <c r="K88" s="108"/>
      <c r="L88" s="108">
        <f>D88-F88</f>
        <v>52000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2000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1000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52663000</v>
      </c>
      <c r="E91" s="108"/>
      <c r="F91" s="108">
        <f>F92+F93+F94+F95</f>
        <v>15554000</v>
      </c>
      <c r="G91" s="108">
        <f t="shared" ref="G91:Q91" si="34">G92+G93+G94+G95</f>
        <v>3718000</v>
      </c>
      <c r="H91" s="108">
        <f t="shared" si="34"/>
        <v>3839000</v>
      </c>
      <c r="I91" s="108">
        <f t="shared" si="34"/>
        <v>4362000</v>
      </c>
      <c r="J91" s="108">
        <f t="shared" si="34"/>
        <v>3718000</v>
      </c>
      <c r="K91" s="108">
        <f t="shared" si="34"/>
        <v>3722000</v>
      </c>
      <c r="L91" s="108">
        <f t="shared" si="34"/>
        <v>3749000</v>
      </c>
      <c r="M91" s="108">
        <f t="shared" si="34"/>
        <v>3718000</v>
      </c>
      <c r="N91" s="108">
        <f t="shared" si="34"/>
        <v>6366000</v>
      </c>
      <c r="O91" s="108">
        <f t="shared" si="34"/>
        <v>3724000</v>
      </c>
      <c r="P91" s="108">
        <f t="shared" si="34"/>
        <v>94000</v>
      </c>
      <c r="Q91" s="108">
        <f t="shared" si="34"/>
        <v>99000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4031000</v>
      </c>
      <c r="E92" s="114" t="s">
        <v>537</v>
      </c>
      <c r="F92" s="37">
        <f>ROUND($D92/12*5,-3)</f>
        <v>1680000</v>
      </c>
      <c r="G92" s="37">
        <f>ROUND($D92/12,-3)</f>
        <v>336000</v>
      </c>
      <c r="H92" s="37">
        <f t="shared" ref="H92:L92" si="35">ROUND($D92/12,-3)</f>
        <v>336000</v>
      </c>
      <c r="I92" s="37">
        <f t="shared" si="35"/>
        <v>336000</v>
      </c>
      <c r="J92" s="37">
        <f t="shared" si="35"/>
        <v>336000</v>
      </c>
      <c r="K92" s="37">
        <f t="shared" si="35"/>
        <v>336000</v>
      </c>
      <c r="L92" s="37">
        <f t="shared" si="35"/>
        <v>336000</v>
      </c>
      <c r="M92" s="37">
        <f>D92-SUM(F92:L92)</f>
        <v>335000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193000</v>
      </c>
      <c r="E93" s="189" t="s">
        <v>227</v>
      </c>
      <c r="F93" s="37">
        <f>ROUND($D93/12,-3)</f>
        <v>16000</v>
      </c>
      <c r="G93" s="37">
        <f t="shared" ref="G93:P93" si="36">ROUND($D93/12,-3)</f>
        <v>16000</v>
      </c>
      <c r="H93" s="37">
        <f t="shared" si="36"/>
        <v>16000</v>
      </c>
      <c r="I93" s="37">
        <f t="shared" si="36"/>
        <v>16000</v>
      </c>
      <c r="J93" s="37">
        <f t="shared" si="36"/>
        <v>16000</v>
      </c>
      <c r="K93" s="37">
        <f t="shared" si="36"/>
        <v>16000</v>
      </c>
      <c r="L93" s="37">
        <f t="shared" si="36"/>
        <v>16000</v>
      </c>
      <c r="M93" s="37">
        <f t="shared" si="36"/>
        <v>16000</v>
      </c>
      <c r="N93" s="37">
        <f t="shared" si="36"/>
        <v>16000</v>
      </c>
      <c r="O93" s="37">
        <f t="shared" si="36"/>
        <v>16000</v>
      </c>
      <c r="P93" s="37">
        <f t="shared" si="36"/>
        <v>16000</v>
      </c>
      <c r="Q93" s="37">
        <f>D93-SUM(F93:P93)</f>
        <v>17000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770000</v>
      </c>
      <c r="E94" s="190" t="s">
        <v>229</v>
      </c>
      <c r="F94" s="37"/>
      <c r="G94" s="37"/>
      <c r="H94" s="37">
        <f>ROUND($D94/2,-3)</f>
        <v>385000</v>
      </c>
      <c r="I94" s="37"/>
      <c r="J94" s="37"/>
      <c r="K94" s="37"/>
      <c r="L94" s="37"/>
      <c r="M94" s="37"/>
      <c r="N94" s="37"/>
      <c r="O94" s="37">
        <f>D94-H94</f>
        <v>385000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47669000</v>
      </c>
      <c r="E95" s="37"/>
      <c r="F95" s="37">
        <f>F2+F86-F88-F89-F90-F92-F93-F94</f>
        <v>13858000</v>
      </c>
      <c r="G95" s="37">
        <f t="shared" ref="G95:Q95" si="37">G2-G88-G89-G90-G92-G93-G94</f>
        <v>3366000</v>
      </c>
      <c r="H95" s="37">
        <f t="shared" si="37"/>
        <v>3102000</v>
      </c>
      <c r="I95" s="37">
        <f t="shared" si="37"/>
        <v>4010000</v>
      </c>
      <c r="J95" s="37">
        <f t="shared" si="37"/>
        <v>3366000</v>
      </c>
      <c r="K95" s="37">
        <f t="shared" si="37"/>
        <v>3370000</v>
      </c>
      <c r="L95" s="37">
        <f t="shared" si="37"/>
        <v>3397000</v>
      </c>
      <c r="M95" s="37">
        <f t="shared" si="37"/>
        <v>3367000</v>
      </c>
      <c r="N95" s="37">
        <f t="shared" si="37"/>
        <v>6350000</v>
      </c>
      <c r="O95" s="37">
        <f t="shared" si="37"/>
        <v>3323000</v>
      </c>
      <c r="P95" s="37">
        <f t="shared" si="37"/>
        <v>78000</v>
      </c>
      <c r="Q95" s="37">
        <f t="shared" si="37"/>
        <v>82000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800000</v>
      </c>
    </row>
    <row r="99" spans="2:17" ht="32.4">
      <c r="B99" s="72" t="s">
        <v>235</v>
      </c>
      <c r="D99" s="30">
        <f>HLOOKUP(D1,[1]縣庫撥款收入明細表!H:DD,5,FALSE)</f>
        <v>1400000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1181000</v>
      </c>
    </row>
    <row r="102" spans="2:17" ht="32.4">
      <c r="B102" s="71" t="s">
        <v>238</v>
      </c>
      <c r="D102" s="30">
        <f>HLOOKUP(D1,[1]縣庫撥款收入明細表!H:DD,16,FALSE)</f>
        <v>180000</v>
      </c>
    </row>
    <row r="103" spans="2:17" ht="32.4">
      <c r="B103" s="72" t="s">
        <v>239</v>
      </c>
      <c r="D103" s="30">
        <f>HLOOKUP(D1,[1]縣庫撥款收入明細表!H:DD,17,FALSE)</f>
        <v>0</v>
      </c>
    </row>
    <row r="104" spans="2:17" ht="32.4">
      <c r="B104" s="76" t="s">
        <v>240</v>
      </c>
      <c r="D104" s="30">
        <f>HLOOKUP(D1,[1]縣庫撥款收入明細表!H:DD,18,FALSE)</f>
        <v>770000</v>
      </c>
    </row>
    <row r="105" spans="2:17" ht="32.4">
      <c r="B105" s="72" t="s">
        <v>380</v>
      </c>
      <c r="D105" s="30">
        <f>HLOOKUP(D1,[1]縣庫撥款收入明細表!H:DD,19,FALSE)</f>
        <v>650000</v>
      </c>
    </row>
    <row r="106" spans="2:17" ht="32.4">
      <c r="B106" s="71" t="s">
        <v>241</v>
      </c>
      <c r="D106" s="30">
        <f>HLOOKUP(D1,[1]縣庫撥款收入明細表!H:DD,20,FALSE)</f>
        <v>13000</v>
      </c>
    </row>
    <row r="107" spans="2:17" ht="32.4">
      <c r="B107" s="77" t="s">
        <v>242</v>
      </c>
      <c r="D107" s="30">
        <f>HLOOKUP(D1,[1]縣庫撥款收入明細表!H:DD,21,FALSE)</f>
        <v>47669000</v>
      </c>
    </row>
    <row r="108" spans="2:17" ht="16.5" customHeight="1"/>
    <row r="109" spans="2:17" ht="16.5" customHeight="1">
      <c r="B109" s="4" t="s">
        <v>682</v>
      </c>
      <c r="D109" s="30">
        <f>D91-D76</f>
        <v>47509000</v>
      </c>
      <c r="F109" s="30">
        <f>F91-F76</f>
        <v>14265000</v>
      </c>
      <c r="G109" s="30">
        <f t="shared" ref="G109:Q109" si="38">G91-G76</f>
        <v>3289000</v>
      </c>
      <c r="H109" s="30">
        <f t="shared" si="38"/>
        <v>3410000</v>
      </c>
      <c r="I109" s="30">
        <f t="shared" si="38"/>
        <v>3933000</v>
      </c>
      <c r="J109" s="30">
        <f t="shared" si="38"/>
        <v>3289000</v>
      </c>
      <c r="K109" s="30">
        <f t="shared" si="38"/>
        <v>3293000</v>
      </c>
      <c r="L109" s="30">
        <f t="shared" si="38"/>
        <v>3320000</v>
      </c>
      <c r="M109" s="30">
        <f t="shared" si="38"/>
        <v>3289000</v>
      </c>
      <c r="N109" s="30">
        <f t="shared" si="38"/>
        <v>5937000</v>
      </c>
      <c r="O109" s="30">
        <f t="shared" si="38"/>
        <v>3291000</v>
      </c>
      <c r="P109" s="30">
        <f t="shared" si="38"/>
        <v>94000</v>
      </c>
      <c r="Q109" s="30">
        <f t="shared" si="38"/>
        <v>99000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84" priority="1" operator="lessThan">
      <formula>0</formula>
    </cfRule>
  </conditionalFormatting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666</v>
      </c>
      <c r="D1" s="28" t="str">
        <f>VLOOKUP(C1,[1]學校編號!A:B,2,FALSE)</f>
        <v>666長良國小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17542000</v>
      </c>
      <c r="E2" s="37"/>
      <c r="F2" s="37">
        <f>F48+F70+F76+F77+F83</f>
        <v>5143000</v>
      </c>
      <c r="G2" s="37">
        <f t="shared" ref="G2:Q2" si="0">G48+G70+G76+G77+G83</f>
        <v>1278000</v>
      </c>
      <c r="H2" s="37">
        <f t="shared" si="0"/>
        <v>1329000</v>
      </c>
      <c r="I2" s="37">
        <f t="shared" si="0"/>
        <v>1410000</v>
      </c>
      <c r="J2" s="37">
        <f t="shared" si="0"/>
        <v>1286000</v>
      </c>
      <c r="K2" s="37">
        <f t="shared" si="0"/>
        <v>1286000</v>
      </c>
      <c r="L2" s="37">
        <f t="shared" si="0"/>
        <v>1300000</v>
      </c>
      <c r="M2" s="37">
        <f t="shared" si="0"/>
        <v>1286000</v>
      </c>
      <c r="N2" s="37">
        <f t="shared" si="0"/>
        <v>1788000</v>
      </c>
      <c r="O2" s="37">
        <f t="shared" si="0"/>
        <v>1278000</v>
      </c>
      <c r="P2" s="37">
        <f t="shared" si="0"/>
        <v>84000</v>
      </c>
      <c r="Q2" s="37">
        <f t="shared" si="0"/>
        <v>74000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25000</v>
      </c>
      <c r="E10" s="37" t="s">
        <v>525</v>
      </c>
      <c r="F10" s="37">
        <f t="shared" si="1"/>
        <v>2083</v>
      </c>
      <c r="G10" s="37">
        <f t="shared" si="1"/>
        <v>2083</v>
      </c>
      <c r="H10" s="37">
        <f t="shared" si="1"/>
        <v>2083</v>
      </c>
      <c r="I10" s="37">
        <f t="shared" si="1"/>
        <v>2083</v>
      </c>
      <c r="J10" s="37">
        <f t="shared" si="1"/>
        <v>2083</v>
      </c>
      <c r="K10" s="37">
        <f t="shared" si="1"/>
        <v>2083</v>
      </c>
      <c r="L10" s="37">
        <f t="shared" si="1"/>
        <v>2083</v>
      </c>
      <c r="M10" s="37">
        <f t="shared" si="1"/>
        <v>2083</v>
      </c>
      <c r="N10" s="37">
        <f t="shared" si="1"/>
        <v>2083</v>
      </c>
      <c r="O10" s="37">
        <f t="shared" si="1"/>
        <v>2083</v>
      </c>
      <c r="P10" s="37">
        <f t="shared" si="1"/>
        <v>2083</v>
      </c>
      <c r="Q10" s="37">
        <f t="shared" si="2"/>
        <v>2087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23000</v>
      </c>
      <c r="E11" s="37" t="s">
        <v>195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514000</v>
      </c>
      <c r="E12" s="113" t="s">
        <v>202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41000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164000</v>
      </c>
      <c r="E13" s="37" t="s">
        <v>525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80000</v>
      </c>
      <c r="E14" s="37" t="s">
        <v>525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28000</v>
      </c>
      <c r="E15" s="37" t="s">
        <v>193</v>
      </c>
      <c r="F15" s="37">
        <f>ROUND($D15/2,-3)</f>
        <v>14000</v>
      </c>
      <c r="G15" s="37"/>
      <c r="H15" s="37"/>
      <c r="I15" s="37"/>
      <c r="J15" s="37"/>
      <c r="K15" s="37"/>
      <c r="L15" s="37">
        <f>D15-F15</f>
        <v>14000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0</v>
      </c>
      <c r="E16" s="37" t="s">
        <v>525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1136000</v>
      </c>
      <c r="E25" s="108"/>
      <c r="F25" s="108">
        <f>ROUND(SUM(F3:F24),-3)</f>
        <v>214000</v>
      </c>
      <c r="G25" s="108">
        <f t="shared" ref="G25:P25" si="5">ROUND(SUM(G3:G24),-3)</f>
        <v>91000</v>
      </c>
      <c r="H25" s="108">
        <f t="shared" si="5"/>
        <v>91000</v>
      </c>
      <c r="I25" s="108">
        <f t="shared" si="5"/>
        <v>91000</v>
      </c>
      <c r="J25" s="108">
        <f t="shared" si="5"/>
        <v>91000</v>
      </c>
      <c r="K25" s="108">
        <f t="shared" si="5"/>
        <v>91000</v>
      </c>
      <c r="L25" s="108">
        <f t="shared" si="5"/>
        <v>105000</v>
      </c>
      <c r="M25" s="108">
        <f t="shared" si="5"/>
        <v>91000</v>
      </c>
      <c r="N25" s="108">
        <f t="shared" si="5"/>
        <v>91000</v>
      </c>
      <c r="O25" s="108">
        <f t="shared" si="5"/>
        <v>89000</v>
      </c>
      <c r="P25" s="108">
        <f t="shared" si="5"/>
        <v>48000</v>
      </c>
      <c r="Q25" s="108">
        <f t="shared" ref="Q25:Q33" si="6">D25-SUM(F25:P25)</f>
        <v>43000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79000</v>
      </c>
      <c r="E26" s="114" t="s">
        <v>204</v>
      </c>
      <c r="F26" s="37">
        <f>ROUND($D26/10,-3)</f>
        <v>8000</v>
      </c>
      <c r="G26" s="37"/>
      <c r="H26" s="37">
        <f>ROUND($D26/10,-3)</f>
        <v>8000</v>
      </c>
      <c r="I26" s="37">
        <f>ROUND($D26/10,-3)</f>
        <v>8000</v>
      </c>
      <c r="J26" s="37">
        <f>ROUND($D26/10,-3)</f>
        <v>8000</v>
      </c>
      <c r="K26" s="37">
        <f>ROUND($D26/10,-3)</f>
        <v>8000</v>
      </c>
      <c r="L26" s="37"/>
      <c r="M26" s="37">
        <f>ROUND($D26/10,-3)</f>
        <v>8000</v>
      </c>
      <c r="N26" s="37">
        <f>ROUND($D26/10,-3)</f>
        <v>8000</v>
      </c>
      <c r="O26" s="37">
        <f>ROUND($D26/10,-3)</f>
        <v>8000</v>
      </c>
      <c r="P26" s="37">
        <f>ROUND($D26/10,-3)</f>
        <v>8000</v>
      </c>
      <c r="Q26" s="37">
        <f t="shared" si="6"/>
        <v>7000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7000</v>
      </c>
      <c r="E30" s="37" t="s">
        <v>525</v>
      </c>
      <c r="F30" s="37">
        <f t="shared" si="8"/>
        <v>583</v>
      </c>
      <c r="G30" s="37">
        <f t="shared" si="8"/>
        <v>583</v>
      </c>
      <c r="H30" s="37">
        <f t="shared" si="8"/>
        <v>583</v>
      </c>
      <c r="I30" s="37">
        <f t="shared" si="8"/>
        <v>583</v>
      </c>
      <c r="J30" s="37">
        <f t="shared" si="8"/>
        <v>583</v>
      </c>
      <c r="K30" s="37">
        <f t="shared" si="8"/>
        <v>583</v>
      </c>
      <c r="L30" s="37">
        <f t="shared" si="8"/>
        <v>583</v>
      </c>
      <c r="M30" s="37">
        <f t="shared" si="8"/>
        <v>583</v>
      </c>
      <c r="N30" s="37">
        <f t="shared" si="8"/>
        <v>583</v>
      </c>
      <c r="O30" s="37">
        <f t="shared" si="8"/>
        <v>583</v>
      </c>
      <c r="P30" s="37">
        <f t="shared" si="8"/>
        <v>583</v>
      </c>
      <c r="Q30" s="37">
        <f t="shared" si="6"/>
        <v>587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4000</v>
      </c>
      <c r="E31" s="37" t="s">
        <v>525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7000</v>
      </c>
      <c r="E36" s="37" t="s">
        <v>193</v>
      </c>
      <c r="F36" s="37">
        <f>ROUND($D36/2,-3)</f>
        <v>4000</v>
      </c>
      <c r="G36" s="37"/>
      <c r="H36" s="37"/>
      <c r="I36" s="37"/>
      <c r="J36" s="37"/>
      <c r="K36" s="37"/>
      <c r="L36" s="37">
        <f>D36-F36</f>
        <v>3000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363000</v>
      </c>
      <c r="E37" s="108"/>
      <c r="F37" s="108">
        <f t="shared" ref="F37:P37" si="9">ROUND(SUM(F26:F36),-3)</f>
        <v>35000</v>
      </c>
      <c r="G37" s="108">
        <f t="shared" si="9"/>
        <v>23000</v>
      </c>
      <c r="H37" s="108">
        <f t="shared" si="9"/>
        <v>31000</v>
      </c>
      <c r="I37" s="108">
        <f t="shared" si="9"/>
        <v>31000</v>
      </c>
      <c r="J37" s="108">
        <f t="shared" si="9"/>
        <v>31000</v>
      </c>
      <c r="K37" s="108">
        <f t="shared" si="9"/>
        <v>31000</v>
      </c>
      <c r="L37" s="108">
        <f t="shared" si="9"/>
        <v>26000</v>
      </c>
      <c r="M37" s="108">
        <f t="shared" si="9"/>
        <v>31000</v>
      </c>
      <c r="N37" s="108">
        <f t="shared" si="9"/>
        <v>31000</v>
      </c>
      <c r="O37" s="108">
        <f t="shared" si="9"/>
        <v>31000</v>
      </c>
      <c r="P37" s="108">
        <f t="shared" si="9"/>
        <v>31000</v>
      </c>
      <c r="Q37" s="108">
        <f>D37-SUM(F37:P37)</f>
        <v>31000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5000</v>
      </c>
      <c r="E42" s="37" t="s">
        <v>199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5000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11000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5000</v>
      </c>
      <c r="J45" s="108">
        <f t="shared" si="12"/>
        <v>0</v>
      </c>
      <c r="K45" s="108">
        <f t="shared" si="12"/>
        <v>0</v>
      </c>
      <c r="L45" s="108">
        <f t="shared" si="12"/>
        <v>5000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1510000</v>
      </c>
      <c r="E48" s="37"/>
      <c r="F48" s="115">
        <f>F25+F37+F45+F47</f>
        <v>250000</v>
      </c>
      <c r="G48" s="115">
        <f t="shared" ref="G48:R48" si="14">G25+G37+G45+G47</f>
        <v>114000</v>
      </c>
      <c r="H48" s="115">
        <f t="shared" si="14"/>
        <v>122000</v>
      </c>
      <c r="I48" s="115">
        <f t="shared" si="14"/>
        <v>127000</v>
      </c>
      <c r="J48" s="115">
        <f t="shared" si="14"/>
        <v>122000</v>
      </c>
      <c r="K48" s="115">
        <f t="shared" si="14"/>
        <v>122000</v>
      </c>
      <c r="L48" s="115">
        <f t="shared" si="14"/>
        <v>136000</v>
      </c>
      <c r="M48" s="115">
        <f t="shared" si="14"/>
        <v>122000</v>
      </c>
      <c r="N48" s="115">
        <f t="shared" si="14"/>
        <v>122000</v>
      </c>
      <c r="O48" s="115">
        <f t="shared" si="14"/>
        <v>120000</v>
      </c>
      <c r="P48" s="115">
        <f t="shared" si="14"/>
        <v>79000</v>
      </c>
      <c r="Q48" s="115">
        <f t="shared" si="14"/>
        <v>74000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9403000</v>
      </c>
      <c r="E49" s="114" t="s">
        <v>202</v>
      </c>
      <c r="F49" s="37">
        <f>ROUND($D49/12*3,-3)</f>
        <v>2351000</v>
      </c>
      <c r="G49" s="37">
        <f>ROUND($D49/12,-3)</f>
        <v>784000</v>
      </c>
      <c r="H49" s="37">
        <f t="shared" ref="H49:N53" si="15">ROUND($D49/12,-3)</f>
        <v>784000</v>
      </c>
      <c r="I49" s="37">
        <f t="shared" si="15"/>
        <v>784000</v>
      </c>
      <c r="J49" s="37">
        <f t="shared" si="15"/>
        <v>784000</v>
      </c>
      <c r="K49" s="37">
        <f t="shared" si="15"/>
        <v>784000</v>
      </c>
      <c r="L49" s="37">
        <f t="shared" si="15"/>
        <v>784000</v>
      </c>
      <c r="M49" s="37">
        <f t="shared" si="15"/>
        <v>784000</v>
      </c>
      <c r="N49" s="37">
        <f t="shared" si="15"/>
        <v>784000</v>
      </c>
      <c r="O49" s="37">
        <f>D49-SUM(F49:N49)</f>
        <v>780000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1349000</v>
      </c>
      <c r="E51" s="114" t="s">
        <v>202</v>
      </c>
      <c r="F51" s="37">
        <f t="shared" si="16"/>
        <v>337000</v>
      </c>
      <c r="G51" s="37">
        <f t="shared" si="17"/>
        <v>112000</v>
      </c>
      <c r="H51" s="37">
        <f t="shared" si="15"/>
        <v>112000</v>
      </c>
      <c r="I51" s="37">
        <f t="shared" si="15"/>
        <v>112000</v>
      </c>
      <c r="J51" s="37">
        <f t="shared" si="15"/>
        <v>112000</v>
      </c>
      <c r="K51" s="37">
        <f t="shared" si="15"/>
        <v>112000</v>
      </c>
      <c r="L51" s="37">
        <f t="shared" si="15"/>
        <v>112000</v>
      </c>
      <c r="M51" s="37">
        <f t="shared" si="15"/>
        <v>112000</v>
      </c>
      <c r="N51" s="37">
        <f t="shared" si="15"/>
        <v>112000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154000</v>
      </c>
      <c r="E60" s="37" t="s">
        <v>195</v>
      </c>
      <c r="F60" s="37">
        <f>D60</f>
        <v>154000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597000</v>
      </c>
      <c r="E62" s="37" t="s">
        <v>197</v>
      </c>
      <c r="F62" s="37"/>
      <c r="G62" s="37"/>
      <c r="H62" s="37"/>
      <c r="I62" s="37">
        <f>ROUND($D62/5,-3)</f>
        <v>119000</v>
      </c>
      <c r="J62" s="37"/>
      <c r="K62" s="37"/>
      <c r="L62" s="37"/>
      <c r="M62" s="37"/>
      <c r="N62" s="37">
        <f>D62-I62</f>
        <v>478000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1162000</v>
      </c>
      <c r="E63" s="37" t="s">
        <v>195</v>
      </c>
      <c r="F63" s="37">
        <f>D63</f>
        <v>1162000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838000</v>
      </c>
      <c r="E64" s="114" t="s">
        <v>202</v>
      </c>
      <c r="F64" s="37">
        <f>ROUND($D64/12*3,-3)</f>
        <v>210000</v>
      </c>
      <c r="G64" s="37">
        <f>ROUND($D64/12,-3)</f>
        <v>70000</v>
      </c>
      <c r="H64" s="37">
        <f t="shared" ref="H64:N66" si="21">ROUND($D64/12,-3)</f>
        <v>70000</v>
      </c>
      <c r="I64" s="37">
        <f t="shared" si="21"/>
        <v>70000</v>
      </c>
      <c r="J64" s="37">
        <f t="shared" si="21"/>
        <v>70000</v>
      </c>
      <c r="K64" s="37">
        <f t="shared" si="21"/>
        <v>70000</v>
      </c>
      <c r="L64" s="37">
        <f t="shared" si="21"/>
        <v>70000</v>
      </c>
      <c r="M64" s="37">
        <f t="shared" si="21"/>
        <v>70000</v>
      </c>
      <c r="N64" s="37">
        <f t="shared" si="21"/>
        <v>70000</v>
      </c>
      <c r="O64" s="37">
        <f>D64-SUM(F64:N64)</f>
        <v>68000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141000</v>
      </c>
      <c r="E65" s="114" t="s">
        <v>202</v>
      </c>
      <c r="F65" s="37">
        <f t="shared" ref="F65:F66" si="22">ROUND($D65/12*3,-3)</f>
        <v>35000</v>
      </c>
      <c r="G65" s="37">
        <f t="shared" ref="G65:G66" si="23">ROUND($D65/12,-3)</f>
        <v>12000</v>
      </c>
      <c r="H65" s="37">
        <f t="shared" si="21"/>
        <v>12000</v>
      </c>
      <c r="I65" s="37">
        <f t="shared" si="21"/>
        <v>12000</v>
      </c>
      <c r="J65" s="37">
        <f t="shared" si="21"/>
        <v>12000</v>
      </c>
      <c r="K65" s="37">
        <f t="shared" si="21"/>
        <v>12000</v>
      </c>
      <c r="L65" s="37">
        <f t="shared" si="21"/>
        <v>12000</v>
      </c>
      <c r="M65" s="37">
        <f t="shared" si="21"/>
        <v>12000</v>
      </c>
      <c r="N65" s="37">
        <f t="shared" si="21"/>
        <v>12000</v>
      </c>
      <c r="O65" s="37">
        <f t="shared" ref="O65:O66" si="24">D65-SUM(F65:N65)</f>
        <v>10000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899000</v>
      </c>
      <c r="E66" s="114" t="s">
        <v>202</v>
      </c>
      <c r="F66" s="37">
        <f t="shared" si="22"/>
        <v>225000</v>
      </c>
      <c r="G66" s="37">
        <f t="shared" si="23"/>
        <v>75000</v>
      </c>
      <c r="H66" s="37">
        <f t="shared" si="21"/>
        <v>75000</v>
      </c>
      <c r="I66" s="37">
        <f t="shared" si="21"/>
        <v>75000</v>
      </c>
      <c r="J66" s="37">
        <f t="shared" si="21"/>
        <v>75000</v>
      </c>
      <c r="K66" s="37">
        <f t="shared" si="21"/>
        <v>75000</v>
      </c>
      <c r="L66" s="37">
        <f t="shared" si="21"/>
        <v>75000</v>
      </c>
      <c r="M66" s="37">
        <f t="shared" si="21"/>
        <v>75000</v>
      </c>
      <c r="N66" s="37">
        <f t="shared" si="21"/>
        <v>75000</v>
      </c>
      <c r="O66" s="37">
        <f t="shared" si="24"/>
        <v>74000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18000</v>
      </c>
      <c r="E67" s="37" t="s">
        <v>196</v>
      </c>
      <c r="F67" s="37"/>
      <c r="G67" s="37"/>
      <c r="H67" s="37">
        <f>D67</f>
        <v>18000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97000</v>
      </c>
      <c r="E68" s="37" t="s">
        <v>195</v>
      </c>
      <c r="F68" s="37">
        <f>D68</f>
        <v>97000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14978000</v>
      </c>
      <c r="E70" s="108"/>
      <c r="F70" s="108">
        <f t="shared" ref="F70:P70" si="25">ROUND(SUM(F49:F69),-3)</f>
        <v>4642000</v>
      </c>
      <c r="G70" s="108">
        <f t="shared" si="25"/>
        <v>1080000</v>
      </c>
      <c r="H70" s="108">
        <f t="shared" si="25"/>
        <v>1098000</v>
      </c>
      <c r="I70" s="108">
        <f t="shared" si="25"/>
        <v>1199000</v>
      </c>
      <c r="J70" s="108">
        <f t="shared" si="25"/>
        <v>1080000</v>
      </c>
      <c r="K70" s="108">
        <f t="shared" si="25"/>
        <v>1080000</v>
      </c>
      <c r="L70" s="108">
        <f t="shared" si="25"/>
        <v>1080000</v>
      </c>
      <c r="M70" s="108">
        <f t="shared" si="25"/>
        <v>1080000</v>
      </c>
      <c r="N70" s="108">
        <f t="shared" si="25"/>
        <v>1558000</v>
      </c>
      <c r="O70" s="108">
        <f t="shared" si="25"/>
        <v>1076000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1005000</v>
      </c>
      <c r="E72" s="114" t="s">
        <v>202</v>
      </c>
      <c r="F72" s="37">
        <f>ROUND($D72/12*3,-3)</f>
        <v>251000</v>
      </c>
      <c r="G72" s="37">
        <f>ROUND($D72/12,-3)</f>
        <v>84000</v>
      </c>
      <c r="H72" s="37">
        <f t="shared" ref="H72:N75" si="26">ROUND($D72/12,-3)</f>
        <v>84000</v>
      </c>
      <c r="I72" s="37">
        <f t="shared" si="26"/>
        <v>84000</v>
      </c>
      <c r="J72" s="37">
        <f t="shared" si="26"/>
        <v>84000</v>
      </c>
      <c r="K72" s="37">
        <f t="shared" si="26"/>
        <v>84000</v>
      </c>
      <c r="L72" s="37">
        <f t="shared" si="26"/>
        <v>84000</v>
      </c>
      <c r="M72" s="37">
        <f t="shared" si="26"/>
        <v>84000</v>
      </c>
      <c r="N72" s="37">
        <f t="shared" si="26"/>
        <v>84000</v>
      </c>
      <c r="O72" s="37">
        <f>D72-SUM(F72:N72)</f>
        <v>82000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1005000</v>
      </c>
      <c r="E76" s="108"/>
      <c r="F76" s="108">
        <f>ROUND(SUM(F71:F75),-3)</f>
        <v>251000</v>
      </c>
      <c r="G76" s="108">
        <f t="shared" ref="G76:N76" si="27">ROUND(SUM(G71:G75),-3)</f>
        <v>84000</v>
      </c>
      <c r="H76" s="108">
        <f t="shared" si="27"/>
        <v>84000</v>
      </c>
      <c r="I76" s="108">
        <f t="shared" si="27"/>
        <v>84000</v>
      </c>
      <c r="J76" s="108">
        <f t="shared" si="27"/>
        <v>84000</v>
      </c>
      <c r="K76" s="108">
        <f t="shared" si="27"/>
        <v>84000</v>
      </c>
      <c r="L76" s="108">
        <f t="shared" si="27"/>
        <v>84000</v>
      </c>
      <c r="M76" s="108">
        <f t="shared" si="27"/>
        <v>84000</v>
      </c>
      <c r="N76" s="108">
        <f t="shared" si="27"/>
        <v>84000</v>
      </c>
      <c r="O76" s="108">
        <f>D76-SUM(F76:N76)</f>
        <v>82000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49000</v>
      </c>
      <c r="E77" s="37" t="s">
        <v>681</v>
      </c>
      <c r="F77" s="224"/>
      <c r="G77" s="224"/>
      <c r="H77" s="224">
        <f>ROUND($D77/2,-3)</f>
        <v>25000</v>
      </c>
      <c r="I77" s="224"/>
      <c r="J77" s="224"/>
      <c r="K77" s="224"/>
      <c r="L77" s="224"/>
      <c r="M77" s="224"/>
      <c r="N77" s="224">
        <f>D77-H77</f>
        <v>24000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16032000</v>
      </c>
      <c r="E78" s="227"/>
      <c r="F78" s="227">
        <f>F76+F70+F77</f>
        <v>4893000</v>
      </c>
      <c r="G78" s="227">
        <f t="shared" ref="G78:Q78" si="29">G76+G70+G77</f>
        <v>1164000</v>
      </c>
      <c r="H78" s="227">
        <f t="shared" si="29"/>
        <v>1207000</v>
      </c>
      <c r="I78" s="227">
        <f t="shared" si="29"/>
        <v>1283000</v>
      </c>
      <c r="J78" s="227">
        <f t="shared" si="29"/>
        <v>1164000</v>
      </c>
      <c r="K78" s="227">
        <f t="shared" si="29"/>
        <v>1164000</v>
      </c>
      <c r="L78" s="227">
        <f t="shared" si="29"/>
        <v>1164000</v>
      </c>
      <c r="M78" s="227">
        <f t="shared" si="29"/>
        <v>1164000</v>
      </c>
      <c r="N78" s="227">
        <f t="shared" si="29"/>
        <v>1666000</v>
      </c>
      <c r="O78" s="227">
        <f t="shared" si="29"/>
        <v>1158000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17542000</v>
      </c>
      <c r="E87" s="37"/>
      <c r="F87" s="37">
        <f>F88+F89+F90+F91</f>
        <v>5143000</v>
      </c>
      <c r="G87" s="37">
        <f t="shared" ref="G87:Q87" si="32">G88+G89+G90+G91</f>
        <v>1278000</v>
      </c>
      <c r="H87" s="37">
        <f t="shared" si="32"/>
        <v>1329000</v>
      </c>
      <c r="I87" s="37">
        <f t="shared" si="32"/>
        <v>1410000</v>
      </c>
      <c r="J87" s="37">
        <f t="shared" si="32"/>
        <v>1286000</v>
      </c>
      <c r="K87" s="37">
        <f t="shared" si="32"/>
        <v>1286000</v>
      </c>
      <c r="L87" s="37">
        <f t="shared" si="32"/>
        <v>1300000</v>
      </c>
      <c r="M87" s="37">
        <f t="shared" si="32"/>
        <v>1286000</v>
      </c>
      <c r="N87" s="37">
        <f t="shared" si="32"/>
        <v>1788000</v>
      </c>
      <c r="O87" s="37">
        <f t="shared" si="32"/>
        <v>1278000</v>
      </c>
      <c r="P87" s="37">
        <f t="shared" si="32"/>
        <v>84000</v>
      </c>
      <c r="Q87" s="37">
        <f t="shared" si="32"/>
        <v>74000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7000</v>
      </c>
      <c r="E88" s="108" t="s">
        <v>193</v>
      </c>
      <c r="F88" s="108">
        <f>ROUND($D88/2,-3)</f>
        <v>4000</v>
      </c>
      <c r="G88" s="108"/>
      <c r="H88" s="108"/>
      <c r="I88" s="108"/>
      <c r="J88" s="108"/>
      <c r="K88" s="108"/>
      <c r="L88" s="108">
        <f>D88-F88</f>
        <v>3000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17534000</v>
      </c>
      <c r="E91" s="108"/>
      <c r="F91" s="108">
        <f>F92+F93+F94+F95</f>
        <v>5139000</v>
      </c>
      <c r="G91" s="108">
        <f t="shared" ref="G91:Q91" si="34">G92+G93+G94+G95</f>
        <v>1278000</v>
      </c>
      <c r="H91" s="108">
        <f t="shared" si="34"/>
        <v>1329000</v>
      </c>
      <c r="I91" s="108">
        <f t="shared" si="34"/>
        <v>1410000</v>
      </c>
      <c r="J91" s="108">
        <f t="shared" si="34"/>
        <v>1286000</v>
      </c>
      <c r="K91" s="108">
        <f t="shared" si="34"/>
        <v>1286000</v>
      </c>
      <c r="L91" s="108">
        <f t="shared" si="34"/>
        <v>1297000</v>
      </c>
      <c r="M91" s="108">
        <f t="shared" si="34"/>
        <v>1286000</v>
      </c>
      <c r="N91" s="108">
        <f t="shared" si="34"/>
        <v>1788000</v>
      </c>
      <c r="O91" s="108">
        <f t="shared" si="34"/>
        <v>1278000</v>
      </c>
      <c r="P91" s="108">
        <f t="shared" si="34"/>
        <v>84000</v>
      </c>
      <c r="Q91" s="108">
        <f t="shared" si="34"/>
        <v>73000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2965000</v>
      </c>
      <c r="E92" s="114" t="s">
        <v>537</v>
      </c>
      <c r="F92" s="37">
        <f>ROUND($D92/12*5,-3)</f>
        <v>1235000</v>
      </c>
      <c r="G92" s="37">
        <f>ROUND($D92/12,-3)</f>
        <v>247000</v>
      </c>
      <c r="H92" s="37">
        <f t="shared" ref="H92:L92" si="35">ROUND($D92/12,-3)</f>
        <v>247000</v>
      </c>
      <c r="I92" s="37">
        <f t="shared" si="35"/>
        <v>247000</v>
      </c>
      <c r="J92" s="37">
        <f t="shared" si="35"/>
        <v>247000</v>
      </c>
      <c r="K92" s="37">
        <f t="shared" si="35"/>
        <v>247000</v>
      </c>
      <c r="L92" s="37">
        <f t="shared" si="35"/>
        <v>247000</v>
      </c>
      <c r="M92" s="37">
        <f>D92-SUM(F92:L92)</f>
        <v>248000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14479000</v>
      </c>
      <c r="E95" s="37"/>
      <c r="F95" s="37">
        <f>F2+F86-F88-F89-F90-F92-F93-F94</f>
        <v>3896000</v>
      </c>
      <c r="G95" s="37">
        <f t="shared" ref="G95:Q95" si="37">G2-G88-G89-G90-G92-G93-G94</f>
        <v>1023000</v>
      </c>
      <c r="H95" s="37">
        <f t="shared" si="37"/>
        <v>1074000</v>
      </c>
      <c r="I95" s="37">
        <f t="shared" si="37"/>
        <v>1155000</v>
      </c>
      <c r="J95" s="37">
        <f t="shared" si="37"/>
        <v>1031000</v>
      </c>
      <c r="K95" s="37">
        <f t="shared" si="37"/>
        <v>1031000</v>
      </c>
      <c r="L95" s="37">
        <f t="shared" si="37"/>
        <v>1042000</v>
      </c>
      <c r="M95" s="37">
        <f t="shared" si="37"/>
        <v>1030000</v>
      </c>
      <c r="N95" s="37">
        <f t="shared" si="37"/>
        <v>1780000</v>
      </c>
      <c r="O95" s="37">
        <f t="shared" si="37"/>
        <v>1270000</v>
      </c>
      <c r="P95" s="37">
        <f t="shared" si="37"/>
        <v>76000</v>
      </c>
      <c r="Q95" s="37">
        <f t="shared" si="37"/>
        <v>71000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1300000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14479000</v>
      </c>
    </row>
    <row r="108" spans="2:17" ht="16.5" customHeight="1"/>
    <row r="109" spans="2:17" ht="16.5" customHeight="1">
      <c r="B109" s="4" t="s">
        <v>682</v>
      </c>
      <c r="D109" s="30">
        <f>D91-D76</f>
        <v>16529000</v>
      </c>
      <c r="F109" s="30">
        <f>F91-F76</f>
        <v>4888000</v>
      </c>
      <c r="G109" s="30">
        <f t="shared" ref="G109:Q109" si="38">G91-G76</f>
        <v>1194000</v>
      </c>
      <c r="H109" s="30">
        <f t="shared" si="38"/>
        <v>1245000</v>
      </c>
      <c r="I109" s="30">
        <f t="shared" si="38"/>
        <v>1326000</v>
      </c>
      <c r="J109" s="30">
        <f t="shared" si="38"/>
        <v>1202000</v>
      </c>
      <c r="K109" s="30">
        <f t="shared" si="38"/>
        <v>1202000</v>
      </c>
      <c r="L109" s="30">
        <f t="shared" si="38"/>
        <v>1213000</v>
      </c>
      <c r="M109" s="30">
        <f t="shared" si="38"/>
        <v>1202000</v>
      </c>
      <c r="N109" s="30">
        <f t="shared" si="38"/>
        <v>1704000</v>
      </c>
      <c r="O109" s="30">
        <f t="shared" si="38"/>
        <v>1196000</v>
      </c>
      <c r="P109" s="30">
        <f t="shared" si="38"/>
        <v>84000</v>
      </c>
      <c r="Q109" s="30">
        <f t="shared" si="38"/>
        <v>73000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82" priority="1" operator="lessThan">
      <formula>0</formula>
    </cfRule>
  </conditionalFormatting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667</v>
      </c>
      <c r="D1" s="28" t="str">
        <f>VLOOKUP(C1,[1]學校編號!A:B,2,FALSE)</f>
        <v>667大禹國小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25013000</v>
      </c>
      <c r="E2" s="37"/>
      <c r="F2" s="37">
        <f>F48+F70+F76+F77+F83</f>
        <v>7285000</v>
      </c>
      <c r="G2" s="37">
        <f t="shared" ref="G2:Q2" si="0">G48+G70+G76+G77+G83</f>
        <v>1818000</v>
      </c>
      <c r="H2" s="37">
        <f t="shared" si="0"/>
        <v>1865000</v>
      </c>
      <c r="I2" s="37">
        <f t="shared" si="0"/>
        <v>2046000</v>
      </c>
      <c r="J2" s="37">
        <f t="shared" si="0"/>
        <v>1818000</v>
      </c>
      <c r="K2" s="37">
        <f t="shared" si="0"/>
        <v>1820000</v>
      </c>
      <c r="L2" s="37">
        <f t="shared" si="0"/>
        <v>1837000</v>
      </c>
      <c r="M2" s="37">
        <f t="shared" si="0"/>
        <v>1818000</v>
      </c>
      <c r="N2" s="37">
        <f t="shared" si="0"/>
        <v>2758000</v>
      </c>
      <c r="O2" s="37">
        <f t="shared" si="0"/>
        <v>1810000</v>
      </c>
      <c r="P2" s="37">
        <f t="shared" si="0"/>
        <v>70000</v>
      </c>
      <c r="Q2" s="37">
        <f t="shared" si="0"/>
        <v>68000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32000</v>
      </c>
      <c r="E15" s="37" t="s">
        <v>193</v>
      </c>
      <c r="F15" s="37">
        <f>ROUND($D15/2,-3)</f>
        <v>16000</v>
      </c>
      <c r="G15" s="37"/>
      <c r="H15" s="37"/>
      <c r="I15" s="37"/>
      <c r="J15" s="37"/>
      <c r="K15" s="37"/>
      <c r="L15" s="37">
        <f>D15-F15</f>
        <v>16000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6000</v>
      </c>
      <c r="E24" s="37" t="s">
        <v>193</v>
      </c>
      <c r="F24" s="37">
        <f>ROUND($D24/2,-3)</f>
        <v>3000</v>
      </c>
      <c r="G24" s="37"/>
      <c r="H24" s="37"/>
      <c r="I24" s="37"/>
      <c r="J24" s="37"/>
      <c r="K24" s="37"/>
      <c r="L24" s="37">
        <f>D24-F24</f>
        <v>3000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564000</v>
      </c>
      <c r="E25" s="108"/>
      <c r="F25" s="108">
        <f>ROUND(SUM(F3:F24),-3)</f>
        <v>63000</v>
      </c>
      <c r="G25" s="108">
        <f t="shared" ref="G25:P25" si="5">ROUND(SUM(G3:G24),-3)</f>
        <v>44000</v>
      </c>
      <c r="H25" s="108">
        <f t="shared" si="5"/>
        <v>44000</v>
      </c>
      <c r="I25" s="108">
        <f t="shared" si="5"/>
        <v>44000</v>
      </c>
      <c r="J25" s="108">
        <f t="shared" si="5"/>
        <v>44000</v>
      </c>
      <c r="K25" s="108">
        <f t="shared" si="5"/>
        <v>44000</v>
      </c>
      <c r="L25" s="108">
        <f t="shared" si="5"/>
        <v>63000</v>
      </c>
      <c r="M25" s="108">
        <f t="shared" si="5"/>
        <v>44000</v>
      </c>
      <c r="N25" s="108">
        <f t="shared" si="5"/>
        <v>44000</v>
      </c>
      <c r="O25" s="108">
        <f t="shared" si="5"/>
        <v>44000</v>
      </c>
      <c r="P25" s="108">
        <f t="shared" si="5"/>
        <v>44000</v>
      </c>
      <c r="Q25" s="108">
        <f t="shared" ref="Q25:Q33" si="6">D25-SUM(F25:P25)</f>
        <v>42000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248000</v>
      </c>
      <c r="E27" s="37" t="s">
        <v>525</v>
      </c>
      <c r="F27" s="37">
        <f t="shared" ref="F27:P33" si="8">ROUND($D27/12,0)</f>
        <v>20667</v>
      </c>
      <c r="G27" s="37">
        <f t="shared" si="8"/>
        <v>20667</v>
      </c>
      <c r="H27" s="37">
        <f t="shared" si="8"/>
        <v>20667</v>
      </c>
      <c r="I27" s="37">
        <f t="shared" si="8"/>
        <v>20667</v>
      </c>
      <c r="J27" s="37">
        <f t="shared" si="8"/>
        <v>20667</v>
      </c>
      <c r="K27" s="37">
        <f t="shared" si="8"/>
        <v>20667</v>
      </c>
      <c r="L27" s="37">
        <f t="shared" si="8"/>
        <v>20667</v>
      </c>
      <c r="M27" s="37">
        <f t="shared" si="8"/>
        <v>20667</v>
      </c>
      <c r="N27" s="37">
        <f t="shared" si="8"/>
        <v>20667</v>
      </c>
      <c r="O27" s="37">
        <f t="shared" si="8"/>
        <v>20667</v>
      </c>
      <c r="P27" s="37">
        <f t="shared" si="8"/>
        <v>20667</v>
      </c>
      <c r="Q27" s="37">
        <f t="shared" si="6"/>
        <v>20663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20000</v>
      </c>
      <c r="E29" s="37" t="s">
        <v>525</v>
      </c>
      <c r="F29" s="37">
        <f t="shared" si="8"/>
        <v>1667</v>
      </c>
      <c r="G29" s="37">
        <f t="shared" si="8"/>
        <v>1667</v>
      </c>
      <c r="H29" s="37">
        <f t="shared" si="8"/>
        <v>1667</v>
      </c>
      <c r="I29" s="37">
        <f t="shared" si="8"/>
        <v>1667</v>
      </c>
      <c r="J29" s="37">
        <f t="shared" si="8"/>
        <v>1667</v>
      </c>
      <c r="K29" s="37">
        <f t="shared" si="8"/>
        <v>1667</v>
      </c>
      <c r="L29" s="37">
        <f t="shared" si="8"/>
        <v>1667</v>
      </c>
      <c r="M29" s="37">
        <f t="shared" si="8"/>
        <v>1667</v>
      </c>
      <c r="N29" s="37">
        <f t="shared" si="8"/>
        <v>1667</v>
      </c>
      <c r="O29" s="37">
        <f t="shared" si="8"/>
        <v>1667</v>
      </c>
      <c r="P29" s="37">
        <f t="shared" si="8"/>
        <v>1667</v>
      </c>
      <c r="Q29" s="37">
        <f t="shared" si="6"/>
        <v>1663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9000</v>
      </c>
      <c r="E30" s="37" t="s">
        <v>525</v>
      </c>
      <c r="F30" s="37">
        <f t="shared" si="8"/>
        <v>750</v>
      </c>
      <c r="G30" s="37">
        <f t="shared" si="8"/>
        <v>750</v>
      </c>
      <c r="H30" s="37">
        <f t="shared" si="8"/>
        <v>750</v>
      </c>
      <c r="I30" s="37">
        <f t="shared" si="8"/>
        <v>750</v>
      </c>
      <c r="J30" s="37">
        <f t="shared" si="8"/>
        <v>750</v>
      </c>
      <c r="K30" s="37">
        <f t="shared" si="8"/>
        <v>750</v>
      </c>
      <c r="L30" s="37">
        <f t="shared" si="8"/>
        <v>750</v>
      </c>
      <c r="M30" s="37">
        <f t="shared" si="8"/>
        <v>750</v>
      </c>
      <c r="N30" s="37">
        <f t="shared" si="8"/>
        <v>750</v>
      </c>
      <c r="O30" s="37">
        <f t="shared" si="8"/>
        <v>750</v>
      </c>
      <c r="P30" s="37">
        <f t="shared" si="8"/>
        <v>750</v>
      </c>
      <c r="Q30" s="37">
        <f t="shared" si="6"/>
        <v>750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4000</v>
      </c>
      <c r="E31" s="37" t="s">
        <v>525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281000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28000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851000</v>
      </c>
      <c r="E48" s="37"/>
      <c r="F48" s="115">
        <f>F25+F37+F45+F47</f>
        <v>88000</v>
      </c>
      <c r="G48" s="115">
        <f t="shared" ref="G48:R48" si="14">G25+G37+G45+G47</f>
        <v>67000</v>
      </c>
      <c r="H48" s="115">
        <f t="shared" si="14"/>
        <v>67000</v>
      </c>
      <c r="I48" s="115">
        <f t="shared" si="14"/>
        <v>67000</v>
      </c>
      <c r="J48" s="115">
        <f t="shared" si="14"/>
        <v>67000</v>
      </c>
      <c r="K48" s="115">
        <f t="shared" si="14"/>
        <v>69000</v>
      </c>
      <c r="L48" s="115">
        <f t="shared" si="14"/>
        <v>86000</v>
      </c>
      <c r="M48" s="115">
        <f t="shared" si="14"/>
        <v>67000</v>
      </c>
      <c r="N48" s="115">
        <f t="shared" si="14"/>
        <v>69000</v>
      </c>
      <c r="O48" s="115">
        <f t="shared" si="14"/>
        <v>67000</v>
      </c>
      <c r="P48" s="115">
        <f t="shared" si="14"/>
        <v>67000</v>
      </c>
      <c r="Q48" s="115">
        <f t="shared" si="14"/>
        <v>70000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11787000</v>
      </c>
      <c r="E49" s="114" t="s">
        <v>202</v>
      </c>
      <c r="F49" s="37">
        <f>ROUND($D49/12*3,-3)</f>
        <v>2947000</v>
      </c>
      <c r="G49" s="37">
        <f>ROUND($D49/12,-3)</f>
        <v>982000</v>
      </c>
      <c r="H49" s="37">
        <f t="shared" ref="H49:N53" si="15">ROUND($D49/12,-3)</f>
        <v>982000</v>
      </c>
      <c r="I49" s="37">
        <f t="shared" si="15"/>
        <v>982000</v>
      </c>
      <c r="J49" s="37">
        <f t="shared" si="15"/>
        <v>982000</v>
      </c>
      <c r="K49" s="37">
        <f t="shared" si="15"/>
        <v>982000</v>
      </c>
      <c r="L49" s="37">
        <f t="shared" si="15"/>
        <v>982000</v>
      </c>
      <c r="M49" s="37">
        <f t="shared" si="15"/>
        <v>982000</v>
      </c>
      <c r="N49" s="37">
        <f t="shared" si="15"/>
        <v>982000</v>
      </c>
      <c r="O49" s="37">
        <f>D49-SUM(F49:N49)</f>
        <v>984000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1349000</v>
      </c>
      <c r="E51" s="114" t="s">
        <v>202</v>
      </c>
      <c r="F51" s="37">
        <f t="shared" si="16"/>
        <v>337000</v>
      </c>
      <c r="G51" s="37">
        <f t="shared" si="17"/>
        <v>112000</v>
      </c>
      <c r="H51" s="37">
        <f t="shared" si="15"/>
        <v>112000</v>
      </c>
      <c r="I51" s="37">
        <f t="shared" si="15"/>
        <v>112000</v>
      </c>
      <c r="J51" s="37">
        <f t="shared" si="15"/>
        <v>112000</v>
      </c>
      <c r="K51" s="37">
        <f t="shared" si="15"/>
        <v>112000</v>
      </c>
      <c r="L51" s="37">
        <f t="shared" si="15"/>
        <v>112000</v>
      </c>
      <c r="M51" s="37">
        <f t="shared" si="15"/>
        <v>112000</v>
      </c>
      <c r="N51" s="37">
        <f t="shared" si="15"/>
        <v>112000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0</v>
      </c>
      <c r="E59" s="37" t="s">
        <v>525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376000</v>
      </c>
      <c r="E60" s="37" t="s">
        <v>195</v>
      </c>
      <c r="F60" s="37">
        <f>D60</f>
        <v>376000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1138000</v>
      </c>
      <c r="E62" s="37" t="s">
        <v>197</v>
      </c>
      <c r="F62" s="37"/>
      <c r="G62" s="37"/>
      <c r="H62" s="37"/>
      <c r="I62" s="37">
        <f>ROUND($D62/5,-3)</f>
        <v>228000</v>
      </c>
      <c r="J62" s="37"/>
      <c r="K62" s="37"/>
      <c r="L62" s="37"/>
      <c r="M62" s="37"/>
      <c r="N62" s="37">
        <f>D62-I62</f>
        <v>910000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1463000</v>
      </c>
      <c r="E63" s="37" t="s">
        <v>195</v>
      </c>
      <c r="F63" s="37">
        <f>D63</f>
        <v>1463000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1194000</v>
      </c>
      <c r="E64" s="114" t="s">
        <v>202</v>
      </c>
      <c r="F64" s="37">
        <f>ROUND($D64/12*3,-3)</f>
        <v>299000</v>
      </c>
      <c r="G64" s="37">
        <f>ROUND($D64/12,-3)</f>
        <v>100000</v>
      </c>
      <c r="H64" s="37">
        <f t="shared" ref="H64:N66" si="21">ROUND($D64/12,-3)</f>
        <v>100000</v>
      </c>
      <c r="I64" s="37">
        <f t="shared" si="21"/>
        <v>100000</v>
      </c>
      <c r="J64" s="37">
        <f t="shared" si="21"/>
        <v>100000</v>
      </c>
      <c r="K64" s="37">
        <f t="shared" si="21"/>
        <v>100000</v>
      </c>
      <c r="L64" s="37">
        <f t="shared" si="21"/>
        <v>100000</v>
      </c>
      <c r="M64" s="37">
        <f t="shared" si="21"/>
        <v>100000</v>
      </c>
      <c r="N64" s="37">
        <f t="shared" si="21"/>
        <v>100000</v>
      </c>
      <c r="O64" s="37">
        <f>D64-SUM(F64:N64)</f>
        <v>95000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248000</v>
      </c>
      <c r="E65" s="114" t="s">
        <v>202</v>
      </c>
      <c r="F65" s="37">
        <f t="shared" ref="F65:F66" si="22">ROUND($D65/12*3,-3)</f>
        <v>62000</v>
      </c>
      <c r="G65" s="37">
        <f t="shared" ref="G65:G66" si="23">ROUND($D65/12,-3)</f>
        <v>21000</v>
      </c>
      <c r="H65" s="37">
        <f t="shared" si="21"/>
        <v>21000</v>
      </c>
      <c r="I65" s="37">
        <f t="shared" si="21"/>
        <v>21000</v>
      </c>
      <c r="J65" s="37">
        <f t="shared" si="21"/>
        <v>21000</v>
      </c>
      <c r="K65" s="37">
        <f t="shared" si="21"/>
        <v>21000</v>
      </c>
      <c r="L65" s="37">
        <f t="shared" si="21"/>
        <v>21000</v>
      </c>
      <c r="M65" s="37">
        <f t="shared" si="21"/>
        <v>21000</v>
      </c>
      <c r="N65" s="37">
        <f t="shared" si="21"/>
        <v>21000</v>
      </c>
      <c r="O65" s="37">
        <f t="shared" ref="O65:O66" si="24">D65-SUM(F65:N65)</f>
        <v>18000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1007000</v>
      </c>
      <c r="E66" s="114" t="s">
        <v>202</v>
      </c>
      <c r="F66" s="37">
        <f t="shared" si="22"/>
        <v>252000</v>
      </c>
      <c r="G66" s="37">
        <f t="shared" si="23"/>
        <v>84000</v>
      </c>
      <c r="H66" s="37">
        <f t="shared" si="21"/>
        <v>84000</v>
      </c>
      <c r="I66" s="37">
        <f t="shared" si="21"/>
        <v>84000</v>
      </c>
      <c r="J66" s="37">
        <f t="shared" si="21"/>
        <v>84000</v>
      </c>
      <c r="K66" s="37">
        <f t="shared" si="21"/>
        <v>84000</v>
      </c>
      <c r="L66" s="37">
        <f t="shared" si="21"/>
        <v>84000</v>
      </c>
      <c r="M66" s="37">
        <f t="shared" si="21"/>
        <v>84000</v>
      </c>
      <c r="N66" s="37">
        <f t="shared" si="21"/>
        <v>84000</v>
      </c>
      <c r="O66" s="37">
        <f t="shared" si="24"/>
        <v>83000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18000</v>
      </c>
      <c r="E67" s="37" t="s">
        <v>196</v>
      </c>
      <c r="F67" s="37"/>
      <c r="G67" s="37"/>
      <c r="H67" s="37">
        <f>D67</f>
        <v>18000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112000</v>
      </c>
      <c r="E68" s="37" t="s">
        <v>195</v>
      </c>
      <c r="F68" s="37">
        <f>D68</f>
        <v>112000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18988000</v>
      </c>
      <c r="E70" s="108"/>
      <c r="F70" s="108">
        <f t="shared" ref="F70:P70" si="25">ROUND(SUM(F49:F69),-3)</f>
        <v>5917000</v>
      </c>
      <c r="G70" s="108">
        <f t="shared" si="25"/>
        <v>1324000</v>
      </c>
      <c r="H70" s="108">
        <f t="shared" si="25"/>
        <v>1342000</v>
      </c>
      <c r="I70" s="108">
        <f t="shared" si="25"/>
        <v>1552000</v>
      </c>
      <c r="J70" s="108">
        <f t="shared" si="25"/>
        <v>1324000</v>
      </c>
      <c r="K70" s="108">
        <f t="shared" si="25"/>
        <v>1324000</v>
      </c>
      <c r="L70" s="108">
        <f t="shared" si="25"/>
        <v>1324000</v>
      </c>
      <c r="M70" s="108">
        <f t="shared" si="25"/>
        <v>1324000</v>
      </c>
      <c r="N70" s="108">
        <f t="shared" si="25"/>
        <v>2234000</v>
      </c>
      <c r="O70" s="108">
        <f t="shared" si="25"/>
        <v>1322000</v>
      </c>
      <c r="P70" s="108">
        <f t="shared" si="25"/>
        <v>3000</v>
      </c>
      <c r="Q70" s="108">
        <f>D70-SUM(F70:P70)</f>
        <v>-2000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4784000</v>
      </c>
      <c r="E72" s="114" t="s">
        <v>202</v>
      </c>
      <c r="F72" s="37">
        <f>ROUND($D72/12*3,-3)</f>
        <v>1196000</v>
      </c>
      <c r="G72" s="37">
        <f>ROUND($D72/12,-3)</f>
        <v>399000</v>
      </c>
      <c r="H72" s="37">
        <f t="shared" ref="H72:N75" si="26">ROUND($D72/12,-3)</f>
        <v>399000</v>
      </c>
      <c r="I72" s="37">
        <f t="shared" si="26"/>
        <v>399000</v>
      </c>
      <c r="J72" s="37">
        <f t="shared" si="26"/>
        <v>399000</v>
      </c>
      <c r="K72" s="37">
        <f t="shared" si="26"/>
        <v>399000</v>
      </c>
      <c r="L72" s="37">
        <f t="shared" si="26"/>
        <v>399000</v>
      </c>
      <c r="M72" s="37">
        <f t="shared" si="26"/>
        <v>399000</v>
      </c>
      <c r="N72" s="37">
        <f t="shared" si="26"/>
        <v>399000</v>
      </c>
      <c r="O72" s="37">
        <f>D72-SUM(F72:N72)</f>
        <v>396000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51000</v>
      </c>
      <c r="E74" s="114" t="s">
        <v>202</v>
      </c>
      <c r="F74" s="37">
        <f>ROUND($D74/12*3,-3)</f>
        <v>13000</v>
      </c>
      <c r="G74" s="37">
        <f>ROUND($D74/12,-3)</f>
        <v>4000</v>
      </c>
      <c r="H74" s="37">
        <f t="shared" si="26"/>
        <v>4000</v>
      </c>
      <c r="I74" s="37">
        <f t="shared" si="26"/>
        <v>4000</v>
      </c>
      <c r="J74" s="37">
        <f t="shared" si="26"/>
        <v>4000</v>
      </c>
      <c r="K74" s="37">
        <f t="shared" si="26"/>
        <v>4000</v>
      </c>
      <c r="L74" s="37">
        <f t="shared" si="26"/>
        <v>4000</v>
      </c>
      <c r="M74" s="37">
        <f t="shared" si="26"/>
        <v>4000</v>
      </c>
      <c r="N74" s="37">
        <f t="shared" si="26"/>
        <v>4000</v>
      </c>
      <c r="O74" s="37">
        <f>D74-SUM(F74:N74)</f>
        <v>6000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282000</v>
      </c>
      <c r="E75" s="114" t="s">
        <v>202</v>
      </c>
      <c r="F75" s="37">
        <f>ROUND($D75/12*3,-3)</f>
        <v>71000</v>
      </c>
      <c r="G75" s="37">
        <f>ROUND($D75/12,-3)</f>
        <v>24000</v>
      </c>
      <c r="H75" s="37">
        <f t="shared" si="26"/>
        <v>24000</v>
      </c>
      <c r="I75" s="37">
        <f t="shared" si="26"/>
        <v>24000</v>
      </c>
      <c r="J75" s="37">
        <f t="shared" si="26"/>
        <v>24000</v>
      </c>
      <c r="K75" s="37">
        <f t="shared" si="26"/>
        <v>24000</v>
      </c>
      <c r="L75" s="37">
        <f t="shared" si="26"/>
        <v>24000</v>
      </c>
      <c r="M75" s="37">
        <f t="shared" si="26"/>
        <v>24000</v>
      </c>
      <c r="N75" s="37">
        <f t="shared" si="26"/>
        <v>24000</v>
      </c>
      <c r="O75" s="37">
        <f>D75-SUM(F75:N75)</f>
        <v>19000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5117000</v>
      </c>
      <c r="E76" s="108"/>
      <c r="F76" s="108">
        <f>ROUND(SUM(F71:F75),-3)</f>
        <v>1280000</v>
      </c>
      <c r="G76" s="108">
        <f t="shared" ref="G76:N76" si="27">ROUND(SUM(G71:G75),-3)</f>
        <v>427000</v>
      </c>
      <c r="H76" s="108">
        <f t="shared" si="27"/>
        <v>427000</v>
      </c>
      <c r="I76" s="108">
        <f t="shared" si="27"/>
        <v>427000</v>
      </c>
      <c r="J76" s="108">
        <f t="shared" si="27"/>
        <v>427000</v>
      </c>
      <c r="K76" s="108">
        <f t="shared" si="27"/>
        <v>427000</v>
      </c>
      <c r="L76" s="108">
        <f t="shared" si="27"/>
        <v>427000</v>
      </c>
      <c r="M76" s="108">
        <f t="shared" si="27"/>
        <v>427000</v>
      </c>
      <c r="N76" s="108">
        <f t="shared" si="27"/>
        <v>427000</v>
      </c>
      <c r="O76" s="108">
        <f>D76-SUM(F76:N76)</f>
        <v>421000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57000</v>
      </c>
      <c r="E77" s="37" t="s">
        <v>681</v>
      </c>
      <c r="F77" s="224"/>
      <c r="G77" s="224"/>
      <c r="H77" s="224">
        <f>ROUND($D77/2,-3)</f>
        <v>29000</v>
      </c>
      <c r="I77" s="224"/>
      <c r="J77" s="224"/>
      <c r="K77" s="224"/>
      <c r="L77" s="224"/>
      <c r="M77" s="224"/>
      <c r="N77" s="224">
        <f>D77-H77</f>
        <v>28000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24162000</v>
      </c>
      <c r="E78" s="227"/>
      <c r="F78" s="227">
        <f>F76+F70+F77</f>
        <v>7197000</v>
      </c>
      <c r="G78" s="227">
        <f t="shared" ref="G78:Q78" si="29">G76+G70+G77</f>
        <v>1751000</v>
      </c>
      <c r="H78" s="227">
        <f t="shared" si="29"/>
        <v>1798000</v>
      </c>
      <c r="I78" s="227">
        <f t="shared" si="29"/>
        <v>1979000</v>
      </c>
      <c r="J78" s="227">
        <f t="shared" si="29"/>
        <v>1751000</v>
      </c>
      <c r="K78" s="227">
        <f t="shared" si="29"/>
        <v>1751000</v>
      </c>
      <c r="L78" s="227">
        <f t="shared" si="29"/>
        <v>1751000</v>
      </c>
      <c r="M78" s="227">
        <f t="shared" si="29"/>
        <v>1751000</v>
      </c>
      <c r="N78" s="227">
        <f t="shared" si="29"/>
        <v>2689000</v>
      </c>
      <c r="O78" s="227">
        <f t="shared" si="29"/>
        <v>1743000</v>
      </c>
      <c r="P78" s="227">
        <f t="shared" si="29"/>
        <v>3000</v>
      </c>
      <c r="Q78" s="227">
        <f t="shared" si="29"/>
        <v>-2000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25013000</v>
      </c>
      <c r="E87" s="37"/>
      <c r="F87" s="37">
        <f>F88+F89+F90+F91</f>
        <v>7285000</v>
      </c>
      <c r="G87" s="37">
        <f t="shared" ref="G87:Q87" si="32">G88+G89+G90+G91</f>
        <v>1818000</v>
      </c>
      <c r="H87" s="37">
        <f t="shared" si="32"/>
        <v>1865000</v>
      </c>
      <c r="I87" s="37">
        <f t="shared" si="32"/>
        <v>2046000</v>
      </c>
      <c r="J87" s="37">
        <f t="shared" si="32"/>
        <v>1818000</v>
      </c>
      <c r="K87" s="37">
        <f t="shared" si="32"/>
        <v>1820000</v>
      </c>
      <c r="L87" s="37">
        <f t="shared" si="32"/>
        <v>1837000</v>
      </c>
      <c r="M87" s="37">
        <f t="shared" si="32"/>
        <v>1818000</v>
      </c>
      <c r="N87" s="37">
        <f t="shared" si="32"/>
        <v>2758000</v>
      </c>
      <c r="O87" s="37">
        <f t="shared" si="32"/>
        <v>1810000</v>
      </c>
      <c r="P87" s="37">
        <f t="shared" si="32"/>
        <v>70000</v>
      </c>
      <c r="Q87" s="37">
        <f t="shared" si="32"/>
        <v>68000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40000</v>
      </c>
      <c r="E88" s="108" t="s">
        <v>193</v>
      </c>
      <c r="F88" s="108">
        <f>ROUND($D88/2,-3)</f>
        <v>20000</v>
      </c>
      <c r="G88" s="108"/>
      <c r="H88" s="108"/>
      <c r="I88" s="108"/>
      <c r="J88" s="108"/>
      <c r="K88" s="108"/>
      <c r="L88" s="108">
        <f>D88-F88</f>
        <v>20000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24972000</v>
      </c>
      <c r="E91" s="108"/>
      <c r="F91" s="108">
        <f>F92+F93+F94+F95</f>
        <v>7265000</v>
      </c>
      <c r="G91" s="108">
        <f t="shared" ref="G91:Q91" si="34">G92+G93+G94+G95</f>
        <v>1818000</v>
      </c>
      <c r="H91" s="108">
        <f t="shared" si="34"/>
        <v>1865000</v>
      </c>
      <c r="I91" s="108">
        <f t="shared" si="34"/>
        <v>2046000</v>
      </c>
      <c r="J91" s="108">
        <f t="shared" si="34"/>
        <v>1818000</v>
      </c>
      <c r="K91" s="108">
        <f t="shared" si="34"/>
        <v>1820000</v>
      </c>
      <c r="L91" s="108">
        <f t="shared" si="34"/>
        <v>1817000</v>
      </c>
      <c r="M91" s="108">
        <f t="shared" si="34"/>
        <v>1818000</v>
      </c>
      <c r="N91" s="108">
        <f t="shared" si="34"/>
        <v>2758000</v>
      </c>
      <c r="O91" s="108">
        <f t="shared" si="34"/>
        <v>1810000</v>
      </c>
      <c r="P91" s="108">
        <f t="shared" si="34"/>
        <v>70000</v>
      </c>
      <c r="Q91" s="108">
        <f t="shared" si="34"/>
        <v>67000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3775000</v>
      </c>
      <c r="E92" s="114" t="s">
        <v>537</v>
      </c>
      <c r="F92" s="37">
        <f>ROUND($D92/12*5,-3)</f>
        <v>1573000</v>
      </c>
      <c r="G92" s="37">
        <f>ROUND($D92/12,-3)</f>
        <v>315000</v>
      </c>
      <c r="H92" s="37">
        <f t="shared" ref="H92:L92" si="35">ROUND($D92/12,-3)</f>
        <v>315000</v>
      </c>
      <c r="I92" s="37">
        <f t="shared" si="35"/>
        <v>315000</v>
      </c>
      <c r="J92" s="37">
        <f t="shared" si="35"/>
        <v>315000</v>
      </c>
      <c r="K92" s="37">
        <f t="shared" si="35"/>
        <v>315000</v>
      </c>
      <c r="L92" s="37">
        <f t="shared" si="35"/>
        <v>315000</v>
      </c>
      <c r="M92" s="37">
        <f>D92-SUM(F92:L92)</f>
        <v>312000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28000</v>
      </c>
      <c r="E94" s="190" t="s">
        <v>229</v>
      </c>
      <c r="F94" s="37"/>
      <c r="G94" s="37"/>
      <c r="H94" s="37">
        <f>ROUND($D94/2,-3)</f>
        <v>14000</v>
      </c>
      <c r="I94" s="37"/>
      <c r="J94" s="37"/>
      <c r="K94" s="37"/>
      <c r="L94" s="37"/>
      <c r="M94" s="37"/>
      <c r="N94" s="37"/>
      <c r="O94" s="37">
        <f>D94-H94</f>
        <v>14000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21079000</v>
      </c>
      <c r="E95" s="37"/>
      <c r="F95" s="37">
        <f>F2+F86-F88-F89-F90-F92-F93-F94</f>
        <v>5684000</v>
      </c>
      <c r="G95" s="37">
        <f t="shared" ref="G95:Q95" si="37">G2-G88-G89-G90-G92-G93-G94</f>
        <v>1495000</v>
      </c>
      <c r="H95" s="37">
        <f t="shared" si="37"/>
        <v>1528000</v>
      </c>
      <c r="I95" s="37">
        <f t="shared" si="37"/>
        <v>1723000</v>
      </c>
      <c r="J95" s="37">
        <f t="shared" si="37"/>
        <v>1495000</v>
      </c>
      <c r="K95" s="37">
        <f t="shared" si="37"/>
        <v>1497000</v>
      </c>
      <c r="L95" s="37">
        <f t="shared" si="37"/>
        <v>1494000</v>
      </c>
      <c r="M95" s="37">
        <f t="shared" si="37"/>
        <v>1498000</v>
      </c>
      <c r="N95" s="37">
        <f t="shared" si="37"/>
        <v>2750000</v>
      </c>
      <c r="O95" s="37">
        <f t="shared" si="37"/>
        <v>1788000</v>
      </c>
      <c r="P95" s="37">
        <f t="shared" si="37"/>
        <v>62000</v>
      </c>
      <c r="Q95" s="37">
        <f t="shared" si="37"/>
        <v>65000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1460000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28000</v>
      </c>
    </row>
    <row r="105" spans="2:17" ht="32.4">
      <c r="B105" s="72" t="s">
        <v>380</v>
      </c>
      <c r="D105" s="30">
        <f>HLOOKUP(D1,[1]縣庫撥款收入明細表!H:DD,19,FALSE)</f>
        <v>650000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21079000</v>
      </c>
    </row>
    <row r="108" spans="2:17" ht="16.5" customHeight="1"/>
    <row r="109" spans="2:17" ht="16.5" customHeight="1">
      <c r="B109" s="4" t="s">
        <v>682</v>
      </c>
      <c r="D109" s="30">
        <f>D91-D76</f>
        <v>19855000</v>
      </c>
      <c r="F109" s="30">
        <f>F91-F76</f>
        <v>5985000</v>
      </c>
      <c r="G109" s="30">
        <f t="shared" ref="G109:Q109" si="38">G91-G76</f>
        <v>1391000</v>
      </c>
      <c r="H109" s="30">
        <f t="shared" si="38"/>
        <v>1438000</v>
      </c>
      <c r="I109" s="30">
        <f t="shared" si="38"/>
        <v>1619000</v>
      </c>
      <c r="J109" s="30">
        <f t="shared" si="38"/>
        <v>1391000</v>
      </c>
      <c r="K109" s="30">
        <f t="shared" si="38"/>
        <v>1393000</v>
      </c>
      <c r="L109" s="30">
        <f t="shared" si="38"/>
        <v>1390000</v>
      </c>
      <c r="M109" s="30">
        <f t="shared" si="38"/>
        <v>1391000</v>
      </c>
      <c r="N109" s="30">
        <f t="shared" si="38"/>
        <v>2331000</v>
      </c>
      <c r="O109" s="30">
        <f t="shared" si="38"/>
        <v>1389000</v>
      </c>
      <c r="P109" s="30">
        <f t="shared" si="38"/>
        <v>70000</v>
      </c>
      <c r="Q109" s="30">
        <f t="shared" si="38"/>
        <v>67000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80" priority="1" operator="lessThan">
      <formula>0</formula>
    </cfRule>
  </conditionalFormatting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zoomScale="70" zoomScaleNormal="70"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668</v>
      </c>
      <c r="D1" s="28" t="str">
        <f>VLOOKUP(C1,[1]學校編號!A:B,2,FALSE)</f>
        <v>668松浦國小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23252000</v>
      </c>
      <c r="E2" s="37"/>
      <c r="F2" s="37">
        <f>F48+F70+F76+F77+F83</f>
        <v>6741000</v>
      </c>
      <c r="G2" s="37">
        <f t="shared" ref="G2:Q2" si="0">G48+G70+G76+G77+G83</f>
        <v>1565000</v>
      </c>
      <c r="H2" s="37">
        <f t="shared" si="0"/>
        <v>1946000</v>
      </c>
      <c r="I2" s="37">
        <f t="shared" si="0"/>
        <v>1873000</v>
      </c>
      <c r="J2" s="37">
        <f t="shared" si="0"/>
        <v>1565000</v>
      </c>
      <c r="K2" s="37">
        <f t="shared" si="0"/>
        <v>1569000</v>
      </c>
      <c r="L2" s="37">
        <f t="shared" si="0"/>
        <v>1582000</v>
      </c>
      <c r="M2" s="37">
        <f t="shared" si="0"/>
        <v>1565000</v>
      </c>
      <c r="N2" s="37">
        <f t="shared" si="0"/>
        <v>3154000</v>
      </c>
      <c r="O2" s="37">
        <f t="shared" si="0"/>
        <v>1565000</v>
      </c>
      <c r="P2" s="37">
        <f t="shared" si="0"/>
        <v>65000</v>
      </c>
      <c r="Q2" s="37">
        <f t="shared" si="0"/>
        <v>62000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34000</v>
      </c>
      <c r="E15" s="37" t="s">
        <v>193</v>
      </c>
      <c r="F15" s="37">
        <f>ROUND($D15/2,-3)</f>
        <v>17000</v>
      </c>
      <c r="G15" s="37"/>
      <c r="H15" s="37"/>
      <c r="I15" s="37"/>
      <c r="J15" s="37"/>
      <c r="K15" s="37"/>
      <c r="L15" s="37">
        <f>D15-F15</f>
        <v>17000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500000</v>
      </c>
      <c r="E25" s="108"/>
      <c r="F25" s="108">
        <f>ROUND(SUM(F3:F24),-3)</f>
        <v>56000</v>
      </c>
      <c r="G25" s="108">
        <f t="shared" ref="G25:P25" si="5">ROUND(SUM(G3:G24),-3)</f>
        <v>39000</v>
      </c>
      <c r="H25" s="108">
        <f t="shared" si="5"/>
        <v>39000</v>
      </c>
      <c r="I25" s="108">
        <f t="shared" si="5"/>
        <v>39000</v>
      </c>
      <c r="J25" s="108">
        <f t="shared" si="5"/>
        <v>39000</v>
      </c>
      <c r="K25" s="108">
        <f t="shared" si="5"/>
        <v>39000</v>
      </c>
      <c r="L25" s="108">
        <f t="shared" si="5"/>
        <v>56000</v>
      </c>
      <c r="M25" s="108">
        <f t="shared" si="5"/>
        <v>39000</v>
      </c>
      <c r="N25" s="108">
        <f t="shared" si="5"/>
        <v>39000</v>
      </c>
      <c r="O25" s="108">
        <f t="shared" si="5"/>
        <v>39000</v>
      </c>
      <c r="P25" s="108">
        <f t="shared" si="5"/>
        <v>39000</v>
      </c>
      <c r="Q25" s="108">
        <f t="shared" ref="Q25:Q33" si="6">D25-SUM(F25:P25)</f>
        <v>37000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20000</v>
      </c>
      <c r="E29" s="37" t="s">
        <v>525</v>
      </c>
      <c r="F29" s="37">
        <f t="shared" si="8"/>
        <v>1667</v>
      </c>
      <c r="G29" s="37">
        <f t="shared" si="8"/>
        <v>1667</v>
      </c>
      <c r="H29" s="37">
        <f t="shared" si="8"/>
        <v>1667</v>
      </c>
      <c r="I29" s="37">
        <f t="shared" si="8"/>
        <v>1667</v>
      </c>
      <c r="J29" s="37">
        <f t="shared" si="8"/>
        <v>1667</v>
      </c>
      <c r="K29" s="37">
        <f t="shared" si="8"/>
        <v>1667</v>
      </c>
      <c r="L29" s="37">
        <f t="shared" si="8"/>
        <v>1667</v>
      </c>
      <c r="M29" s="37">
        <f t="shared" si="8"/>
        <v>1667</v>
      </c>
      <c r="N29" s="37">
        <f t="shared" si="8"/>
        <v>1667</v>
      </c>
      <c r="O29" s="37">
        <f t="shared" si="8"/>
        <v>1667</v>
      </c>
      <c r="P29" s="37">
        <f t="shared" si="8"/>
        <v>1667</v>
      </c>
      <c r="Q29" s="37">
        <f t="shared" si="6"/>
        <v>1663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9000</v>
      </c>
      <c r="E30" s="37" t="s">
        <v>525</v>
      </c>
      <c r="F30" s="37">
        <f t="shared" si="8"/>
        <v>750</v>
      </c>
      <c r="G30" s="37">
        <f t="shared" si="8"/>
        <v>750</v>
      </c>
      <c r="H30" s="37">
        <f t="shared" si="8"/>
        <v>750</v>
      </c>
      <c r="I30" s="37">
        <f t="shared" si="8"/>
        <v>750</v>
      </c>
      <c r="J30" s="37">
        <f t="shared" si="8"/>
        <v>750</v>
      </c>
      <c r="K30" s="37">
        <f t="shared" si="8"/>
        <v>750</v>
      </c>
      <c r="L30" s="37">
        <f t="shared" si="8"/>
        <v>750</v>
      </c>
      <c r="M30" s="37">
        <f t="shared" si="8"/>
        <v>750</v>
      </c>
      <c r="N30" s="37">
        <f t="shared" si="8"/>
        <v>750</v>
      </c>
      <c r="O30" s="37">
        <f t="shared" si="8"/>
        <v>750</v>
      </c>
      <c r="P30" s="37">
        <f t="shared" si="8"/>
        <v>750</v>
      </c>
      <c r="Q30" s="37">
        <f t="shared" si="6"/>
        <v>750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4000</v>
      </c>
      <c r="E31" s="37" t="s">
        <v>525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280000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27000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792000</v>
      </c>
      <c r="E48" s="37"/>
      <c r="F48" s="115">
        <f>F25+F37+F45+F47</f>
        <v>83000</v>
      </c>
      <c r="G48" s="115">
        <f t="shared" ref="G48:R48" si="14">G25+G37+G45+G47</f>
        <v>62000</v>
      </c>
      <c r="H48" s="115">
        <f t="shared" si="14"/>
        <v>62000</v>
      </c>
      <c r="I48" s="115">
        <f t="shared" si="14"/>
        <v>62000</v>
      </c>
      <c r="J48" s="115">
        <f t="shared" si="14"/>
        <v>62000</v>
      </c>
      <c r="K48" s="115">
        <f t="shared" si="14"/>
        <v>66000</v>
      </c>
      <c r="L48" s="115">
        <f t="shared" si="14"/>
        <v>79000</v>
      </c>
      <c r="M48" s="115">
        <f t="shared" si="14"/>
        <v>62000</v>
      </c>
      <c r="N48" s="115">
        <f t="shared" si="14"/>
        <v>66000</v>
      </c>
      <c r="O48" s="115">
        <f t="shared" si="14"/>
        <v>62000</v>
      </c>
      <c r="P48" s="115">
        <f t="shared" si="14"/>
        <v>62000</v>
      </c>
      <c r="Q48" s="115">
        <f t="shared" si="14"/>
        <v>64000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12733000</v>
      </c>
      <c r="E49" s="114" t="s">
        <v>202</v>
      </c>
      <c r="F49" s="37">
        <f>ROUND($D49/12*3,-3)</f>
        <v>3183000</v>
      </c>
      <c r="G49" s="37">
        <f>ROUND($D49/12,-3)</f>
        <v>1061000</v>
      </c>
      <c r="H49" s="37">
        <f t="shared" ref="H49:N53" si="15">ROUND($D49/12,-3)</f>
        <v>1061000</v>
      </c>
      <c r="I49" s="37">
        <f t="shared" si="15"/>
        <v>1061000</v>
      </c>
      <c r="J49" s="37">
        <f t="shared" si="15"/>
        <v>1061000</v>
      </c>
      <c r="K49" s="37">
        <f t="shared" si="15"/>
        <v>1061000</v>
      </c>
      <c r="L49" s="37">
        <f t="shared" si="15"/>
        <v>1061000</v>
      </c>
      <c r="M49" s="37">
        <f t="shared" si="15"/>
        <v>1061000</v>
      </c>
      <c r="N49" s="37">
        <f t="shared" si="15"/>
        <v>1061000</v>
      </c>
      <c r="O49" s="37">
        <f>D49-SUM(F49:N49)</f>
        <v>1062000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406000</v>
      </c>
      <c r="E50" s="114" t="s">
        <v>202</v>
      </c>
      <c r="F50" s="37">
        <f t="shared" ref="F50:F53" si="16">ROUND($D50/12*3,-3)</f>
        <v>102000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si="15"/>
        <v>34000</v>
      </c>
      <c r="N50" s="37">
        <f t="shared" si="15"/>
        <v>34000</v>
      </c>
      <c r="O50" s="37">
        <f t="shared" ref="O50:O53" si="18">D50-SUM(F50:N50)</f>
        <v>32000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1413000</v>
      </c>
      <c r="E51" s="114" t="s">
        <v>202</v>
      </c>
      <c r="F51" s="37">
        <f t="shared" si="16"/>
        <v>353000</v>
      </c>
      <c r="G51" s="37">
        <f t="shared" si="17"/>
        <v>118000</v>
      </c>
      <c r="H51" s="37">
        <f t="shared" si="15"/>
        <v>118000</v>
      </c>
      <c r="I51" s="37">
        <f t="shared" si="15"/>
        <v>118000</v>
      </c>
      <c r="J51" s="37">
        <f t="shared" si="15"/>
        <v>118000</v>
      </c>
      <c r="K51" s="37">
        <f t="shared" si="15"/>
        <v>118000</v>
      </c>
      <c r="L51" s="37">
        <f t="shared" si="15"/>
        <v>118000</v>
      </c>
      <c r="M51" s="37">
        <f t="shared" si="15"/>
        <v>118000</v>
      </c>
      <c r="N51" s="37">
        <f t="shared" si="15"/>
        <v>118000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0</v>
      </c>
      <c r="E59" s="37" t="s">
        <v>525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398000</v>
      </c>
      <c r="E60" s="37" t="s">
        <v>195</v>
      </c>
      <c r="F60" s="37">
        <f>D60</f>
        <v>398000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1539000</v>
      </c>
      <c r="E62" s="37" t="s">
        <v>197</v>
      </c>
      <c r="F62" s="37"/>
      <c r="G62" s="37"/>
      <c r="H62" s="37"/>
      <c r="I62" s="37">
        <f>ROUND($D62/5,-3)</f>
        <v>308000</v>
      </c>
      <c r="J62" s="37"/>
      <c r="K62" s="37"/>
      <c r="L62" s="37"/>
      <c r="M62" s="37"/>
      <c r="N62" s="37">
        <f>D62-I62</f>
        <v>1231000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1628000</v>
      </c>
      <c r="E63" s="37" t="s">
        <v>195</v>
      </c>
      <c r="F63" s="37">
        <f>D63</f>
        <v>1628000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1338000</v>
      </c>
      <c r="E64" s="114" t="s">
        <v>202</v>
      </c>
      <c r="F64" s="37">
        <f>ROUND($D64/12*3,-3)</f>
        <v>335000</v>
      </c>
      <c r="G64" s="37">
        <f>ROUND($D64/12,-3)</f>
        <v>112000</v>
      </c>
      <c r="H64" s="37">
        <f t="shared" ref="H64:N66" si="21">ROUND($D64/12,-3)</f>
        <v>112000</v>
      </c>
      <c r="I64" s="37">
        <f t="shared" si="21"/>
        <v>112000</v>
      </c>
      <c r="J64" s="37">
        <f t="shared" si="21"/>
        <v>112000</v>
      </c>
      <c r="K64" s="37">
        <f t="shared" si="21"/>
        <v>112000</v>
      </c>
      <c r="L64" s="37">
        <f t="shared" si="21"/>
        <v>112000</v>
      </c>
      <c r="M64" s="37">
        <f t="shared" si="21"/>
        <v>112000</v>
      </c>
      <c r="N64" s="37">
        <f t="shared" si="21"/>
        <v>112000</v>
      </c>
      <c r="O64" s="37">
        <f>D64-SUM(F64:N64)</f>
        <v>107000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292000</v>
      </c>
      <c r="E65" s="114" t="s">
        <v>202</v>
      </c>
      <c r="F65" s="37">
        <f t="shared" ref="F65:F66" si="22">ROUND($D65/12*3,-3)</f>
        <v>73000</v>
      </c>
      <c r="G65" s="37">
        <f t="shared" ref="G65:G66" si="23">ROUND($D65/12,-3)</f>
        <v>24000</v>
      </c>
      <c r="H65" s="37">
        <f t="shared" si="21"/>
        <v>24000</v>
      </c>
      <c r="I65" s="37">
        <f t="shared" si="21"/>
        <v>24000</v>
      </c>
      <c r="J65" s="37">
        <f t="shared" si="21"/>
        <v>24000</v>
      </c>
      <c r="K65" s="37">
        <f t="shared" si="21"/>
        <v>24000</v>
      </c>
      <c r="L65" s="37">
        <f t="shared" si="21"/>
        <v>24000</v>
      </c>
      <c r="M65" s="37">
        <f t="shared" si="21"/>
        <v>24000</v>
      </c>
      <c r="N65" s="37">
        <f t="shared" si="21"/>
        <v>24000</v>
      </c>
      <c r="O65" s="37">
        <f t="shared" ref="O65:O66" si="24">D65-SUM(F65:N65)</f>
        <v>27000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1072000</v>
      </c>
      <c r="E66" s="114" t="s">
        <v>202</v>
      </c>
      <c r="F66" s="37">
        <f t="shared" si="22"/>
        <v>268000</v>
      </c>
      <c r="G66" s="37">
        <f t="shared" si="23"/>
        <v>89000</v>
      </c>
      <c r="H66" s="37">
        <f t="shared" si="21"/>
        <v>89000</v>
      </c>
      <c r="I66" s="37">
        <f t="shared" si="21"/>
        <v>89000</v>
      </c>
      <c r="J66" s="37">
        <f t="shared" si="21"/>
        <v>89000</v>
      </c>
      <c r="K66" s="37">
        <f t="shared" si="21"/>
        <v>89000</v>
      </c>
      <c r="L66" s="37">
        <f t="shared" si="21"/>
        <v>89000</v>
      </c>
      <c r="M66" s="37">
        <f t="shared" si="21"/>
        <v>89000</v>
      </c>
      <c r="N66" s="37">
        <f t="shared" si="21"/>
        <v>89000</v>
      </c>
      <c r="O66" s="37">
        <f t="shared" si="24"/>
        <v>92000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27000</v>
      </c>
      <c r="E67" s="37" t="s">
        <v>196</v>
      </c>
      <c r="F67" s="37"/>
      <c r="G67" s="37"/>
      <c r="H67" s="37">
        <f>D67</f>
        <v>27000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128000</v>
      </c>
      <c r="E68" s="37" t="s">
        <v>195</v>
      </c>
      <c r="F68" s="37">
        <f>D68</f>
        <v>128000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21270000</v>
      </c>
      <c r="E70" s="108"/>
      <c r="F70" s="108">
        <f t="shared" ref="F70:P70" si="25">ROUND(SUM(F49:F69),-3)</f>
        <v>6537000</v>
      </c>
      <c r="G70" s="108">
        <f t="shared" si="25"/>
        <v>1463000</v>
      </c>
      <c r="H70" s="108">
        <f t="shared" si="25"/>
        <v>1490000</v>
      </c>
      <c r="I70" s="108">
        <f t="shared" si="25"/>
        <v>1771000</v>
      </c>
      <c r="J70" s="108">
        <f t="shared" si="25"/>
        <v>1463000</v>
      </c>
      <c r="K70" s="108">
        <f t="shared" si="25"/>
        <v>1463000</v>
      </c>
      <c r="L70" s="108">
        <f t="shared" si="25"/>
        <v>1463000</v>
      </c>
      <c r="M70" s="108">
        <f t="shared" si="25"/>
        <v>1463000</v>
      </c>
      <c r="N70" s="108">
        <f t="shared" si="25"/>
        <v>2694000</v>
      </c>
      <c r="O70" s="108">
        <f t="shared" si="25"/>
        <v>1462000</v>
      </c>
      <c r="P70" s="108">
        <f t="shared" si="25"/>
        <v>3000</v>
      </c>
      <c r="Q70" s="108">
        <f>D70-SUM(F70:P70)</f>
        <v>-2000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136000</v>
      </c>
      <c r="E72" s="114" t="s">
        <v>202</v>
      </c>
      <c r="F72" s="37">
        <f>ROUND($D72/12*3,-3)</f>
        <v>34000</v>
      </c>
      <c r="G72" s="37">
        <f>ROUND($D72/12,-3)</f>
        <v>11000</v>
      </c>
      <c r="H72" s="37">
        <f t="shared" ref="H72:N75" si="26">ROUND($D72/12,-3)</f>
        <v>11000</v>
      </c>
      <c r="I72" s="37">
        <f t="shared" si="26"/>
        <v>11000</v>
      </c>
      <c r="J72" s="37">
        <f t="shared" si="26"/>
        <v>11000</v>
      </c>
      <c r="K72" s="37">
        <f t="shared" si="26"/>
        <v>11000</v>
      </c>
      <c r="L72" s="37">
        <f t="shared" si="26"/>
        <v>11000</v>
      </c>
      <c r="M72" s="37">
        <f t="shared" si="26"/>
        <v>11000</v>
      </c>
      <c r="N72" s="37">
        <f t="shared" si="26"/>
        <v>11000</v>
      </c>
      <c r="O72" s="37">
        <f>D72-SUM(F72:N72)</f>
        <v>14000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346000</v>
      </c>
      <c r="E75" s="114" t="s">
        <v>202</v>
      </c>
      <c r="F75" s="37">
        <f>ROUND($D75/12*3,-3)</f>
        <v>87000</v>
      </c>
      <c r="G75" s="37">
        <f>ROUND($D75/12,-3)</f>
        <v>29000</v>
      </c>
      <c r="H75" s="37">
        <f t="shared" si="26"/>
        <v>29000</v>
      </c>
      <c r="I75" s="37">
        <f t="shared" si="26"/>
        <v>29000</v>
      </c>
      <c r="J75" s="37">
        <f t="shared" si="26"/>
        <v>29000</v>
      </c>
      <c r="K75" s="37">
        <f t="shared" si="26"/>
        <v>29000</v>
      </c>
      <c r="L75" s="37">
        <f t="shared" si="26"/>
        <v>29000</v>
      </c>
      <c r="M75" s="37">
        <f t="shared" si="26"/>
        <v>29000</v>
      </c>
      <c r="N75" s="37">
        <f t="shared" si="26"/>
        <v>29000</v>
      </c>
      <c r="O75" s="37">
        <f>D75-SUM(F75:N75)</f>
        <v>27000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482000</v>
      </c>
      <c r="E76" s="108"/>
      <c r="F76" s="108">
        <f>ROUND(SUM(F71:F75),-3)</f>
        <v>121000</v>
      </c>
      <c r="G76" s="108">
        <f t="shared" ref="G76:N76" si="27">ROUND(SUM(G71:G75),-3)</f>
        <v>40000</v>
      </c>
      <c r="H76" s="108">
        <f t="shared" si="27"/>
        <v>40000</v>
      </c>
      <c r="I76" s="108">
        <f t="shared" si="27"/>
        <v>40000</v>
      </c>
      <c r="J76" s="108">
        <f t="shared" si="27"/>
        <v>40000</v>
      </c>
      <c r="K76" s="108">
        <f t="shared" si="27"/>
        <v>40000</v>
      </c>
      <c r="L76" s="108">
        <f t="shared" si="27"/>
        <v>40000</v>
      </c>
      <c r="M76" s="108">
        <f t="shared" si="27"/>
        <v>40000</v>
      </c>
      <c r="N76" s="108">
        <f t="shared" si="27"/>
        <v>40000</v>
      </c>
      <c r="O76" s="108">
        <f>D76-SUM(F76:N76)</f>
        <v>41000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708000</v>
      </c>
      <c r="E77" s="37" t="s">
        <v>681</v>
      </c>
      <c r="F77" s="224"/>
      <c r="G77" s="224"/>
      <c r="H77" s="224">
        <f>ROUND($D77/2,-3)</f>
        <v>354000</v>
      </c>
      <c r="I77" s="224"/>
      <c r="J77" s="224"/>
      <c r="K77" s="224"/>
      <c r="L77" s="224"/>
      <c r="M77" s="224"/>
      <c r="N77" s="224">
        <f>D77-H77</f>
        <v>354000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22460000</v>
      </c>
      <c r="E78" s="227"/>
      <c r="F78" s="227">
        <f>F76+F70+F77</f>
        <v>6658000</v>
      </c>
      <c r="G78" s="227">
        <f t="shared" ref="G78:Q78" si="29">G76+G70+G77</f>
        <v>1503000</v>
      </c>
      <c r="H78" s="227">
        <f t="shared" si="29"/>
        <v>1884000</v>
      </c>
      <c r="I78" s="227">
        <f t="shared" si="29"/>
        <v>1811000</v>
      </c>
      <c r="J78" s="227">
        <f t="shared" si="29"/>
        <v>1503000</v>
      </c>
      <c r="K78" s="227">
        <f t="shared" si="29"/>
        <v>1503000</v>
      </c>
      <c r="L78" s="227">
        <f t="shared" si="29"/>
        <v>1503000</v>
      </c>
      <c r="M78" s="227">
        <f t="shared" si="29"/>
        <v>1503000</v>
      </c>
      <c r="N78" s="227">
        <f t="shared" si="29"/>
        <v>3088000</v>
      </c>
      <c r="O78" s="227">
        <f t="shared" si="29"/>
        <v>1503000</v>
      </c>
      <c r="P78" s="227">
        <f t="shared" si="29"/>
        <v>3000</v>
      </c>
      <c r="Q78" s="227">
        <f t="shared" si="29"/>
        <v>-2000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23252000</v>
      </c>
      <c r="E87" s="37"/>
      <c r="F87" s="37">
        <f>F88+F89+F90+F91</f>
        <v>6741000</v>
      </c>
      <c r="G87" s="37">
        <f t="shared" ref="G87:Q87" si="32">G88+G89+G90+G91</f>
        <v>1565000</v>
      </c>
      <c r="H87" s="37">
        <f t="shared" si="32"/>
        <v>1946000</v>
      </c>
      <c r="I87" s="37">
        <f t="shared" si="32"/>
        <v>1873000</v>
      </c>
      <c r="J87" s="37">
        <f t="shared" si="32"/>
        <v>1565000</v>
      </c>
      <c r="K87" s="37">
        <f t="shared" si="32"/>
        <v>1569000</v>
      </c>
      <c r="L87" s="37">
        <f t="shared" si="32"/>
        <v>1582000</v>
      </c>
      <c r="M87" s="37">
        <f t="shared" si="32"/>
        <v>1565000</v>
      </c>
      <c r="N87" s="37">
        <f t="shared" si="32"/>
        <v>3154000</v>
      </c>
      <c r="O87" s="37">
        <f t="shared" si="32"/>
        <v>1565000</v>
      </c>
      <c r="P87" s="37">
        <f t="shared" si="32"/>
        <v>65000</v>
      </c>
      <c r="Q87" s="37">
        <f t="shared" si="32"/>
        <v>62000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0</v>
      </c>
      <c r="E88" s="108" t="s">
        <v>193</v>
      </c>
      <c r="F88" s="108">
        <f>ROUND($D88/2,-3)</f>
        <v>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2000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1000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23250000</v>
      </c>
      <c r="E91" s="108"/>
      <c r="F91" s="108">
        <f>F92+F93+F94+F95</f>
        <v>6741000</v>
      </c>
      <c r="G91" s="108">
        <f t="shared" ref="G91:Q91" si="34">G92+G93+G94+G95</f>
        <v>1565000</v>
      </c>
      <c r="H91" s="108">
        <f t="shared" si="34"/>
        <v>1946000</v>
      </c>
      <c r="I91" s="108">
        <f t="shared" si="34"/>
        <v>1873000</v>
      </c>
      <c r="J91" s="108">
        <f t="shared" si="34"/>
        <v>1565000</v>
      </c>
      <c r="K91" s="108">
        <f t="shared" si="34"/>
        <v>1569000</v>
      </c>
      <c r="L91" s="108">
        <f t="shared" si="34"/>
        <v>1581000</v>
      </c>
      <c r="M91" s="108">
        <f t="shared" si="34"/>
        <v>1565000</v>
      </c>
      <c r="N91" s="108">
        <f t="shared" si="34"/>
        <v>3154000</v>
      </c>
      <c r="O91" s="108">
        <f t="shared" si="34"/>
        <v>1565000</v>
      </c>
      <c r="P91" s="108">
        <f t="shared" si="34"/>
        <v>65000</v>
      </c>
      <c r="Q91" s="108">
        <f t="shared" si="34"/>
        <v>61000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1665000</v>
      </c>
      <c r="E92" s="114" t="s">
        <v>537</v>
      </c>
      <c r="F92" s="37">
        <f>ROUND($D92/12*5,-3)</f>
        <v>694000</v>
      </c>
      <c r="G92" s="37">
        <f>ROUND($D92/12,-3)</f>
        <v>139000</v>
      </c>
      <c r="H92" s="37">
        <f t="shared" ref="H92:L92" si="35">ROUND($D92/12,-3)</f>
        <v>139000</v>
      </c>
      <c r="I92" s="37">
        <f t="shared" si="35"/>
        <v>139000</v>
      </c>
      <c r="J92" s="37">
        <f t="shared" si="35"/>
        <v>139000</v>
      </c>
      <c r="K92" s="37">
        <f t="shared" si="35"/>
        <v>139000</v>
      </c>
      <c r="L92" s="37">
        <f t="shared" si="35"/>
        <v>139000</v>
      </c>
      <c r="M92" s="37">
        <f>D92-SUM(F92:L92)</f>
        <v>137000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252000</v>
      </c>
      <c r="E94" s="190" t="s">
        <v>229</v>
      </c>
      <c r="F94" s="37"/>
      <c r="G94" s="37"/>
      <c r="H94" s="37">
        <f>ROUND($D94/2,-3)</f>
        <v>126000</v>
      </c>
      <c r="I94" s="37"/>
      <c r="J94" s="37"/>
      <c r="K94" s="37"/>
      <c r="L94" s="37"/>
      <c r="M94" s="37"/>
      <c r="N94" s="37"/>
      <c r="O94" s="37">
        <f>D94-H94</f>
        <v>126000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21243000</v>
      </c>
      <c r="E95" s="37"/>
      <c r="F95" s="37">
        <f>F2+F86-F88-F89-F90-F92-F93-F94</f>
        <v>6039000</v>
      </c>
      <c r="G95" s="37">
        <f t="shared" ref="G95:Q95" si="37">G2-G88-G89-G90-G92-G93-G94</f>
        <v>1418000</v>
      </c>
      <c r="H95" s="37">
        <f t="shared" si="37"/>
        <v>1673000</v>
      </c>
      <c r="I95" s="37">
        <f t="shared" si="37"/>
        <v>1726000</v>
      </c>
      <c r="J95" s="37">
        <f t="shared" si="37"/>
        <v>1418000</v>
      </c>
      <c r="K95" s="37">
        <f t="shared" si="37"/>
        <v>1422000</v>
      </c>
      <c r="L95" s="37">
        <f t="shared" si="37"/>
        <v>1434000</v>
      </c>
      <c r="M95" s="37">
        <f t="shared" si="37"/>
        <v>1420000</v>
      </c>
      <c r="N95" s="37">
        <f t="shared" si="37"/>
        <v>3146000</v>
      </c>
      <c r="O95" s="37">
        <f t="shared" si="37"/>
        <v>1431000</v>
      </c>
      <c r="P95" s="37">
        <f t="shared" si="37"/>
        <v>57000</v>
      </c>
      <c r="Q95" s="37">
        <f t="shared" si="37"/>
        <v>59000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0</v>
      </c>
    </row>
    <row r="104" spans="2:17" ht="32.4">
      <c r="B104" s="76" t="s">
        <v>240</v>
      </c>
      <c r="D104" s="30">
        <f>HLOOKUP(D1,[1]縣庫撥款收入明細表!H:DD,18,FALSE)</f>
        <v>252000</v>
      </c>
    </row>
    <row r="105" spans="2:17" ht="32.4">
      <c r="B105" s="72" t="s">
        <v>380</v>
      </c>
      <c r="D105" s="30">
        <f>HLOOKUP(D1,[1]縣庫撥款收入明細表!H:DD,19,FALSE)</f>
        <v>650000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21243000</v>
      </c>
    </row>
    <row r="108" spans="2:17" ht="16.5" customHeight="1"/>
    <row r="109" spans="2:17" ht="16.5" customHeight="1">
      <c r="B109" s="4" t="s">
        <v>682</v>
      </c>
      <c r="D109" s="30">
        <f>D91-D76</f>
        <v>22768000</v>
      </c>
      <c r="F109" s="30">
        <f>F91-F76</f>
        <v>6620000</v>
      </c>
      <c r="G109" s="30">
        <f t="shared" ref="G109:Q109" si="38">G91-G76</f>
        <v>1525000</v>
      </c>
      <c r="H109" s="30">
        <f t="shared" si="38"/>
        <v>1906000</v>
      </c>
      <c r="I109" s="30">
        <f t="shared" si="38"/>
        <v>1833000</v>
      </c>
      <c r="J109" s="30">
        <f t="shared" si="38"/>
        <v>1525000</v>
      </c>
      <c r="K109" s="30">
        <f t="shared" si="38"/>
        <v>1529000</v>
      </c>
      <c r="L109" s="30">
        <f t="shared" si="38"/>
        <v>1541000</v>
      </c>
      <c r="M109" s="30">
        <f t="shared" si="38"/>
        <v>1525000</v>
      </c>
      <c r="N109" s="30">
        <f t="shared" si="38"/>
        <v>3114000</v>
      </c>
      <c r="O109" s="30">
        <f t="shared" si="38"/>
        <v>1524000</v>
      </c>
      <c r="P109" s="30">
        <f t="shared" si="38"/>
        <v>65000</v>
      </c>
      <c r="Q109" s="30">
        <f t="shared" si="38"/>
        <v>61000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78" priority="1" operator="lessThan">
      <formula>0</formula>
    </cfRule>
  </conditionalFormatting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669</v>
      </c>
      <c r="D1" s="28" t="str">
        <f>VLOOKUP(C1,[1]學校編號!A:B,2,FALSE)</f>
        <v>669高寮國小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20823000</v>
      </c>
      <c r="E2" s="37"/>
      <c r="F2" s="37">
        <f>F48+F70+F76+F77+F83</f>
        <v>6057000</v>
      </c>
      <c r="G2" s="37">
        <f t="shared" ref="G2:Q2" si="0">G48+G70+G76+G77+G83</f>
        <v>1433000</v>
      </c>
      <c r="H2" s="37">
        <f t="shared" si="0"/>
        <v>1647000</v>
      </c>
      <c r="I2" s="37">
        <f t="shared" si="0"/>
        <v>1695000</v>
      </c>
      <c r="J2" s="37">
        <f t="shared" si="0"/>
        <v>1433000</v>
      </c>
      <c r="K2" s="37">
        <f t="shared" si="0"/>
        <v>1433000</v>
      </c>
      <c r="L2" s="37">
        <f t="shared" si="0"/>
        <v>1447000</v>
      </c>
      <c r="M2" s="37">
        <f t="shared" si="0"/>
        <v>1433000</v>
      </c>
      <c r="N2" s="37">
        <f t="shared" si="0"/>
        <v>2679000</v>
      </c>
      <c r="O2" s="37">
        <f t="shared" si="0"/>
        <v>1429000</v>
      </c>
      <c r="P2" s="37">
        <f t="shared" si="0"/>
        <v>72000</v>
      </c>
      <c r="Q2" s="37">
        <f t="shared" si="0"/>
        <v>65000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28000</v>
      </c>
      <c r="E15" s="37" t="s">
        <v>193</v>
      </c>
      <c r="F15" s="37">
        <f>ROUND($D15/2,-3)</f>
        <v>14000</v>
      </c>
      <c r="G15" s="37"/>
      <c r="H15" s="37"/>
      <c r="I15" s="37"/>
      <c r="J15" s="37"/>
      <c r="K15" s="37"/>
      <c r="L15" s="37">
        <f>D15-F15</f>
        <v>14000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554000</v>
      </c>
      <c r="E25" s="108"/>
      <c r="F25" s="108">
        <f>ROUND(SUM(F3:F24),-3)</f>
        <v>58000</v>
      </c>
      <c r="G25" s="108">
        <f t="shared" ref="G25:P25" si="5">ROUND(SUM(G3:G24),-3)</f>
        <v>44000</v>
      </c>
      <c r="H25" s="108">
        <f t="shared" si="5"/>
        <v>44000</v>
      </c>
      <c r="I25" s="108">
        <f t="shared" si="5"/>
        <v>44000</v>
      </c>
      <c r="J25" s="108">
        <f t="shared" si="5"/>
        <v>44000</v>
      </c>
      <c r="K25" s="108">
        <f t="shared" si="5"/>
        <v>44000</v>
      </c>
      <c r="L25" s="108">
        <f t="shared" si="5"/>
        <v>58000</v>
      </c>
      <c r="M25" s="108">
        <f t="shared" si="5"/>
        <v>44000</v>
      </c>
      <c r="N25" s="108">
        <f t="shared" si="5"/>
        <v>44000</v>
      </c>
      <c r="O25" s="108">
        <f t="shared" si="5"/>
        <v>44000</v>
      </c>
      <c r="P25" s="108">
        <f t="shared" si="5"/>
        <v>44000</v>
      </c>
      <c r="Q25" s="108">
        <f t="shared" ref="Q25:Q33" si="6">D25-SUM(F25:P25)</f>
        <v>42000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7000</v>
      </c>
      <c r="E30" s="37" t="s">
        <v>525</v>
      </c>
      <c r="F30" s="37">
        <f t="shared" si="8"/>
        <v>583</v>
      </c>
      <c r="G30" s="37">
        <f t="shared" si="8"/>
        <v>583</v>
      </c>
      <c r="H30" s="37">
        <f t="shared" si="8"/>
        <v>583</v>
      </c>
      <c r="I30" s="37">
        <f t="shared" si="8"/>
        <v>583</v>
      </c>
      <c r="J30" s="37">
        <f t="shared" si="8"/>
        <v>583</v>
      </c>
      <c r="K30" s="37">
        <f t="shared" si="8"/>
        <v>583</v>
      </c>
      <c r="L30" s="37">
        <f t="shared" si="8"/>
        <v>583</v>
      </c>
      <c r="M30" s="37">
        <f t="shared" si="8"/>
        <v>583</v>
      </c>
      <c r="N30" s="37">
        <f t="shared" si="8"/>
        <v>583</v>
      </c>
      <c r="O30" s="37">
        <f t="shared" si="8"/>
        <v>583</v>
      </c>
      <c r="P30" s="37">
        <f t="shared" si="8"/>
        <v>583</v>
      </c>
      <c r="Q30" s="37">
        <f t="shared" si="6"/>
        <v>587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3000</v>
      </c>
      <c r="E31" s="37" t="s">
        <v>525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276000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23000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830000</v>
      </c>
      <c r="E48" s="37"/>
      <c r="F48" s="115">
        <f>F25+F37+F45+F47</f>
        <v>81000</v>
      </c>
      <c r="G48" s="115">
        <f t="shared" ref="G48:R48" si="14">G25+G37+G45+G47</f>
        <v>67000</v>
      </c>
      <c r="H48" s="115">
        <f t="shared" si="14"/>
        <v>67000</v>
      </c>
      <c r="I48" s="115">
        <f t="shared" si="14"/>
        <v>67000</v>
      </c>
      <c r="J48" s="115">
        <f t="shared" si="14"/>
        <v>67000</v>
      </c>
      <c r="K48" s="115">
        <f t="shared" si="14"/>
        <v>67000</v>
      </c>
      <c r="L48" s="115">
        <f t="shared" si="14"/>
        <v>81000</v>
      </c>
      <c r="M48" s="115">
        <f t="shared" si="14"/>
        <v>67000</v>
      </c>
      <c r="N48" s="115">
        <f t="shared" si="14"/>
        <v>67000</v>
      </c>
      <c r="O48" s="115">
        <f t="shared" si="14"/>
        <v>67000</v>
      </c>
      <c r="P48" s="115">
        <f t="shared" si="14"/>
        <v>67000</v>
      </c>
      <c r="Q48" s="115">
        <f t="shared" si="14"/>
        <v>65000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11383000</v>
      </c>
      <c r="E49" s="114" t="s">
        <v>202</v>
      </c>
      <c r="F49" s="37">
        <f>ROUND($D49/12*3,-3)</f>
        <v>2846000</v>
      </c>
      <c r="G49" s="37">
        <f>ROUND($D49/12,-3)</f>
        <v>949000</v>
      </c>
      <c r="H49" s="37">
        <f t="shared" ref="H49:N53" si="15">ROUND($D49/12,-3)</f>
        <v>949000</v>
      </c>
      <c r="I49" s="37">
        <f t="shared" si="15"/>
        <v>949000</v>
      </c>
      <c r="J49" s="37">
        <f t="shared" si="15"/>
        <v>949000</v>
      </c>
      <c r="K49" s="37">
        <f t="shared" si="15"/>
        <v>949000</v>
      </c>
      <c r="L49" s="37">
        <f t="shared" si="15"/>
        <v>949000</v>
      </c>
      <c r="M49" s="37">
        <f t="shared" si="15"/>
        <v>949000</v>
      </c>
      <c r="N49" s="37">
        <f t="shared" si="15"/>
        <v>949000</v>
      </c>
      <c r="O49" s="37">
        <f>D49-SUM(F49:N49)</f>
        <v>945000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1349000</v>
      </c>
      <c r="E51" s="114" t="s">
        <v>202</v>
      </c>
      <c r="F51" s="37">
        <f t="shared" si="16"/>
        <v>337000</v>
      </c>
      <c r="G51" s="37">
        <f t="shared" si="17"/>
        <v>112000</v>
      </c>
      <c r="H51" s="37">
        <f t="shared" si="15"/>
        <v>112000</v>
      </c>
      <c r="I51" s="37">
        <f t="shared" si="15"/>
        <v>112000</v>
      </c>
      <c r="J51" s="37">
        <f t="shared" si="15"/>
        <v>112000</v>
      </c>
      <c r="K51" s="37">
        <f t="shared" si="15"/>
        <v>112000</v>
      </c>
      <c r="L51" s="37">
        <f t="shared" si="15"/>
        <v>112000</v>
      </c>
      <c r="M51" s="37">
        <f t="shared" si="15"/>
        <v>112000</v>
      </c>
      <c r="N51" s="37">
        <f t="shared" si="15"/>
        <v>112000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387000</v>
      </c>
      <c r="E60" s="37" t="s">
        <v>195</v>
      </c>
      <c r="F60" s="37">
        <f>D60</f>
        <v>387000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1308000</v>
      </c>
      <c r="E62" s="37" t="s">
        <v>197</v>
      </c>
      <c r="F62" s="37"/>
      <c r="G62" s="37"/>
      <c r="H62" s="37"/>
      <c r="I62" s="37">
        <f>ROUND($D62/5,-3)</f>
        <v>262000</v>
      </c>
      <c r="J62" s="37"/>
      <c r="K62" s="37"/>
      <c r="L62" s="37"/>
      <c r="M62" s="37"/>
      <c r="N62" s="37">
        <f>D62-I62</f>
        <v>1046000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1386000</v>
      </c>
      <c r="E63" s="37" t="s">
        <v>195</v>
      </c>
      <c r="F63" s="37">
        <f>D63</f>
        <v>1386000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1178000</v>
      </c>
      <c r="E64" s="114" t="s">
        <v>202</v>
      </c>
      <c r="F64" s="37">
        <f>ROUND($D64/12*3,-3)</f>
        <v>295000</v>
      </c>
      <c r="G64" s="37">
        <f>ROUND($D64/12,-3)</f>
        <v>98000</v>
      </c>
      <c r="H64" s="37">
        <f t="shared" ref="H64:N66" si="21">ROUND($D64/12,-3)</f>
        <v>98000</v>
      </c>
      <c r="I64" s="37">
        <f t="shared" si="21"/>
        <v>98000</v>
      </c>
      <c r="J64" s="37">
        <f t="shared" si="21"/>
        <v>98000</v>
      </c>
      <c r="K64" s="37">
        <f t="shared" si="21"/>
        <v>98000</v>
      </c>
      <c r="L64" s="37">
        <f t="shared" si="21"/>
        <v>98000</v>
      </c>
      <c r="M64" s="37">
        <f t="shared" si="21"/>
        <v>98000</v>
      </c>
      <c r="N64" s="37">
        <f t="shared" si="21"/>
        <v>98000</v>
      </c>
      <c r="O64" s="37">
        <f>D64-SUM(F64:N64)</f>
        <v>99000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272000</v>
      </c>
      <c r="E65" s="114" t="s">
        <v>202</v>
      </c>
      <c r="F65" s="37">
        <f t="shared" ref="F65:F66" si="22">ROUND($D65/12*3,-3)</f>
        <v>68000</v>
      </c>
      <c r="G65" s="37">
        <f t="shared" ref="G65:G66" si="23">ROUND($D65/12,-3)</f>
        <v>23000</v>
      </c>
      <c r="H65" s="37">
        <f t="shared" si="21"/>
        <v>23000</v>
      </c>
      <c r="I65" s="37">
        <f t="shared" si="21"/>
        <v>23000</v>
      </c>
      <c r="J65" s="37">
        <f t="shared" si="21"/>
        <v>23000</v>
      </c>
      <c r="K65" s="37">
        <f t="shared" si="21"/>
        <v>23000</v>
      </c>
      <c r="L65" s="37">
        <f t="shared" si="21"/>
        <v>23000</v>
      </c>
      <c r="M65" s="37">
        <f t="shared" si="21"/>
        <v>23000</v>
      </c>
      <c r="N65" s="37">
        <f t="shared" si="21"/>
        <v>23000</v>
      </c>
      <c r="O65" s="37">
        <f t="shared" ref="O65:O66" si="24">D65-SUM(F65:N65)</f>
        <v>20000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771000</v>
      </c>
      <c r="E66" s="114" t="s">
        <v>202</v>
      </c>
      <c r="F66" s="37">
        <f t="shared" si="22"/>
        <v>193000</v>
      </c>
      <c r="G66" s="37">
        <f t="shared" si="23"/>
        <v>64000</v>
      </c>
      <c r="H66" s="37">
        <f t="shared" si="21"/>
        <v>64000</v>
      </c>
      <c r="I66" s="37">
        <f t="shared" si="21"/>
        <v>64000</v>
      </c>
      <c r="J66" s="37">
        <f t="shared" si="21"/>
        <v>64000</v>
      </c>
      <c r="K66" s="37">
        <f t="shared" si="21"/>
        <v>64000</v>
      </c>
      <c r="L66" s="37">
        <f t="shared" si="21"/>
        <v>64000</v>
      </c>
      <c r="M66" s="37">
        <f t="shared" si="21"/>
        <v>64000</v>
      </c>
      <c r="N66" s="37">
        <f t="shared" si="21"/>
        <v>64000</v>
      </c>
      <c r="O66" s="37">
        <f t="shared" si="24"/>
        <v>66000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13000</v>
      </c>
      <c r="E67" s="37" t="s">
        <v>196</v>
      </c>
      <c r="F67" s="37"/>
      <c r="G67" s="37"/>
      <c r="H67" s="37">
        <f>D67</f>
        <v>13000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115000</v>
      </c>
      <c r="E68" s="37" t="s">
        <v>195</v>
      </c>
      <c r="F68" s="37">
        <f>D68</f>
        <v>115000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18482000</v>
      </c>
      <c r="E70" s="108"/>
      <c r="F70" s="108">
        <f t="shared" ref="F70:P70" si="25">ROUND(SUM(F49:F69),-3)</f>
        <v>5698000</v>
      </c>
      <c r="G70" s="108">
        <f t="shared" si="25"/>
        <v>1273000</v>
      </c>
      <c r="H70" s="108">
        <f t="shared" si="25"/>
        <v>1286000</v>
      </c>
      <c r="I70" s="108">
        <f t="shared" si="25"/>
        <v>1535000</v>
      </c>
      <c r="J70" s="108">
        <f t="shared" si="25"/>
        <v>1273000</v>
      </c>
      <c r="K70" s="108">
        <f t="shared" si="25"/>
        <v>1273000</v>
      </c>
      <c r="L70" s="108">
        <f t="shared" si="25"/>
        <v>1273000</v>
      </c>
      <c r="M70" s="108">
        <f t="shared" si="25"/>
        <v>1273000</v>
      </c>
      <c r="N70" s="108">
        <f t="shared" si="25"/>
        <v>2319000</v>
      </c>
      <c r="O70" s="108">
        <f t="shared" si="25"/>
        <v>1274000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1110000</v>
      </c>
      <c r="E72" s="114" t="s">
        <v>202</v>
      </c>
      <c r="F72" s="37">
        <f>ROUND($D72/12*3,-3)</f>
        <v>278000</v>
      </c>
      <c r="G72" s="37">
        <f>ROUND($D72/12,-3)</f>
        <v>93000</v>
      </c>
      <c r="H72" s="37">
        <f t="shared" ref="H72:N75" si="26">ROUND($D72/12,-3)</f>
        <v>93000</v>
      </c>
      <c r="I72" s="37">
        <f t="shared" si="26"/>
        <v>93000</v>
      </c>
      <c r="J72" s="37">
        <f t="shared" si="26"/>
        <v>93000</v>
      </c>
      <c r="K72" s="37">
        <f t="shared" si="26"/>
        <v>93000</v>
      </c>
      <c r="L72" s="37">
        <f t="shared" si="26"/>
        <v>93000</v>
      </c>
      <c r="M72" s="37">
        <f t="shared" si="26"/>
        <v>93000</v>
      </c>
      <c r="N72" s="37">
        <f t="shared" si="26"/>
        <v>93000</v>
      </c>
      <c r="O72" s="37">
        <f>D72-SUM(F72:N72)</f>
        <v>88000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1110000</v>
      </c>
      <c r="E76" s="108"/>
      <c r="F76" s="108">
        <f>ROUND(SUM(F71:F75),-3)</f>
        <v>278000</v>
      </c>
      <c r="G76" s="108">
        <f t="shared" ref="G76:N76" si="27">ROUND(SUM(G71:G75),-3)</f>
        <v>93000</v>
      </c>
      <c r="H76" s="108">
        <f t="shared" si="27"/>
        <v>93000</v>
      </c>
      <c r="I76" s="108">
        <f t="shared" si="27"/>
        <v>93000</v>
      </c>
      <c r="J76" s="108">
        <f t="shared" si="27"/>
        <v>93000</v>
      </c>
      <c r="K76" s="108">
        <f t="shared" si="27"/>
        <v>93000</v>
      </c>
      <c r="L76" s="108">
        <f t="shared" si="27"/>
        <v>93000</v>
      </c>
      <c r="M76" s="108">
        <f t="shared" si="27"/>
        <v>93000</v>
      </c>
      <c r="N76" s="108">
        <f t="shared" si="27"/>
        <v>93000</v>
      </c>
      <c r="O76" s="108">
        <f>D76-SUM(F76:N76)</f>
        <v>88000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401000</v>
      </c>
      <c r="E77" s="37" t="s">
        <v>681</v>
      </c>
      <c r="F77" s="224"/>
      <c r="G77" s="224"/>
      <c r="H77" s="224">
        <f>ROUND($D77/2,-3)</f>
        <v>201000</v>
      </c>
      <c r="I77" s="224"/>
      <c r="J77" s="224"/>
      <c r="K77" s="224"/>
      <c r="L77" s="224"/>
      <c r="M77" s="224"/>
      <c r="N77" s="224">
        <f>D77-H77</f>
        <v>200000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19993000</v>
      </c>
      <c r="E78" s="227"/>
      <c r="F78" s="227">
        <f>F76+F70+F77</f>
        <v>5976000</v>
      </c>
      <c r="G78" s="227">
        <f t="shared" ref="G78:Q78" si="29">G76+G70+G77</f>
        <v>1366000</v>
      </c>
      <c r="H78" s="227">
        <f t="shared" si="29"/>
        <v>1580000</v>
      </c>
      <c r="I78" s="227">
        <f t="shared" si="29"/>
        <v>1628000</v>
      </c>
      <c r="J78" s="227">
        <f t="shared" si="29"/>
        <v>1366000</v>
      </c>
      <c r="K78" s="227">
        <f t="shared" si="29"/>
        <v>1366000</v>
      </c>
      <c r="L78" s="227">
        <f t="shared" si="29"/>
        <v>1366000</v>
      </c>
      <c r="M78" s="227">
        <f t="shared" si="29"/>
        <v>1366000</v>
      </c>
      <c r="N78" s="227">
        <f t="shared" si="29"/>
        <v>2612000</v>
      </c>
      <c r="O78" s="227">
        <f t="shared" si="29"/>
        <v>1362000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20823000</v>
      </c>
      <c r="E87" s="37"/>
      <c r="F87" s="37">
        <f>F88+F89+F90+F91</f>
        <v>6057000</v>
      </c>
      <c r="G87" s="37">
        <f t="shared" ref="G87:Q87" si="32">G88+G89+G90+G91</f>
        <v>1433000</v>
      </c>
      <c r="H87" s="37">
        <f t="shared" si="32"/>
        <v>1647000</v>
      </c>
      <c r="I87" s="37">
        <f t="shared" si="32"/>
        <v>1695000</v>
      </c>
      <c r="J87" s="37">
        <f t="shared" si="32"/>
        <v>1433000</v>
      </c>
      <c r="K87" s="37">
        <f t="shared" si="32"/>
        <v>1433000</v>
      </c>
      <c r="L87" s="37">
        <f t="shared" si="32"/>
        <v>1447000</v>
      </c>
      <c r="M87" s="37">
        <f t="shared" si="32"/>
        <v>1433000</v>
      </c>
      <c r="N87" s="37">
        <f t="shared" si="32"/>
        <v>2679000</v>
      </c>
      <c r="O87" s="37">
        <f t="shared" si="32"/>
        <v>1429000</v>
      </c>
      <c r="P87" s="37">
        <f t="shared" si="32"/>
        <v>72000</v>
      </c>
      <c r="Q87" s="37">
        <f t="shared" si="32"/>
        <v>65000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0</v>
      </c>
      <c r="E88" s="108" t="s">
        <v>193</v>
      </c>
      <c r="F88" s="108">
        <f>ROUND($D88/2,-3)</f>
        <v>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20822000</v>
      </c>
      <c r="E91" s="108"/>
      <c r="F91" s="108">
        <f>F92+F93+F94+F95</f>
        <v>6057000</v>
      </c>
      <c r="G91" s="108">
        <f t="shared" ref="G91:Q91" si="34">G92+G93+G94+G95</f>
        <v>1433000</v>
      </c>
      <c r="H91" s="108">
        <f t="shared" si="34"/>
        <v>1647000</v>
      </c>
      <c r="I91" s="108">
        <f t="shared" si="34"/>
        <v>1695000</v>
      </c>
      <c r="J91" s="108">
        <f t="shared" si="34"/>
        <v>1433000</v>
      </c>
      <c r="K91" s="108">
        <f t="shared" si="34"/>
        <v>1433000</v>
      </c>
      <c r="L91" s="108">
        <f t="shared" si="34"/>
        <v>1447000</v>
      </c>
      <c r="M91" s="108">
        <f t="shared" si="34"/>
        <v>1433000</v>
      </c>
      <c r="N91" s="108">
        <f t="shared" si="34"/>
        <v>2679000</v>
      </c>
      <c r="O91" s="108">
        <f t="shared" si="34"/>
        <v>1429000</v>
      </c>
      <c r="P91" s="108">
        <f t="shared" si="34"/>
        <v>72000</v>
      </c>
      <c r="Q91" s="108">
        <f t="shared" si="34"/>
        <v>64000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2315000</v>
      </c>
      <c r="E92" s="114" t="s">
        <v>537</v>
      </c>
      <c r="F92" s="37">
        <f>ROUND($D92/12*5,-3)</f>
        <v>965000</v>
      </c>
      <c r="G92" s="37">
        <f>ROUND($D92/12,-3)</f>
        <v>193000</v>
      </c>
      <c r="H92" s="37">
        <f t="shared" ref="H92:L92" si="35">ROUND($D92/12,-3)</f>
        <v>193000</v>
      </c>
      <c r="I92" s="37">
        <f t="shared" si="35"/>
        <v>193000</v>
      </c>
      <c r="J92" s="37">
        <f t="shared" si="35"/>
        <v>193000</v>
      </c>
      <c r="K92" s="37">
        <f t="shared" si="35"/>
        <v>193000</v>
      </c>
      <c r="L92" s="37">
        <f t="shared" si="35"/>
        <v>193000</v>
      </c>
      <c r="M92" s="37">
        <f>D92-SUM(F92:L92)</f>
        <v>192000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18417000</v>
      </c>
      <c r="E95" s="37"/>
      <c r="F95" s="37">
        <f>F2+F86-F88-F89-F90-F92-F93-F94</f>
        <v>5084000</v>
      </c>
      <c r="G95" s="37">
        <f t="shared" ref="G95:Q95" si="37">G2-G88-G89-G90-G92-G93-G94</f>
        <v>1232000</v>
      </c>
      <c r="H95" s="37">
        <f t="shared" si="37"/>
        <v>1446000</v>
      </c>
      <c r="I95" s="37">
        <f t="shared" si="37"/>
        <v>1494000</v>
      </c>
      <c r="J95" s="37">
        <f t="shared" si="37"/>
        <v>1232000</v>
      </c>
      <c r="K95" s="37">
        <f t="shared" si="37"/>
        <v>1232000</v>
      </c>
      <c r="L95" s="37">
        <f t="shared" si="37"/>
        <v>1246000</v>
      </c>
      <c r="M95" s="37">
        <f t="shared" si="37"/>
        <v>1233000</v>
      </c>
      <c r="N95" s="37">
        <f t="shared" si="37"/>
        <v>2671000</v>
      </c>
      <c r="O95" s="37">
        <f t="shared" si="37"/>
        <v>1421000</v>
      </c>
      <c r="P95" s="37">
        <f t="shared" si="37"/>
        <v>64000</v>
      </c>
      <c r="Q95" s="37">
        <f t="shared" si="37"/>
        <v>62000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1300000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18417000</v>
      </c>
    </row>
    <row r="108" spans="2:17" ht="16.5" customHeight="1"/>
    <row r="109" spans="2:17" ht="16.5" customHeight="1">
      <c r="B109" s="4" t="s">
        <v>682</v>
      </c>
      <c r="D109" s="30">
        <f>D91-D76</f>
        <v>19712000</v>
      </c>
      <c r="F109" s="30">
        <f>F91-F76</f>
        <v>5779000</v>
      </c>
      <c r="G109" s="30">
        <f t="shared" ref="G109:Q109" si="38">G91-G76</f>
        <v>1340000</v>
      </c>
      <c r="H109" s="30">
        <f t="shared" si="38"/>
        <v>1554000</v>
      </c>
      <c r="I109" s="30">
        <f t="shared" si="38"/>
        <v>1602000</v>
      </c>
      <c r="J109" s="30">
        <f t="shared" si="38"/>
        <v>1340000</v>
      </c>
      <c r="K109" s="30">
        <f t="shared" si="38"/>
        <v>1340000</v>
      </c>
      <c r="L109" s="30">
        <f t="shared" si="38"/>
        <v>1354000</v>
      </c>
      <c r="M109" s="30">
        <f t="shared" si="38"/>
        <v>1340000</v>
      </c>
      <c r="N109" s="30">
        <f t="shared" si="38"/>
        <v>2586000</v>
      </c>
      <c r="O109" s="30">
        <f t="shared" si="38"/>
        <v>1341000</v>
      </c>
      <c r="P109" s="30">
        <f t="shared" si="38"/>
        <v>72000</v>
      </c>
      <c r="Q109" s="30">
        <f t="shared" si="38"/>
        <v>64000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76" priority="1" operator="lessThan">
      <formula>0</formula>
    </cfRule>
  </conditionalFormatting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670</v>
      </c>
      <c r="D1" s="28" t="str">
        <f>VLOOKUP(C1,[1]學校編號!A:B,2,FALSE)</f>
        <v>670富里國小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27659000</v>
      </c>
      <c r="E2" s="37"/>
      <c r="F2" s="37">
        <f>F48+F70+F76+F77+F83</f>
        <v>8073000</v>
      </c>
      <c r="G2" s="37">
        <f t="shared" ref="G2:Q2" si="0">G48+G70+G76+G77+G83</f>
        <v>1936000</v>
      </c>
      <c r="H2" s="37">
        <f t="shared" si="0"/>
        <v>2204000</v>
      </c>
      <c r="I2" s="37">
        <f t="shared" si="0"/>
        <v>2214000</v>
      </c>
      <c r="J2" s="37">
        <f t="shared" si="0"/>
        <v>1941000</v>
      </c>
      <c r="K2" s="37">
        <f t="shared" si="0"/>
        <v>1949000</v>
      </c>
      <c r="L2" s="37">
        <f t="shared" si="0"/>
        <v>2008000</v>
      </c>
      <c r="M2" s="37">
        <f t="shared" si="0"/>
        <v>1941000</v>
      </c>
      <c r="N2" s="37">
        <f t="shared" si="0"/>
        <v>3246000</v>
      </c>
      <c r="O2" s="37">
        <f t="shared" si="0"/>
        <v>1938000</v>
      </c>
      <c r="P2" s="37">
        <f t="shared" si="0"/>
        <v>111000</v>
      </c>
      <c r="Q2" s="37">
        <f t="shared" si="0"/>
        <v>98000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187000</v>
      </c>
      <c r="E3" s="37" t="s">
        <v>525</v>
      </c>
      <c r="F3" s="37">
        <f t="shared" ref="F3:P17" si="1">ROUND($D3/12,0)</f>
        <v>15583</v>
      </c>
      <c r="G3" s="37">
        <f t="shared" si="1"/>
        <v>15583</v>
      </c>
      <c r="H3" s="37">
        <f t="shared" si="1"/>
        <v>15583</v>
      </c>
      <c r="I3" s="37">
        <f t="shared" si="1"/>
        <v>15583</v>
      </c>
      <c r="J3" s="37">
        <f t="shared" si="1"/>
        <v>15583</v>
      </c>
      <c r="K3" s="37">
        <f t="shared" si="1"/>
        <v>15583</v>
      </c>
      <c r="L3" s="37">
        <f t="shared" si="1"/>
        <v>15583</v>
      </c>
      <c r="M3" s="37">
        <f t="shared" si="1"/>
        <v>15583</v>
      </c>
      <c r="N3" s="37">
        <f t="shared" si="1"/>
        <v>15583</v>
      </c>
      <c r="O3" s="37">
        <f t="shared" si="1"/>
        <v>15583</v>
      </c>
      <c r="P3" s="37">
        <f t="shared" si="1"/>
        <v>15583</v>
      </c>
      <c r="Q3" s="37">
        <f t="shared" ref="Q3:Q10" si="2">D3-SUM(F3:P3)</f>
        <v>15587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80000</v>
      </c>
      <c r="E4" s="37" t="s">
        <v>525</v>
      </c>
      <c r="F4" s="37">
        <f t="shared" si="1"/>
        <v>6667</v>
      </c>
      <c r="G4" s="37">
        <f t="shared" si="1"/>
        <v>6667</v>
      </c>
      <c r="H4" s="37">
        <f t="shared" si="1"/>
        <v>6667</v>
      </c>
      <c r="I4" s="37">
        <f t="shared" si="1"/>
        <v>6667</v>
      </c>
      <c r="J4" s="37">
        <f t="shared" si="1"/>
        <v>6667</v>
      </c>
      <c r="K4" s="37">
        <f t="shared" si="1"/>
        <v>6667</v>
      </c>
      <c r="L4" s="37">
        <f t="shared" si="1"/>
        <v>6667</v>
      </c>
      <c r="M4" s="37">
        <f t="shared" si="1"/>
        <v>6667</v>
      </c>
      <c r="N4" s="37">
        <f t="shared" si="1"/>
        <v>6667</v>
      </c>
      <c r="O4" s="37">
        <f t="shared" si="1"/>
        <v>6667</v>
      </c>
      <c r="P4" s="37">
        <f t="shared" si="1"/>
        <v>6667</v>
      </c>
      <c r="Q4" s="37">
        <f t="shared" si="2"/>
        <v>6663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166000</v>
      </c>
      <c r="E6" s="37" t="s">
        <v>525</v>
      </c>
      <c r="F6" s="37">
        <f t="shared" si="1"/>
        <v>13833</v>
      </c>
      <c r="G6" s="37">
        <f t="shared" si="1"/>
        <v>13833</v>
      </c>
      <c r="H6" s="37">
        <f t="shared" si="1"/>
        <v>13833</v>
      </c>
      <c r="I6" s="37">
        <f t="shared" si="1"/>
        <v>13833</v>
      </c>
      <c r="J6" s="37">
        <f t="shared" si="1"/>
        <v>13833</v>
      </c>
      <c r="K6" s="37">
        <f t="shared" si="1"/>
        <v>13833</v>
      </c>
      <c r="L6" s="37">
        <f t="shared" si="1"/>
        <v>13833</v>
      </c>
      <c r="M6" s="37">
        <f t="shared" si="1"/>
        <v>13833</v>
      </c>
      <c r="N6" s="37">
        <f t="shared" si="1"/>
        <v>13833</v>
      </c>
      <c r="O6" s="37">
        <f t="shared" si="1"/>
        <v>13833</v>
      </c>
      <c r="P6" s="37">
        <f t="shared" si="1"/>
        <v>13833</v>
      </c>
      <c r="Q6" s="37">
        <f t="shared" si="2"/>
        <v>13837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66000</v>
      </c>
      <c r="E7" s="37" t="s">
        <v>525</v>
      </c>
      <c r="F7" s="37">
        <f t="shared" si="1"/>
        <v>5500</v>
      </c>
      <c r="G7" s="37">
        <f t="shared" si="1"/>
        <v>5500</v>
      </c>
      <c r="H7" s="37">
        <f t="shared" si="1"/>
        <v>5500</v>
      </c>
      <c r="I7" s="37">
        <f t="shared" si="1"/>
        <v>5500</v>
      </c>
      <c r="J7" s="37">
        <f t="shared" si="1"/>
        <v>5500</v>
      </c>
      <c r="K7" s="37">
        <f t="shared" si="1"/>
        <v>5500</v>
      </c>
      <c r="L7" s="37">
        <f t="shared" si="1"/>
        <v>5500</v>
      </c>
      <c r="M7" s="37">
        <f t="shared" si="1"/>
        <v>5500</v>
      </c>
      <c r="N7" s="37">
        <f t="shared" si="1"/>
        <v>5500</v>
      </c>
      <c r="O7" s="37">
        <f t="shared" si="1"/>
        <v>5500</v>
      </c>
      <c r="P7" s="37">
        <f t="shared" si="1"/>
        <v>5500</v>
      </c>
      <c r="Q7" s="37">
        <f t="shared" si="2"/>
        <v>5500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51000</v>
      </c>
      <c r="E10" s="37" t="s">
        <v>525</v>
      </c>
      <c r="F10" s="37">
        <f t="shared" si="1"/>
        <v>4250</v>
      </c>
      <c r="G10" s="37">
        <f t="shared" si="1"/>
        <v>4250</v>
      </c>
      <c r="H10" s="37">
        <f t="shared" si="1"/>
        <v>4250</v>
      </c>
      <c r="I10" s="37">
        <f t="shared" si="1"/>
        <v>4250</v>
      </c>
      <c r="J10" s="37">
        <f t="shared" si="1"/>
        <v>4250</v>
      </c>
      <c r="K10" s="37">
        <f t="shared" si="1"/>
        <v>4250</v>
      </c>
      <c r="L10" s="37">
        <f t="shared" si="1"/>
        <v>4250</v>
      </c>
      <c r="M10" s="37">
        <f t="shared" si="1"/>
        <v>4250</v>
      </c>
      <c r="N10" s="37">
        <f t="shared" si="1"/>
        <v>4250</v>
      </c>
      <c r="O10" s="37">
        <f t="shared" si="1"/>
        <v>4250</v>
      </c>
      <c r="P10" s="37">
        <f t="shared" si="1"/>
        <v>4250</v>
      </c>
      <c r="Q10" s="37">
        <f t="shared" si="2"/>
        <v>4250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7000</v>
      </c>
      <c r="E11" s="37" t="s">
        <v>195</v>
      </c>
      <c r="F11" s="37">
        <f>D11</f>
        <v>7000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515000</v>
      </c>
      <c r="E12" s="113" t="s">
        <v>202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42000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164000</v>
      </c>
      <c r="E13" s="37" t="s">
        <v>525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80000</v>
      </c>
      <c r="E14" s="37" t="s">
        <v>525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42000</v>
      </c>
      <c r="E15" s="37" t="s">
        <v>193</v>
      </c>
      <c r="F15" s="37">
        <f>ROUND($D15/2,-3)</f>
        <v>21000</v>
      </c>
      <c r="G15" s="37"/>
      <c r="H15" s="37"/>
      <c r="I15" s="37"/>
      <c r="J15" s="37"/>
      <c r="K15" s="37"/>
      <c r="L15" s="37">
        <f>D15-F15</f>
        <v>21000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0</v>
      </c>
      <c r="E16" s="37" t="s">
        <v>525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46000</v>
      </c>
      <c r="E17" s="37" t="s">
        <v>525</v>
      </c>
      <c r="F17" s="37">
        <f>ROUND($D17/12,0)</f>
        <v>3833</v>
      </c>
      <c r="G17" s="37">
        <f t="shared" si="1"/>
        <v>3833</v>
      </c>
      <c r="H17" s="37">
        <f t="shared" si="1"/>
        <v>3833</v>
      </c>
      <c r="I17" s="37">
        <f t="shared" si="1"/>
        <v>3833</v>
      </c>
      <c r="J17" s="37">
        <f t="shared" si="1"/>
        <v>3833</v>
      </c>
      <c r="K17" s="37">
        <f t="shared" si="1"/>
        <v>3833</v>
      </c>
      <c r="L17" s="37">
        <f t="shared" si="1"/>
        <v>3833</v>
      </c>
      <c r="M17" s="37">
        <f t="shared" si="1"/>
        <v>3833</v>
      </c>
      <c r="N17" s="37">
        <f t="shared" si="1"/>
        <v>3833</v>
      </c>
      <c r="O17" s="37">
        <f t="shared" si="1"/>
        <v>3833</v>
      </c>
      <c r="P17" s="37">
        <f t="shared" si="1"/>
        <v>3833</v>
      </c>
      <c r="Q17" s="37">
        <f>D17-SUM(F17:P17)</f>
        <v>3837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50000</v>
      </c>
      <c r="E24" s="37" t="s">
        <v>193</v>
      </c>
      <c r="F24" s="37">
        <f>ROUND($D24/2,-3)</f>
        <v>25000</v>
      </c>
      <c r="G24" s="37"/>
      <c r="H24" s="37"/>
      <c r="I24" s="37"/>
      <c r="J24" s="37"/>
      <c r="K24" s="37"/>
      <c r="L24" s="37">
        <f>D24-F24</f>
        <v>25000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1454000</v>
      </c>
      <c r="E25" s="108"/>
      <c r="F25" s="108">
        <f>ROUND(SUM(F3:F24),-3)</f>
        <v>252000</v>
      </c>
      <c r="G25" s="108">
        <f t="shared" ref="G25:P25" si="5">ROUND(SUM(G3:G24),-3)</f>
        <v>113000</v>
      </c>
      <c r="H25" s="108">
        <f t="shared" si="5"/>
        <v>113000</v>
      </c>
      <c r="I25" s="108">
        <f t="shared" si="5"/>
        <v>113000</v>
      </c>
      <c r="J25" s="108">
        <f t="shared" si="5"/>
        <v>113000</v>
      </c>
      <c r="K25" s="108">
        <f t="shared" si="5"/>
        <v>113000</v>
      </c>
      <c r="L25" s="108">
        <f t="shared" si="5"/>
        <v>159000</v>
      </c>
      <c r="M25" s="108">
        <f t="shared" si="5"/>
        <v>113000</v>
      </c>
      <c r="N25" s="108">
        <f t="shared" si="5"/>
        <v>113000</v>
      </c>
      <c r="O25" s="108">
        <f t="shared" si="5"/>
        <v>112000</v>
      </c>
      <c r="P25" s="108">
        <f t="shared" si="5"/>
        <v>70000</v>
      </c>
      <c r="Q25" s="108">
        <f t="shared" ref="Q25:Q33" si="6">D25-SUM(F25:P25)</f>
        <v>70000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46000</v>
      </c>
      <c r="E26" s="114" t="s">
        <v>204</v>
      </c>
      <c r="F26" s="37">
        <f>ROUND($D26/10,-3)</f>
        <v>5000</v>
      </c>
      <c r="G26" s="37"/>
      <c r="H26" s="37">
        <f>ROUND($D26/10,-3)</f>
        <v>5000</v>
      </c>
      <c r="I26" s="37">
        <f>ROUND($D26/10,-3)</f>
        <v>5000</v>
      </c>
      <c r="J26" s="37">
        <f>ROUND($D26/10,-3)</f>
        <v>5000</v>
      </c>
      <c r="K26" s="37">
        <f>ROUND($D26/10,-3)</f>
        <v>5000</v>
      </c>
      <c r="L26" s="37"/>
      <c r="M26" s="37">
        <f>ROUND($D26/10,-3)</f>
        <v>5000</v>
      </c>
      <c r="N26" s="37">
        <f>ROUND($D26/10,-3)</f>
        <v>5000</v>
      </c>
      <c r="O26" s="37">
        <f>ROUND($D26/10,-3)</f>
        <v>5000</v>
      </c>
      <c r="P26" s="37">
        <f>ROUND($D26/10,-3)</f>
        <v>5000</v>
      </c>
      <c r="Q26" s="37">
        <f t="shared" si="6"/>
        <v>1000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266000</v>
      </c>
      <c r="E27" s="37" t="s">
        <v>525</v>
      </c>
      <c r="F27" s="37">
        <f t="shared" ref="F27:P33" si="8">ROUND($D27/12,0)</f>
        <v>22167</v>
      </c>
      <c r="G27" s="37">
        <f t="shared" si="8"/>
        <v>22167</v>
      </c>
      <c r="H27" s="37">
        <f t="shared" si="8"/>
        <v>22167</v>
      </c>
      <c r="I27" s="37">
        <f t="shared" si="8"/>
        <v>22167</v>
      </c>
      <c r="J27" s="37">
        <f t="shared" si="8"/>
        <v>22167</v>
      </c>
      <c r="K27" s="37">
        <f t="shared" si="8"/>
        <v>22167</v>
      </c>
      <c r="L27" s="37">
        <f t="shared" si="8"/>
        <v>22167</v>
      </c>
      <c r="M27" s="37">
        <f t="shared" si="8"/>
        <v>22167</v>
      </c>
      <c r="N27" s="37">
        <f t="shared" si="8"/>
        <v>22167</v>
      </c>
      <c r="O27" s="37">
        <f t="shared" si="8"/>
        <v>22167</v>
      </c>
      <c r="P27" s="37">
        <f t="shared" si="8"/>
        <v>22167</v>
      </c>
      <c r="Q27" s="37">
        <f t="shared" si="6"/>
        <v>22163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22000</v>
      </c>
      <c r="E29" s="37" t="s">
        <v>525</v>
      </c>
      <c r="F29" s="37">
        <f t="shared" si="8"/>
        <v>1833</v>
      </c>
      <c r="G29" s="37">
        <f t="shared" si="8"/>
        <v>1833</v>
      </c>
      <c r="H29" s="37">
        <f t="shared" si="8"/>
        <v>1833</v>
      </c>
      <c r="I29" s="37">
        <f t="shared" si="8"/>
        <v>1833</v>
      </c>
      <c r="J29" s="37">
        <f t="shared" si="8"/>
        <v>1833</v>
      </c>
      <c r="K29" s="37">
        <f t="shared" si="8"/>
        <v>1833</v>
      </c>
      <c r="L29" s="37">
        <f t="shared" si="8"/>
        <v>1833</v>
      </c>
      <c r="M29" s="37">
        <f t="shared" si="8"/>
        <v>1833</v>
      </c>
      <c r="N29" s="37">
        <f t="shared" si="8"/>
        <v>1833</v>
      </c>
      <c r="O29" s="37">
        <f t="shared" si="8"/>
        <v>1833</v>
      </c>
      <c r="P29" s="37">
        <f t="shared" si="8"/>
        <v>1833</v>
      </c>
      <c r="Q29" s="37">
        <f t="shared" si="6"/>
        <v>1837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19000</v>
      </c>
      <c r="E30" s="37" t="s">
        <v>525</v>
      </c>
      <c r="F30" s="37">
        <f t="shared" si="8"/>
        <v>1583</v>
      </c>
      <c r="G30" s="37">
        <f t="shared" si="8"/>
        <v>1583</v>
      </c>
      <c r="H30" s="37">
        <f t="shared" si="8"/>
        <v>1583</v>
      </c>
      <c r="I30" s="37">
        <f t="shared" si="8"/>
        <v>1583</v>
      </c>
      <c r="J30" s="37">
        <f t="shared" si="8"/>
        <v>1583</v>
      </c>
      <c r="K30" s="37">
        <f t="shared" si="8"/>
        <v>1583</v>
      </c>
      <c r="L30" s="37">
        <f t="shared" si="8"/>
        <v>1583</v>
      </c>
      <c r="M30" s="37">
        <f t="shared" si="8"/>
        <v>1583</v>
      </c>
      <c r="N30" s="37">
        <f t="shared" si="8"/>
        <v>1583</v>
      </c>
      <c r="O30" s="37">
        <f t="shared" si="8"/>
        <v>1583</v>
      </c>
      <c r="P30" s="37">
        <f t="shared" si="8"/>
        <v>1583</v>
      </c>
      <c r="Q30" s="37">
        <f t="shared" si="6"/>
        <v>1587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9000</v>
      </c>
      <c r="E31" s="37" t="s">
        <v>525</v>
      </c>
      <c r="F31" s="37">
        <f t="shared" si="8"/>
        <v>750</v>
      </c>
      <c r="G31" s="37">
        <f t="shared" si="8"/>
        <v>750</v>
      </c>
      <c r="H31" s="37">
        <f t="shared" si="8"/>
        <v>750</v>
      </c>
      <c r="I31" s="37">
        <f t="shared" si="8"/>
        <v>750</v>
      </c>
      <c r="J31" s="37">
        <f t="shared" si="8"/>
        <v>750</v>
      </c>
      <c r="K31" s="37">
        <f t="shared" si="8"/>
        <v>750</v>
      </c>
      <c r="L31" s="37">
        <f t="shared" si="8"/>
        <v>750</v>
      </c>
      <c r="M31" s="37">
        <f t="shared" si="8"/>
        <v>750</v>
      </c>
      <c r="N31" s="37">
        <f t="shared" si="8"/>
        <v>750</v>
      </c>
      <c r="O31" s="37">
        <f t="shared" si="8"/>
        <v>750</v>
      </c>
      <c r="P31" s="37">
        <f t="shared" si="8"/>
        <v>750</v>
      </c>
      <c r="Q31" s="37">
        <f t="shared" si="6"/>
        <v>750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24000</v>
      </c>
      <c r="E32" s="37" t="s">
        <v>525</v>
      </c>
      <c r="F32" s="37">
        <f t="shared" si="8"/>
        <v>2000</v>
      </c>
      <c r="G32" s="37">
        <f t="shared" si="8"/>
        <v>2000</v>
      </c>
      <c r="H32" s="37">
        <f t="shared" si="8"/>
        <v>2000</v>
      </c>
      <c r="I32" s="37">
        <f t="shared" si="8"/>
        <v>2000</v>
      </c>
      <c r="J32" s="37">
        <f t="shared" si="8"/>
        <v>2000</v>
      </c>
      <c r="K32" s="37">
        <f t="shared" si="8"/>
        <v>2000</v>
      </c>
      <c r="L32" s="37">
        <f t="shared" si="8"/>
        <v>2000</v>
      </c>
      <c r="M32" s="37">
        <f t="shared" si="8"/>
        <v>2000</v>
      </c>
      <c r="N32" s="37">
        <f t="shared" si="8"/>
        <v>2000</v>
      </c>
      <c r="O32" s="37">
        <f t="shared" si="8"/>
        <v>2000</v>
      </c>
      <c r="P32" s="37">
        <f t="shared" si="8"/>
        <v>2000</v>
      </c>
      <c r="Q32" s="37">
        <f t="shared" si="6"/>
        <v>2000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15000</v>
      </c>
      <c r="E33" s="37" t="s">
        <v>525</v>
      </c>
      <c r="F33" s="37">
        <f t="shared" si="8"/>
        <v>1250</v>
      </c>
      <c r="G33" s="37">
        <f t="shared" si="8"/>
        <v>1250</v>
      </c>
      <c r="H33" s="37">
        <f t="shared" si="8"/>
        <v>1250</v>
      </c>
      <c r="I33" s="37">
        <f t="shared" si="8"/>
        <v>1250</v>
      </c>
      <c r="J33" s="37">
        <f t="shared" si="8"/>
        <v>1250</v>
      </c>
      <c r="K33" s="37">
        <f t="shared" si="8"/>
        <v>1250</v>
      </c>
      <c r="L33" s="37">
        <f t="shared" si="8"/>
        <v>1250</v>
      </c>
      <c r="M33" s="37">
        <f t="shared" si="8"/>
        <v>1250</v>
      </c>
      <c r="N33" s="37">
        <f t="shared" si="8"/>
        <v>1250</v>
      </c>
      <c r="O33" s="37">
        <f t="shared" si="8"/>
        <v>1250</v>
      </c>
      <c r="P33" s="37">
        <f t="shared" si="8"/>
        <v>1250</v>
      </c>
      <c r="Q33" s="37">
        <f t="shared" si="6"/>
        <v>1250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40000</v>
      </c>
      <c r="E36" s="37" t="s">
        <v>193</v>
      </c>
      <c r="F36" s="37">
        <f>ROUND($D36/2,-3)</f>
        <v>20000</v>
      </c>
      <c r="G36" s="37"/>
      <c r="H36" s="37"/>
      <c r="I36" s="37"/>
      <c r="J36" s="37"/>
      <c r="K36" s="37"/>
      <c r="L36" s="37">
        <f>D36-F36</f>
        <v>20000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441000</v>
      </c>
      <c r="E37" s="108"/>
      <c r="F37" s="108">
        <f t="shared" ref="F37:P37" si="9">ROUND(SUM(F26:F36),-3)</f>
        <v>55000</v>
      </c>
      <c r="G37" s="108">
        <f t="shared" si="9"/>
        <v>30000</v>
      </c>
      <c r="H37" s="108">
        <f t="shared" si="9"/>
        <v>35000</v>
      </c>
      <c r="I37" s="108">
        <f t="shared" si="9"/>
        <v>35000</v>
      </c>
      <c r="J37" s="108">
        <f t="shared" si="9"/>
        <v>35000</v>
      </c>
      <c r="K37" s="108">
        <f t="shared" si="9"/>
        <v>35000</v>
      </c>
      <c r="L37" s="108">
        <f t="shared" si="9"/>
        <v>50000</v>
      </c>
      <c r="M37" s="108">
        <f t="shared" si="9"/>
        <v>35000</v>
      </c>
      <c r="N37" s="108">
        <f t="shared" si="9"/>
        <v>35000</v>
      </c>
      <c r="O37" s="108">
        <f t="shared" si="9"/>
        <v>35000</v>
      </c>
      <c r="P37" s="108">
        <f t="shared" si="9"/>
        <v>35000</v>
      </c>
      <c r="Q37" s="108">
        <f>D37-SUM(F37:P37)</f>
        <v>26000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11000</v>
      </c>
      <c r="E42" s="37" t="s">
        <v>199</v>
      </c>
      <c r="F42" s="37"/>
      <c r="G42" s="37"/>
      <c r="H42" s="37"/>
      <c r="I42" s="37">
        <f>D42</f>
        <v>11000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6000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6000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18000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11000</v>
      </c>
      <c r="J45" s="108">
        <f t="shared" si="12"/>
        <v>0</v>
      </c>
      <c r="K45" s="108">
        <f t="shared" si="12"/>
        <v>0</v>
      </c>
      <c r="L45" s="108">
        <f t="shared" si="12"/>
        <v>6000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24000</v>
      </c>
      <c r="E46" s="37" t="s">
        <v>194</v>
      </c>
      <c r="F46" s="37">
        <f>ROUND($D46/3,0)</f>
        <v>8000</v>
      </c>
      <c r="G46" s="37"/>
      <c r="H46" s="37"/>
      <c r="I46" s="37"/>
      <c r="J46" s="37"/>
      <c r="K46" s="37">
        <f>ROUND($D46/3,0)</f>
        <v>8000</v>
      </c>
      <c r="L46" s="37"/>
      <c r="M46" s="37"/>
      <c r="N46" s="37">
        <f>ROUND($D46/3,0)</f>
        <v>8000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24000</v>
      </c>
      <c r="E47" s="108"/>
      <c r="F47" s="108">
        <f t="shared" ref="F47:P47" si="13">ROUND(SUM(F46),-3)</f>
        <v>8000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8000</v>
      </c>
      <c r="L47" s="108">
        <f t="shared" si="13"/>
        <v>0</v>
      </c>
      <c r="M47" s="108">
        <f t="shared" si="13"/>
        <v>0</v>
      </c>
      <c r="N47" s="108">
        <f t="shared" si="13"/>
        <v>8000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1937000</v>
      </c>
      <c r="E48" s="37"/>
      <c r="F48" s="115">
        <f>F25+F37+F45+F47</f>
        <v>316000</v>
      </c>
      <c r="G48" s="115">
        <f t="shared" ref="G48:R48" si="14">G25+G37+G45+G47</f>
        <v>143000</v>
      </c>
      <c r="H48" s="115">
        <f t="shared" si="14"/>
        <v>148000</v>
      </c>
      <c r="I48" s="115">
        <f t="shared" si="14"/>
        <v>159000</v>
      </c>
      <c r="J48" s="115">
        <f t="shared" si="14"/>
        <v>148000</v>
      </c>
      <c r="K48" s="115">
        <f t="shared" si="14"/>
        <v>156000</v>
      </c>
      <c r="L48" s="115">
        <f t="shared" si="14"/>
        <v>215000</v>
      </c>
      <c r="M48" s="115">
        <f t="shared" si="14"/>
        <v>148000</v>
      </c>
      <c r="N48" s="115">
        <f t="shared" si="14"/>
        <v>156000</v>
      </c>
      <c r="O48" s="115">
        <f t="shared" si="14"/>
        <v>147000</v>
      </c>
      <c r="P48" s="115">
        <f t="shared" si="14"/>
        <v>105000</v>
      </c>
      <c r="Q48" s="115">
        <f t="shared" si="14"/>
        <v>96000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14922000</v>
      </c>
      <c r="E49" s="114" t="s">
        <v>202</v>
      </c>
      <c r="F49" s="37">
        <f>ROUND($D49/12*3,-3)</f>
        <v>3731000</v>
      </c>
      <c r="G49" s="37">
        <f>ROUND($D49/12,-3)</f>
        <v>1244000</v>
      </c>
      <c r="H49" s="37">
        <f t="shared" ref="H49:N53" si="15">ROUND($D49/12,-3)</f>
        <v>1244000</v>
      </c>
      <c r="I49" s="37">
        <f t="shared" si="15"/>
        <v>1244000</v>
      </c>
      <c r="J49" s="37">
        <f t="shared" si="15"/>
        <v>1244000</v>
      </c>
      <c r="K49" s="37">
        <f t="shared" si="15"/>
        <v>1244000</v>
      </c>
      <c r="L49" s="37">
        <f t="shared" si="15"/>
        <v>1244000</v>
      </c>
      <c r="M49" s="37">
        <f t="shared" si="15"/>
        <v>1244000</v>
      </c>
      <c r="N49" s="37">
        <f t="shared" si="15"/>
        <v>1244000</v>
      </c>
      <c r="O49" s="37">
        <f>D49-SUM(F49:N49)</f>
        <v>1239000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1412000</v>
      </c>
      <c r="E51" s="114" t="s">
        <v>202</v>
      </c>
      <c r="F51" s="37">
        <f t="shared" si="16"/>
        <v>353000</v>
      </c>
      <c r="G51" s="37">
        <f t="shared" si="17"/>
        <v>118000</v>
      </c>
      <c r="H51" s="37">
        <f t="shared" si="15"/>
        <v>118000</v>
      </c>
      <c r="I51" s="37">
        <f t="shared" si="15"/>
        <v>118000</v>
      </c>
      <c r="J51" s="37">
        <f t="shared" si="15"/>
        <v>118000</v>
      </c>
      <c r="K51" s="37">
        <f t="shared" si="15"/>
        <v>118000</v>
      </c>
      <c r="L51" s="37">
        <f t="shared" si="15"/>
        <v>118000</v>
      </c>
      <c r="M51" s="37">
        <f t="shared" si="15"/>
        <v>118000</v>
      </c>
      <c r="N51" s="37">
        <f t="shared" si="15"/>
        <v>118000</v>
      </c>
      <c r="O51" s="37">
        <f t="shared" si="18"/>
        <v>115000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44000</v>
      </c>
      <c r="E54" s="37" t="s">
        <v>525</v>
      </c>
      <c r="F54" s="37">
        <f t="shared" ref="F54:P61" si="19">ROUND($D54/12,0)</f>
        <v>3667</v>
      </c>
      <c r="G54" s="37">
        <f t="shared" si="19"/>
        <v>3667</v>
      </c>
      <c r="H54" s="37">
        <f t="shared" si="19"/>
        <v>3667</v>
      </c>
      <c r="I54" s="37">
        <f t="shared" si="19"/>
        <v>3667</v>
      </c>
      <c r="J54" s="37">
        <f t="shared" si="19"/>
        <v>3667</v>
      </c>
      <c r="K54" s="37">
        <f t="shared" si="19"/>
        <v>3667</v>
      </c>
      <c r="L54" s="37">
        <f t="shared" si="19"/>
        <v>3667</v>
      </c>
      <c r="M54" s="37">
        <f t="shared" si="19"/>
        <v>3667</v>
      </c>
      <c r="N54" s="37">
        <f t="shared" si="19"/>
        <v>3667</v>
      </c>
      <c r="O54" s="37">
        <f t="shared" si="19"/>
        <v>3667</v>
      </c>
      <c r="P54" s="37">
        <f t="shared" si="19"/>
        <v>3667</v>
      </c>
      <c r="Q54" s="37">
        <f t="shared" ref="Q54:Q61" si="20">D54-SUM(F54:P54)</f>
        <v>3663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426000</v>
      </c>
      <c r="E60" s="37" t="s">
        <v>195</v>
      </c>
      <c r="F60" s="37">
        <f>D60</f>
        <v>426000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1309000</v>
      </c>
      <c r="E62" s="37" t="s">
        <v>197</v>
      </c>
      <c r="F62" s="37"/>
      <c r="G62" s="37"/>
      <c r="H62" s="37"/>
      <c r="I62" s="37">
        <f>ROUND($D62/5,-3)</f>
        <v>262000</v>
      </c>
      <c r="J62" s="37"/>
      <c r="K62" s="37"/>
      <c r="L62" s="37"/>
      <c r="M62" s="37"/>
      <c r="N62" s="37">
        <f>D62-I62</f>
        <v>1047000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1819000</v>
      </c>
      <c r="E63" s="37" t="s">
        <v>195</v>
      </c>
      <c r="F63" s="37">
        <f>D63</f>
        <v>1819000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1443000</v>
      </c>
      <c r="E64" s="114" t="s">
        <v>202</v>
      </c>
      <c r="F64" s="37">
        <f>ROUND($D64/12*3,-3)</f>
        <v>361000</v>
      </c>
      <c r="G64" s="37">
        <f>ROUND($D64/12,-3)</f>
        <v>120000</v>
      </c>
      <c r="H64" s="37">
        <f t="shared" ref="H64:N66" si="21">ROUND($D64/12,-3)</f>
        <v>120000</v>
      </c>
      <c r="I64" s="37">
        <f t="shared" si="21"/>
        <v>120000</v>
      </c>
      <c r="J64" s="37">
        <f t="shared" si="21"/>
        <v>120000</v>
      </c>
      <c r="K64" s="37">
        <f t="shared" si="21"/>
        <v>120000</v>
      </c>
      <c r="L64" s="37">
        <f t="shared" si="21"/>
        <v>120000</v>
      </c>
      <c r="M64" s="37">
        <f t="shared" si="21"/>
        <v>120000</v>
      </c>
      <c r="N64" s="37">
        <f t="shared" si="21"/>
        <v>120000</v>
      </c>
      <c r="O64" s="37">
        <f>D64-SUM(F64:N64)</f>
        <v>122000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307000</v>
      </c>
      <c r="E65" s="114" t="s">
        <v>202</v>
      </c>
      <c r="F65" s="37">
        <f t="shared" ref="F65:F66" si="22">ROUND($D65/12*3,-3)</f>
        <v>77000</v>
      </c>
      <c r="G65" s="37">
        <f t="shared" ref="G65:G66" si="23">ROUND($D65/12,-3)</f>
        <v>26000</v>
      </c>
      <c r="H65" s="37">
        <f t="shared" si="21"/>
        <v>26000</v>
      </c>
      <c r="I65" s="37">
        <f t="shared" si="21"/>
        <v>26000</v>
      </c>
      <c r="J65" s="37">
        <f t="shared" si="21"/>
        <v>26000</v>
      </c>
      <c r="K65" s="37">
        <f t="shared" si="21"/>
        <v>26000</v>
      </c>
      <c r="L65" s="37">
        <f t="shared" si="21"/>
        <v>26000</v>
      </c>
      <c r="M65" s="37">
        <f t="shared" si="21"/>
        <v>26000</v>
      </c>
      <c r="N65" s="37">
        <f t="shared" si="21"/>
        <v>26000</v>
      </c>
      <c r="O65" s="37">
        <f t="shared" ref="O65:O66" si="24">D65-SUM(F65:N65)</f>
        <v>22000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1191000</v>
      </c>
      <c r="E66" s="114" t="s">
        <v>202</v>
      </c>
      <c r="F66" s="37">
        <f t="shared" si="22"/>
        <v>298000</v>
      </c>
      <c r="G66" s="37">
        <f t="shared" si="23"/>
        <v>99000</v>
      </c>
      <c r="H66" s="37">
        <f t="shared" si="21"/>
        <v>99000</v>
      </c>
      <c r="I66" s="37">
        <f t="shared" si="21"/>
        <v>99000</v>
      </c>
      <c r="J66" s="37">
        <f t="shared" si="21"/>
        <v>99000</v>
      </c>
      <c r="K66" s="37">
        <f t="shared" si="21"/>
        <v>99000</v>
      </c>
      <c r="L66" s="37">
        <f t="shared" si="21"/>
        <v>99000</v>
      </c>
      <c r="M66" s="37">
        <f t="shared" si="21"/>
        <v>99000</v>
      </c>
      <c r="N66" s="37">
        <f t="shared" si="21"/>
        <v>99000</v>
      </c>
      <c r="O66" s="37">
        <f t="shared" si="24"/>
        <v>101000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13000</v>
      </c>
      <c r="E67" s="37" t="s">
        <v>196</v>
      </c>
      <c r="F67" s="37"/>
      <c r="G67" s="37"/>
      <c r="H67" s="37">
        <f>D67</f>
        <v>13000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144000</v>
      </c>
      <c r="E68" s="37" t="s">
        <v>195</v>
      </c>
      <c r="F68" s="37">
        <f>D68</f>
        <v>144000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23319000</v>
      </c>
      <c r="E70" s="108"/>
      <c r="F70" s="108">
        <f t="shared" ref="F70:P70" si="25">ROUND(SUM(F49:F69),-3)</f>
        <v>7281000</v>
      </c>
      <c r="G70" s="108">
        <f t="shared" si="25"/>
        <v>1635000</v>
      </c>
      <c r="H70" s="108">
        <f t="shared" si="25"/>
        <v>1648000</v>
      </c>
      <c r="I70" s="108">
        <f t="shared" si="25"/>
        <v>1897000</v>
      </c>
      <c r="J70" s="108">
        <f t="shared" si="25"/>
        <v>1635000</v>
      </c>
      <c r="K70" s="108">
        <f t="shared" si="25"/>
        <v>1635000</v>
      </c>
      <c r="L70" s="108">
        <f t="shared" si="25"/>
        <v>1635000</v>
      </c>
      <c r="M70" s="108">
        <f t="shared" si="25"/>
        <v>1635000</v>
      </c>
      <c r="N70" s="108">
        <f t="shared" si="25"/>
        <v>2682000</v>
      </c>
      <c r="O70" s="108">
        <f t="shared" si="25"/>
        <v>1628000</v>
      </c>
      <c r="P70" s="108">
        <f t="shared" si="25"/>
        <v>6000</v>
      </c>
      <c r="Q70" s="108">
        <f>D70-SUM(F70:P70)</f>
        <v>2000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1622000</v>
      </c>
      <c r="E72" s="114" t="s">
        <v>202</v>
      </c>
      <c r="F72" s="37">
        <f>ROUND($D72/12*3,-3)</f>
        <v>406000</v>
      </c>
      <c r="G72" s="37">
        <f>ROUND($D72/12,-3)</f>
        <v>135000</v>
      </c>
      <c r="H72" s="37">
        <f t="shared" ref="H72:N75" si="26">ROUND($D72/12,-3)</f>
        <v>135000</v>
      </c>
      <c r="I72" s="37">
        <f t="shared" si="26"/>
        <v>135000</v>
      </c>
      <c r="J72" s="37">
        <f t="shared" si="26"/>
        <v>135000</v>
      </c>
      <c r="K72" s="37">
        <f t="shared" si="26"/>
        <v>135000</v>
      </c>
      <c r="L72" s="37">
        <f t="shared" si="26"/>
        <v>135000</v>
      </c>
      <c r="M72" s="37">
        <f t="shared" si="26"/>
        <v>135000</v>
      </c>
      <c r="N72" s="37">
        <f t="shared" si="26"/>
        <v>135000</v>
      </c>
      <c r="O72" s="37">
        <f>D72-SUM(F72:N72)</f>
        <v>136000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281000</v>
      </c>
      <c r="E75" s="114" t="s">
        <v>202</v>
      </c>
      <c r="F75" s="37">
        <f>ROUND($D75/12*3,-3)</f>
        <v>70000</v>
      </c>
      <c r="G75" s="37">
        <f>ROUND($D75/12,-3)</f>
        <v>23000</v>
      </c>
      <c r="H75" s="37">
        <f t="shared" si="26"/>
        <v>23000</v>
      </c>
      <c r="I75" s="37">
        <f t="shared" si="26"/>
        <v>23000</v>
      </c>
      <c r="J75" s="37">
        <f t="shared" si="26"/>
        <v>23000</v>
      </c>
      <c r="K75" s="37">
        <f t="shared" si="26"/>
        <v>23000</v>
      </c>
      <c r="L75" s="37">
        <f t="shared" si="26"/>
        <v>23000</v>
      </c>
      <c r="M75" s="37">
        <f t="shared" si="26"/>
        <v>23000</v>
      </c>
      <c r="N75" s="37">
        <f t="shared" si="26"/>
        <v>23000</v>
      </c>
      <c r="O75" s="37">
        <f>D75-SUM(F75:N75)</f>
        <v>27000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1903000</v>
      </c>
      <c r="E76" s="108"/>
      <c r="F76" s="108">
        <f>ROUND(SUM(F71:F75),-3)</f>
        <v>476000</v>
      </c>
      <c r="G76" s="108">
        <f t="shared" ref="G76:N76" si="27">ROUND(SUM(G71:G75),-3)</f>
        <v>158000</v>
      </c>
      <c r="H76" s="108">
        <f t="shared" si="27"/>
        <v>158000</v>
      </c>
      <c r="I76" s="108">
        <f t="shared" si="27"/>
        <v>158000</v>
      </c>
      <c r="J76" s="108">
        <f t="shared" si="27"/>
        <v>158000</v>
      </c>
      <c r="K76" s="108">
        <f t="shared" si="27"/>
        <v>158000</v>
      </c>
      <c r="L76" s="108">
        <f t="shared" si="27"/>
        <v>158000</v>
      </c>
      <c r="M76" s="108">
        <f t="shared" si="27"/>
        <v>158000</v>
      </c>
      <c r="N76" s="108">
        <f t="shared" si="27"/>
        <v>158000</v>
      </c>
      <c r="O76" s="108">
        <f>D76-SUM(F76:N76)</f>
        <v>163000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500000</v>
      </c>
      <c r="E77" s="37" t="s">
        <v>681</v>
      </c>
      <c r="F77" s="224"/>
      <c r="G77" s="224"/>
      <c r="H77" s="224">
        <f>ROUND($D77/2,-3)</f>
        <v>250000</v>
      </c>
      <c r="I77" s="224"/>
      <c r="J77" s="224"/>
      <c r="K77" s="224"/>
      <c r="L77" s="224"/>
      <c r="M77" s="224"/>
      <c r="N77" s="224">
        <f>D77-H77</f>
        <v>250000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25722000</v>
      </c>
      <c r="E78" s="227"/>
      <c r="F78" s="227">
        <f>F76+F70+F77</f>
        <v>7757000</v>
      </c>
      <c r="G78" s="227">
        <f t="shared" ref="G78:Q78" si="29">G76+G70+G77</f>
        <v>1793000</v>
      </c>
      <c r="H78" s="227">
        <f t="shared" si="29"/>
        <v>2056000</v>
      </c>
      <c r="I78" s="227">
        <f t="shared" si="29"/>
        <v>2055000</v>
      </c>
      <c r="J78" s="227">
        <f t="shared" si="29"/>
        <v>1793000</v>
      </c>
      <c r="K78" s="227">
        <f t="shared" si="29"/>
        <v>1793000</v>
      </c>
      <c r="L78" s="227">
        <f t="shared" si="29"/>
        <v>1793000</v>
      </c>
      <c r="M78" s="227">
        <f t="shared" si="29"/>
        <v>1793000</v>
      </c>
      <c r="N78" s="227">
        <f t="shared" si="29"/>
        <v>3090000</v>
      </c>
      <c r="O78" s="227">
        <f t="shared" si="29"/>
        <v>1791000</v>
      </c>
      <c r="P78" s="227">
        <f t="shared" si="29"/>
        <v>6000</v>
      </c>
      <c r="Q78" s="227">
        <f t="shared" si="29"/>
        <v>2000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27659000</v>
      </c>
      <c r="E87" s="37"/>
      <c r="F87" s="37">
        <f>F88+F89+F90+F91</f>
        <v>8073000</v>
      </c>
      <c r="G87" s="37">
        <f t="shared" ref="G87:Q87" si="32">G88+G89+G90+G91</f>
        <v>1936000</v>
      </c>
      <c r="H87" s="37">
        <f t="shared" si="32"/>
        <v>2204000</v>
      </c>
      <c r="I87" s="37">
        <f t="shared" si="32"/>
        <v>2214000</v>
      </c>
      <c r="J87" s="37">
        <f t="shared" si="32"/>
        <v>1941000</v>
      </c>
      <c r="K87" s="37">
        <f t="shared" si="32"/>
        <v>1949000</v>
      </c>
      <c r="L87" s="37">
        <f t="shared" si="32"/>
        <v>2008000</v>
      </c>
      <c r="M87" s="37">
        <f t="shared" si="32"/>
        <v>1941000</v>
      </c>
      <c r="N87" s="37">
        <f t="shared" si="32"/>
        <v>3246000</v>
      </c>
      <c r="O87" s="37">
        <f t="shared" si="32"/>
        <v>1938000</v>
      </c>
      <c r="P87" s="37">
        <f t="shared" si="32"/>
        <v>111000</v>
      </c>
      <c r="Q87" s="37">
        <f t="shared" si="32"/>
        <v>98000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90000</v>
      </c>
      <c r="E88" s="108" t="s">
        <v>193</v>
      </c>
      <c r="F88" s="108">
        <f>ROUND($D88/2,-3)</f>
        <v>45000</v>
      </c>
      <c r="G88" s="108"/>
      <c r="H88" s="108"/>
      <c r="I88" s="108"/>
      <c r="J88" s="108"/>
      <c r="K88" s="108"/>
      <c r="L88" s="108">
        <f>D88-F88</f>
        <v>45000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2000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1000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27567000</v>
      </c>
      <c r="E91" s="108"/>
      <c r="F91" s="108">
        <f>F92+F93+F94+F95</f>
        <v>8028000</v>
      </c>
      <c r="G91" s="108">
        <f t="shared" ref="G91:Q91" si="34">G92+G93+G94+G95</f>
        <v>1936000</v>
      </c>
      <c r="H91" s="108">
        <f t="shared" si="34"/>
        <v>2204000</v>
      </c>
      <c r="I91" s="108">
        <f t="shared" si="34"/>
        <v>2214000</v>
      </c>
      <c r="J91" s="108">
        <f t="shared" si="34"/>
        <v>1941000</v>
      </c>
      <c r="K91" s="108">
        <f t="shared" si="34"/>
        <v>1949000</v>
      </c>
      <c r="L91" s="108">
        <f t="shared" si="34"/>
        <v>1962000</v>
      </c>
      <c r="M91" s="108">
        <f t="shared" si="34"/>
        <v>1941000</v>
      </c>
      <c r="N91" s="108">
        <f t="shared" si="34"/>
        <v>3246000</v>
      </c>
      <c r="O91" s="108">
        <f t="shared" si="34"/>
        <v>1938000</v>
      </c>
      <c r="P91" s="108">
        <f t="shared" si="34"/>
        <v>111000</v>
      </c>
      <c r="Q91" s="108">
        <f t="shared" si="34"/>
        <v>97000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2915000</v>
      </c>
      <c r="E92" s="114" t="s">
        <v>537</v>
      </c>
      <c r="F92" s="37">
        <f>ROUND($D92/12*5,-3)</f>
        <v>1215000</v>
      </c>
      <c r="G92" s="37">
        <f>ROUND($D92/12,-3)</f>
        <v>243000</v>
      </c>
      <c r="H92" s="37">
        <f t="shared" ref="H92:L92" si="35">ROUND($D92/12,-3)</f>
        <v>243000</v>
      </c>
      <c r="I92" s="37">
        <f t="shared" si="35"/>
        <v>243000</v>
      </c>
      <c r="J92" s="37">
        <f t="shared" si="35"/>
        <v>243000</v>
      </c>
      <c r="K92" s="37">
        <f t="shared" si="35"/>
        <v>243000</v>
      </c>
      <c r="L92" s="37">
        <f t="shared" si="35"/>
        <v>243000</v>
      </c>
      <c r="M92" s="37">
        <f>D92-SUM(F92:L92)</f>
        <v>242000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164000</v>
      </c>
      <c r="E93" s="189" t="s">
        <v>227</v>
      </c>
      <c r="F93" s="37">
        <f>ROUND($D93/12,-3)</f>
        <v>14000</v>
      </c>
      <c r="G93" s="37">
        <f t="shared" ref="G93:P93" si="36">ROUND($D93/12,-3)</f>
        <v>14000</v>
      </c>
      <c r="H93" s="37">
        <f t="shared" si="36"/>
        <v>14000</v>
      </c>
      <c r="I93" s="37">
        <f t="shared" si="36"/>
        <v>14000</v>
      </c>
      <c r="J93" s="37">
        <f t="shared" si="36"/>
        <v>14000</v>
      </c>
      <c r="K93" s="37">
        <f t="shared" si="36"/>
        <v>14000</v>
      </c>
      <c r="L93" s="37">
        <f t="shared" si="36"/>
        <v>14000</v>
      </c>
      <c r="M93" s="37">
        <f t="shared" si="36"/>
        <v>14000</v>
      </c>
      <c r="N93" s="37">
        <f t="shared" si="36"/>
        <v>14000</v>
      </c>
      <c r="O93" s="37">
        <f t="shared" si="36"/>
        <v>14000</v>
      </c>
      <c r="P93" s="37">
        <f t="shared" si="36"/>
        <v>14000</v>
      </c>
      <c r="Q93" s="37">
        <f>D93-SUM(F93:P93)</f>
        <v>10000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350000</v>
      </c>
      <c r="E94" s="190" t="s">
        <v>229</v>
      </c>
      <c r="F94" s="37"/>
      <c r="G94" s="37"/>
      <c r="H94" s="37">
        <f>ROUND($D94/2,-3)</f>
        <v>175000</v>
      </c>
      <c r="I94" s="37"/>
      <c r="J94" s="37"/>
      <c r="K94" s="37"/>
      <c r="L94" s="37"/>
      <c r="M94" s="37"/>
      <c r="N94" s="37"/>
      <c r="O94" s="37">
        <f>D94-H94</f>
        <v>175000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24138000</v>
      </c>
      <c r="E95" s="37"/>
      <c r="F95" s="37">
        <f>F2+F86-F88-F89-F90-F92-F93-F94</f>
        <v>6799000</v>
      </c>
      <c r="G95" s="37">
        <f t="shared" ref="G95:Q95" si="37">G2-G88-G89-G90-G92-G93-G94</f>
        <v>1679000</v>
      </c>
      <c r="H95" s="37">
        <f t="shared" si="37"/>
        <v>1772000</v>
      </c>
      <c r="I95" s="37">
        <f t="shared" si="37"/>
        <v>1957000</v>
      </c>
      <c r="J95" s="37">
        <f t="shared" si="37"/>
        <v>1684000</v>
      </c>
      <c r="K95" s="37">
        <f t="shared" si="37"/>
        <v>1692000</v>
      </c>
      <c r="L95" s="37">
        <f t="shared" si="37"/>
        <v>1705000</v>
      </c>
      <c r="M95" s="37">
        <f t="shared" si="37"/>
        <v>1685000</v>
      </c>
      <c r="N95" s="37">
        <f t="shared" si="37"/>
        <v>3232000</v>
      </c>
      <c r="O95" s="37">
        <f t="shared" si="37"/>
        <v>1749000</v>
      </c>
      <c r="P95" s="37">
        <f t="shared" si="37"/>
        <v>97000</v>
      </c>
      <c r="Q95" s="37">
        <f t="shared" si="37"/>
        <v>87000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600000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156000</v>
      </c>
    </row>
    <row r="103" spans="2:17" ht="32.4">
      <c r="B103" s="72" t="s">
        <v>239</v>
      </c>
      <c r="D103" s="30">
        <f>HLOOKUP(D1,[1]縣庫撥款收入明細表!H:DD,17,FALSE)</f>
        <v>0</v>
      </c>
    </row>
    <row r="104" spans="2:17" ht="32.4">
      <c r="B104" s="76" t="s">
        <v>240</v>
      </c>
      <c r="D104" s="30">
        <f>HLOOKUP(D1,[1]縣庫撥款收入明細表!H:DD,18,FALSE)</f>
        <v>350000</v>
      </c>
    </row>
    <row r="105" spans="2:17" ht="32.4">
      <c r="B105" s="72" t="s">
        <v>380</v>
      </c>
      <c r="D105" s="30">
        <f>HLOOKUP(D1,[1]縣庫撥款收入明細表!H:DD,19,FALSE)</f>
        <v>1300000</v>
      </c>
    </row>
    <row r="106" spans="2:17" ht="32.4">
      <c r="B106" s="71" t="s">
        <v>241</v>
      </c>
      <c r="D106" s="30">
        <f>HLOOKUP(D1,[1]縣庫撥款收入明細表!H:DD,20,FALSE)</f>
        <v>8000</v>
      </c>
    </row>
    <row r="107" spans="2:17" ht="32.4">
      <c r="B107" s="77" t="s">
        <v>242</v>
      </c>
      <c r="D107" s="30">
        <f>HLOOKUP(D1,[1]縣庫撥款收入明細表!H:DD,21,FALSE)</f>
        <v>24138000</v>
      </c>
    </row>
    <row r="108" spans="2:17" ht="16.5" customHeight="1"/>
    <row r="109" spans="2:17" ht="16.5" customHeight="1">
      <c r="B109" s="4" t="s">
        <v>682</v>
      </c>
      <c r="D109" s="30">
        <f>D91-D76</f>
        <v>25664000</v>
      </c>
      <c r="F109" s="30">
        <f>F91-F76</f>
        <v>7552000</v>
      </c>
      <c r="G109" s="30">
        <f t="shared" ref="G109:Q109" si="38">G91-G76</f>
        <v>1778000</v>
      </c>
      <c r="H109" s="30">
        <f t="shared" si="38"/>
        <v>2046000</v>
      </c>
      <c r="I109" s="30">
        <f t="shared" si="38"/>
        <v>2056000</v>
      </c>
      <c r="J109" s="30">
        <f t="shared" si="38"/>
        <v>1783000</v>
      </c>
      <c r="K109" s="30">
        <f t="shared" si="38"/>
        <v>1791000</v>
      </c>
      <c r="L109" s="30">
        <f t="shared" si="38"/>
        <v>1804000</v>
      </c>
      <c r="M109" s="30">
        <f t="shared" si="38"/>
        <v>1783000</v>
      </c>
      <c r="N109" s="30">
        <f t="shared" si="38"/>
        <v>3088000</v>
      </c>
      <c r="O109" s="30">
        <f t="shared" si="38"/>
        <v>1775000</v>
      </c>
      <c r="P109" s="30">
        <f t="shared" si="38"/>
        <v>111000</v>
      </c>
      <c r="Q109" s="30">
        <f t="shared" si="38"/>
        <v>97000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74" priority="1" operator="lessThan">
      <formula>0</formula>
    </cfRule>
  </conditionalFormatting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671</v>
      </c>
      <c r="D1" s="28" t="str">
        <f>VLOOKUP(C1,[1]學校編號!A:B,2,FALSE)</f>
        <v>671萬寧國小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16555000</v>
      </c>
      <c r="E2" s="37"/>
      <c r="F2" s="37">
        <f>F48+F70+F76+F77+F83</f>
        <v>5037000</v>
      </c>
      <c r="G2" s="37">
        <f t="shared" ref="G2:Q2" si="0">G48+G70+G76+G77+G83</f>
        <v>1158000</v>
      </c>
      <c r="H2" s="37">
        <f t="shared" si="0"/>
        <v>1175000</v>
      </c>
      <c r="I2" s="37">
        <f t="shared" si="0"/>
        <v>1346000</v>
      </c>
      <c r="J2" s="37">
        <f t="shared" si="0"/>
        <v>1158000</v>
      </c>
      <c r="K2" s="37">
        <f t="shared" si="0"/>
        <v>1158000</v>
      </c>
      <c r="L2" s="37">
        <f t="shared" si="0"/>
        <v>1172000</v>
      </c>
      <c r="M2" s="37">
        <f t="shared" si="0"/>
        <v>1158000</v>
      </c>
      <c r="N2" s="37">
        <f t="shared" si="0"/>
        <v>1912000</v>
      </c>
      <c r="O2" s="37">
        <f t="shared" si="0"/>
        <v>1155000</v>
      </c>
      <c r="P2" s="37">
        <f t="shared" si="0"/>
        <v>63000</v>
      </c>
      <c r="Q2" s="37">
        <f t="shared" si="0"/>
        <v>63000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120000</v>
      </c>
      <c r="E3" s="37" t="s">
        <v>525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51000</v>
      </c>
      <c r="E4" s="37" t="s">
        <v>525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63000</v>
      </c>
      <c r="E7" s="37" t="s">
        <v>525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164000</v>
      </c>
      <c r="E13" s="37" t="s">
        <v>525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28000</v>
      </c>
      <c r="E15" s="37" t="s">
        <v>193</v>
      </c>
      <c r="F15" s="37">
        <f>ROUND($D15/2,-3)</f>
        <v>14000</v>
      </c>
      <c r="G15" s="37"/>
      <c r="H15" s="37"/>
      <c r="I15" s="37"/>
      <c r="J15" s="37"/>
      <c r="K15" s="37"/>
      <c r="L15" s="37">
        <f>D15-F15</f>
        <v>14000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0</v>
      </c>
      <c r="E16" s="37" t="s">
        <v>525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42000</v>
      </c>
      <c r="E17" s="37" t="s">
        <v>525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468000</v>
      </c>
      <c r="E25" s="108"/>
      <c r="F25" s="108">
        <f>ROUND(SUM(F3:F24),-3)</f>
        <v>51000</v>
      </c>
      <c r="G25" s="108">
        <f t="shared" ref="G25:P25" si="5">ROUND(SUM(G3:G24),-3)</f>
        <v>37000</v>
      </c>
      <c r="H25" s="108">
        <f t="shared" si="5"/>
        <v>37000</v>
      </c>
      <c r="I25" s="108">
        <f t="shared" si="5"/>
        <v>37000</v>
      </c>
      <c r="J25" s="108">
        <f t="shared" si="5"/>
        <v>37000</v>
      </c>
      <c r="K25" s="108">
        <f t="shared" si="5"/>
        <v>37000</v>
      </c>
      <c r="L25" s="108">
        <f t="shared" si="5"/>
        <v>51000</v>
      </c>
      <c r="M25" s="108">
        <f t="shared" si="5"/>
        <v>37000</v>
      </c>
      <c r="N25" s="108">
        <f t="shared" si="5"/>
        <v>37000</v>
      </c>
      <c r="O25" s="108">
        <f t="shared" si="5"/>
        <v>37000</v>
      </c>
      <c r="P25" s="108">
        <f t="shared" si="5"/>
        <v>37000</v>
      </c>
      <c r="Q25" s="108">
        <f t="shared" ref="Q25:Q33" si="6">D25-SUM(F25:P25)</f>
        <v>33000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241000</v>
      </c>
      <c r="E27" s="37" t="s">
        <v>525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18000</v>
      </c>
      <c r="E29" s="37" t="s">
        <v>525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5000</v>
      </c>
      <c r="E30" s="37" t="s">
        <v>525</v>
      </c>
      <c r="F30" s="37">
        <f t="shared" si="8"/>
        <v>417</v>
      </c>
      <c r="G30" s="37">
        <f t="shared" si="8"/>
        <v>417</v>
      </c>
      <c r="H30" s="37">
        <f t="shared" si="8"/>
        <v>417</v>
      </c>
      <c r="I30" s="37">
        <f t="shared" si="8"/>
        <v>417</v>
      </c>
      <c r="J30" s="37">
        <f t="shared" si="8"/>
        <v>417</v>
      </c>
      <c r="K30" s="37">
        <f t="shared" si="8"/>
        <v>417</v>
      </c>
      <c r="L30" s="37">
        <f t="shared" si="8"/>
        <v>417</v>
      </c>
      <c r="M30" s="37">
        <f t="shared" si="8"/>
        <v>417</v>
      </c>
      <c r="N30" s="37">
        <f t="shared" si="8"/>
        <v>417</v>
      </c>
      <c r="O30" s="37">
        <f t="shared" si="8"/>
        <v>417</v>
      </c>
      <c r="P30" s="37">
        <f t="shared" si="8"/>
        <v>417</v>
      </c>
      <c r="Q30" s="37">
        <f t="shared" si="6"/>
        <v>413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2000</v>
      </c>
      <c r="E31" s="37" t="s">
        <v>525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266000</v>
      </c>
      <c r="E37" s="108"/>
      <c r="F37" s="108">
        <f t="shared" ref="F37:P37" si="9">ROUND(SUM(F26:F36),-3)</f>
        <v>22000</v>
      </c>
      <c r="G37" s="108">
        <f t="shared" si="9"/>
        <v>22000</v>
      </c>
      <c r="H37" s="108">
        <f t="shared" si="9"/>
        <v>22000</v>
      </c>
      <c r="I37" s="108">
        <f t="shared" si="9"/>
        <v>22000</v>
      </c>
      <c r="J37" s="108">
        <f t="shared" si="9"/>
        <v>22000</v>
      </c>
      <c r="K37" s="108">
        <f t="shared" si="9"/>
        <v>22000</v>
      </c>
      <c r="L37" s="108">
        <f t="shared" si="9"/>
        <v>22000</v>
      </c>
      <c r="M37" s="108">
        <f t="shared" si="9"/>
        <v>22000</v>
      </c>
      <c r="N37" s="108">
        <f t="shared" si="9"/>
        <v>22000</v>
      </c>
      <c r="O37" s="108">
        <f t="shared" si="9"/>
        <v>22000</v>
      </c>
      <c r="P37" s="108">
        <f t="shared" si="9"/>
        <v>22000</v>
      </c>
      <c r="Q37" s="108">
        <f>D37-SUM(F37:P37)</f>
        <v>24000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734000</v>
      </c>
      <c r="E48" s="37"/>
      <c r="F48" s="115">
        <f>F25+F37+F45+F47</f>
        <v>73000</v>
      </c>
      <c r="G48" s="115">
        <f t="shared" ref="G48:R48" si="14">G25+G37+G45+G47</f>
        <v>59000</v>
      </c>
      <c r="H48" s="115">
        <f t="shared" si="14"/>
        <v>59000</v>
      </c>
      <c r="I48" s="115">
        <f t="shared" si="14"/>
        <v>59000</v>
      </c>
      <c r="J48" s="115">
        <f t="shared" si="14"/>
        <v>59000</v>
      </c>
      <c r="K48" s="115">
        <f t="shared" si="14"/>
        <v>59000</v>
      </c>
      <c r="L48" s="115">
        <f t="shared" si="14"/>
        <v>73000</v>
      </c>
      <c r="M48" s="115">
        <f t="shared" si="14"/>
        <v>59000</v>
      </c>
      <c r="N48" s="115">
        <f t="shared" si="14"/>
        <v>59000</v>
      </c>
      <c r="O48" s="115">
        <f t="shared" si="14"/>
        <v>59000</v>
      </c>
      <c r="P48" s="115">
        <f t="shared" si="14"/>
        <v>59000</v>
      </c>
      <c r="Q48" s="115">
        <f t="shared" si="14"/>
        <v>57000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9839000</v>
      </c>
      <c r="E49" s="114" t="s">
        <v>202</v>
      </c>
      <c r="F49" s="37">
        <f>ROUND($D49/12*3,-3)</f>
        <v>2460000</v>
      </c>
      <c r="G49" s="37">
        <f>ROUND($D49/12,-3)</f>
        <v>820000</v>
      </c>
      <c r="H49" s="37">
        <f t="shared" ref="H49:N53" si="15">ROUND($D49/12,-3)</f>
        <v>820000</v>
      </c>
      <c r="I49" s="37">
        <f t="shared" si="15"/>
        <v>820000</v>
      </c>
      <c r="J49" s="37">
        <f t="shared" si="15"/>
        <v>820000</v>
      </c>
      <c r="K49" s="37">
        <f t="shared" si="15"/>
        <v>820000</v>
      </c>
      <c r="L49" s="37">
        <f t="shared" si="15"/>
        <v>820000</v>
      </c>
      <c r="M49" s="37">
        <f t="shared" si="15"/>
        <v>820000</v>
      </c>
      <c r="N49" s="37">
        <f t="shared" si="15"/>
        <v>820000</v>
      </c>
      <c r="O49" s="37">
        <f>D49-SUM(F49:N49)</f>
        <v>819000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406000</v>
      </c>
      <c r="E50" s="114" t="s">
        <v>202</v>
      </c>
      <c r="F50" s="37">
        <f t="shared" ref="F50:F53" si="16">ROUND($D50/12*3,-3)</f>
        <v>102000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si="15"/>
        <v>34000</v>
      </c>
      <c r="N50" s="37">
        <f t="shared" si="15"/>
        <v>34000</v>
      </c>
      <c r="O50" s="37">
        <f t="shared" ref="O50:O53" si="18">D50-SUM(F50:N50)</f>
        <v>32000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0</v>
      </c>
      <c r="E51" s="114" t="s">
        <v>202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5"/>
        <v>0</v>
      </c>
      <c r="N51" s="37">
        <f t="shared" si="15"/>
        <v>0</v>
      </c>
      <c r="O51" s="37">
        <f t="shared" si="18"/>
        <v>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0</v>
      </c>
      <c r="E52" s="114" t="s">
        <v>202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5"/>
        <v>0</v>
      </c>
      <c r="N52" s="37">
        <f t="shared" si="15"/>
        <v>0</v>
      </c>
      <c r="O52" s="37">
        <f t="shared" si="18"/>
        <v>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26000</v>
      </c>
      <c r="E54" s="37" t="s">
        <v>525</v>
      </c>
      <c r="F54" s="37">
        <f t="shared" ref="F54:P61" si="19">ROUND($D54/12,0)</f>
        <v>2167</v>
      </c>
      <c r="G54" s="37">
        <f t="shared" si="19"/>
        <v>2167</v>
      </c>
      <c r="H54" s="37">
        <f t="shared" si="19"/>
        <v>2167</v>
      </c>
      <c r="I54" s="37">
        <f t="shared" si="19"/>
        <v>2167</v>
      </c>
      <c r="J54" s="37">
        <f t="shared" si="19"/>
        <v>2167</v>
      </c>
      <c r="K54" s="37">
        <f t="shared" si="19"/>
        <v>2167</v>
      </c>
      <c r="L54" s="37">
        <f t="shared" si="19"/>
        <v>2167</v>
      </c>
      <c r="M54" s="37">
        <f t="shared" si="19"/>
        <v>2167</v>
      </c>
      <c r="N54" s="37">
        <f t="shared" si="19"/>
        <v>2167</v>
      </c>
      <c r="O54" s="37">
        <f t="shared" si="19"/>
        <v>2167</v>
      </c>
      <c r="P54" s="37">
        <f t="shared" si="19"/>
        <v>2167</v>
      </c>
      <c r="Q54" s="37">
        <f t="shared" ref="Q54:Q61" si="20">D54-SUM(F54:P54)</f>
        <v>2163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291000</v>
      </c>
      <c r="E60" s="37" t="s">
        <v>195</v>
      </c>
      <c r="F60" s="37">
        <f>D60</f>
        <v>291000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938000</v>
      </c>
      <c r="E62" s="37" t="s">
        <v>197</v>
      </c>
      <c r="F62" s="37"/>
      <c r="G62" s="37"/>
      <c r="H62" s="37"/>
      <c r="I62" s="37">
        <f>ROUND($D62/5,-3)</f>
        <v>188000</v>
      </c>
      <c r="J62" s="37"/>
      <c r="K62" s="37"/>
      <c r="L62" s="37"/>
      <c r="M62" s="37"/>
      <c r="N62" s="37">
        <f>D62-I62</f>
        <v>750000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1265000</v>
      </c>
      <c r="E63" s="37" t="s">
        <v>195</v>
      </c>
      <c r="F63" s="37">
        <f>D63</f>
        <v>1265000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968000</v>
      </c>
      <c r="E64" s="114" t="s">
        <v>202</v>
      </c>
      <c r="F64" s="37">
        <f>ROUND($D64/12*3,-3)</f>
        <v>242000</v>
      </c>
      <c r="G64" s="37">
        <f>ROUND($D64/12,-3)</f>
        <v>81000</v>
      </c>
      <c r="H64" s="37">
        <f t="shared" ref="H64:N66" si="21">ROUND($D64/12,-3)</f>
        <v>81000</v>
      </c>
      <c r="I64" s="37">
        <f t="shared" si="21"/>
        <v>81000</v>
      </c>
      <c r="J64" s="37">
        <f t="shared" si="21"/>
        <v>81000</v>
      </c>
      <c r="K64" s="37">
        <f t="shared" si="21"/>
        <v>81000</v>
      </c>
      <c r="L64" s="37">
        <f t="shared" si="21"/>
        <v>81000</v>
      </c>
      <c r="M64" s="37">
        <f t="shared" si="21"/>
        <v>81000</v>
      </c>
      <c r="N64" s="37">
        <f t="shared" si="21"/>
        <v>81000</v>
      </c>
      <c r="O64" s="37">
        <f>D64-SUM(F64:N64)</f>
        <v>78000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206000</v>
      </c>
      <c r="E65" s="114" t="s">
        <v>202</v>
      </c>
      <c r="F65" s="37">
        <f t="shared" ref="F65:F66" si="22">ROUND($D65/12*3,-3)</f>
        <v>52000</v>
      </c>
      <c r="G65" s="37">
        <f t="shared" ref="G65:G66" si="23">ROUND($D65/12,-3)</f>
        <v>17000</v>
      </c>
      <c r="H65" s="37">
        <f t="shared" si="21"/>
        <v>17000</v>
      </c>
      <c r="I65" s="37">
        <f t="shared" si="21"/>
        <v>17000</v>
      </c>
      <c r="J65" s="37">
        <f t="shared" si="21"/>
        <v>17000</v>
      </c>
      <c r="K65" s="37">
        <f t="shared" si="21"/>
        <v>17000</v>
      </c>
      <c r="L65" s="37">
        <f t="shared" si="21"/>
        <v>17000</v>
      </c>
      <c r="M65" s="37">
        <f t="shared" si="21"/>
        <v>17000</v>
      </c>
      <c r="N65" s="37">
        <f t="shared" si="21"/>
        <v>17000</v>
      </c>
      <c r="O65" s="37">
        <f t="shared" ref="O65:O66" si="24">D65-SUM(F65:N65)</f>
        <v>18000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857000</v>
      </c>
      <c r="E66" s="114" t="s">
        <v>202</v>
      </c>
      <c r="F66" s="37">
        <f t="shared" si="22"/>
        <v>214000</v>
      </c>
      <c r="G66" s="37">
        <f t="shared" si="23"/>
        <v>71000</v>
      </c>
      <c r="H66" s="37">
        <f t="shared" si="21"/>
        <v>71000</v>
      </c>
      <c r="I66" s="37">
        <f t="shared" si="21"/>
        <v>71000</v>
      </c>
      <c r="J66" s="37">
        <f t="shared" si="21"/>
        <v>71000</v>
      </c>
      <c r="K66" s="37">
        <f t="shared" si="21"/>
        <v>71000</v>
      </c>
      <c r="L66" s="37">
        <f t="shared" si="21"/>
        <v>71000</v>
      </c>
      <c r="M66" s="37">
        <f t="shared" si="21"/>
        <v>71000</v>
      </c>
      <c r="N66" s="37">
        <f t="shared" si="21"/>
        <v>71000</v>
      </c>
      <c r="O66" s="37">
        <f t="shared" si="24"/>
        <v>75000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13000</v>
      </c>
      <c r="E67" s="37" t="s">
        <v>196</v>
      </c>
      <c r="F67" s="37"/>
      <c r="G67" s="37"/>
      <c r="H67" s="37">
        <f>D67</f>
        <v>13000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118000</v>
      </c>
      <c r="E68" s="37" t="s">
        <v>195</v>
      </c>
      <c r="F68" s="37">
        <f>D68</f>
        <v>118000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14951000</v>
      </c>
      <c r="E70" s="108"/>
      <c r="F70" s="108">
        <f t="shared" ref="F70:P70" si="25">ROUND(SUM(F49:F69),-3)</f>
        <v>4748000</v>
      </c>
      <c r="G70" s="108">
        <f t="shared" si="25"/>
        <v>1027000</v>
      </c>
      <c r="H70" s="108">
        <f t="shared" si="25"/>
        <v>1040000</v>
      </c>
      <c r="I70" s="108">
        <f t="shared" si="25"/>
        <v>1215000</v>
      </c>
      <c r="J70" s="108">
        <f t="shared" si="25"/>
        <v>1027000</v>
      </c>
      <c r="K70" s="108">
        <f t="shared" si="25"/>
        <v>1027000</v>
      </c>
      <c r="L70" s="108">
        <f t="shared" si="25"/>
        <v>1027000</v>
      </c>
      <c r="M70" s="108">
        <f t="shared" si="25"/>
        <v>1027000</v>
      </c>
      <c r="N70" s="108">
        <f t="shared" si="25"/>
        <v>1777000</v>
      </c>
      <c r="O70" s="108">
        <f t="shared" si="25"/>
        <v>1026000</v>
      </c>
      <c r="P70" s="108">
        <f t="shared" si="25"/>
        <v>4000</v>
      </c>
      <c r="Q70" s="108">
        <f>D70-SUM(F70:P70)</f>
        <v>6000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862000</v>
      </c>
      <c r="E72" s="114" t="s">
        <v>202</v>
      </c>
      <c r="F72" s="37">
        <f>ROUND($D72/12*3,-3)</f>
        <v>216000</v>
      </c>
      <c r="G72" s="37">
        <f>ROUND($D72/12,-3)</f>
        <v>72000</v>
      </c>
      <c r="H72" s="37">
        <f t="shared" ref="H72:N75" si="26">ROUND($D72/12,-3)</f>
        <v>72000</v>
      </c>
      <c r="I72" s="37">
        <f t="shared" si="26"/>
        <v>72000</v>
      </c>
      <c r="J72" s="37">
        <f t="shared" si="26"/>
        <v>72000</v>
      </c>
      <c r="K72" s="37">
        <f t="shared" si="26"/>
        <v>72000</v>
      </c>
      <c r="L72" s="37">
        <f t="shared" si="26"/>
        <v>72000</v>
      </c>
      <c r="M72" s="37">
        <f t="shared" si="26"/>
        <v>72000</v>
      </c>
      <c r="N72" s="37">
        <f t="shared" si="26"/>
        <v>72000</v>
      </c>
      <c r="O72" s="37">
        <f>D72-SUM(F72:N72)</f>
        <v>70000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862000</v>
      </c>
      <c r="E76" s="108"/>
      <c r="F76" s="108">
        <f>ROUND(SUM(F71:F75),-3)</f>
        <v>216000</v>
      </c>
      <c r="G76" s="108">
        <f t="shared" ref="G76:N76" si="27">ROUND(SUM(G71:G75),-3)</f>
        <v>72000</v>
      </c>
      <c r="H76" s="108">
        <f t="shared" si="27"/>
        <v>72000</v>
      </c>
      <c r="I76" s="108">
        <f t="shared" si="27"/>
        <v>72000</v>
      </c>
      <c r="J76" s="108">
        <f t="shared" si="27"/>
        <v>72000</v>
      </c>
      <c r="K76" s="108">
        <f t="shared" si="27"/>
        <v>72000</v>
      </c>
      <c r="L76" s="108">
        <f t="shared" si="27"/>
        <v>72000</v>
      </c>
      <c r="M76" s="108">
        <f t="shared" si="27"/>
        <v>72000</v>
      </c>
      <c r="N76" s="108">
        <f t="shared" si="27"/>
        <v>72000</v>
      </c>
      <c r="O76" s="108">
        <f>D76-SUM(F76:N76)</f>
        <v>70000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8000</v>
      </c>
      <c r="E77" s="37" t="s">
        <v>681</v>
      </c>
      <c r="F77" s="224"/>
      <c r="G77" s="224"/>
      <c r="H77" s="224">
        <f>ROUND($D77/2,-3)</f>
        <v>4000</v>
      </c>
      <c r="I77" s="224"/>
      <c r="J77" s="224"/>
      <c r="K77" s="224"/>
      <c r="L77" s="224"/>
      <c r="M77" s="224"/>
      <c r="N77" s="224">
        <f>D77-H77</f>
        <v>4000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15821000</v>
      </c>
      <c r="E78" s="227"/>
      <c r="F78" s="227">
        <f>F76+F70+F77</f>
        <v>4964000</v>
      </c>
      <c r="G78" s="227">
        <f t="shared" ref="G78:Q78" si="29">G76+G70+G77</f>
        <v>1099000</v>
      </c>
      <c r="H78" s="227">
        <f t="shared" si="29"/>
        <v>1116000</v>
      </c>
      <c r="I78" s="227">
        <f t="shared" si="29"/>
        <v>1287000</v>
      </c>
      <c r="J78" s="227">
        <f t="shared" si="29"/>
        <v>1099000</v>
      </c>
      <c r="K78" s="227">
        <f t="shared" si="29"/>
        <v>1099000</v>
      </c>
      <c r="L78" s="227">
        <f t="shared" si="29"/>
        <v>1099000</v>
      </c>
      <c r="M78" s="227">
        <f t="shared" si="29"/>
        <v>1099000</v>
      </c>
      <c r="N78" s="227">
        <f t="shared" si="29"/>
        <v>1853000</v>
      </c>
      <c r="O78" s="227">
        <f t="shared" si="29"/>
        <v>1096000</v>
      </c>
      <c r="P78" s="227">
        <f t="shared" si="29"/>
        <v>4000</v>
      </c>
      <c r="Q78" s="227">
        <f t="shared" si="29"/>
        <v>6000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16555000</v>
      </c>
      <c r="E87" s="37"/>
      <c r="F87" s="37">
        <f>F88+F89+F90+F91</f>
        <v>5037000</v>
      </c>
      <c r="G87" s="37">
        <f t="shared" ref="G87:Q87" si="32">G88+G89+G90+G91</f>
        <v>1158000</v>
      </c>
      <c r="H87" s="37">
        <f t="shared" si="32"/>
        <v>1175000</v>
      </c>
      <c r="I87" s="37">
        <f t="shared" si="32"/>
        <v>1346000</v>
      </c>
      <c r="J87" s="37">
        <f t="shared" si="32"/>
        <v>1158000</v>
      </c>
      <c r="K87" s="37">
        <f t="shared" si="32"/>
        <v>1158000</v>
      </c>
      <c r="L87" s="37">
        <f t="shared" si="32"/>
        <v>1172000</v>
      </c>
      <c r="M87" s="37">
        <f t="shared" si="32"/>
        <v>1158000</v>
      </c>
      <c r="N87" s="37">
        <f t="shared" si="32"/>
        <v>1912000</v>
      </c>
      <c r="O87" s="37">
        <f t="shared" si="32"/>
        <v>1155000</v>
      </c>
      <c r="P87" s="37">
        <f t="shared" si="32"/>
        <v>63000</v>
      </c>
      <c r="Q87" s="37">
        <f t="shared" si="32"/>
        <v>63000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0</v>
      </c>
      <c r="E88" s="108" t="s">
        <v>193</v>
      </c>
      <c r="F88" s="108">
        <f>ROUND($D88/2,-3)</f>
        <v>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16555000</v>
      </c>
      <c r="E91" s="108"/>
      <c r="F91" s="108">
        <f>F92+F93+F94+F95</f>
        <v>5037000</v>
      </c>
      <c r="G91" s="108">
        <f t="shared" ref="G91:Q91" si="34">G92+G93+G94+G95</f>
        <v>1158000</v>
      </c>
      <c r="H91" s="108">
        <f t="shared" si="34"/>
        <v>1175000</v>
      </c>
      <c r="I91" s="108">
        <f t="shared" si="34"/>
        <v>1346000</v>
      </c>
      <c r="J91" s="108">
        <f t="shared" si="34"/>
        <v>1158000</v>
      </c>
      <c r="K91" s="108">
        <f t="shared" si="34"/>
        <v>1158000</v>
      </c>
      <c r="L91" s="108">
        <f t="shared" si="34"/>
        <v>1172000</v>
      </c>
      <c r="M91" s="108">
        <f t="shared" si="34"/>
        <v>1158000</v>
      </c>
      <c r="N91" s="108">
        <f t="shared" si="34"/>
        <v>1912000</v>
      </c>
      <c r="O91" s="108">
        <f t="shared" si="34"/>
        <v>1155000</v>
      </c>
      <c r="P91" s="108">
        <f t="shared" si="34"/>
        <v>63000</v>
      </c>
      <c r="Q91" s="108">
        <f t="shared" si="34"/>
        <v>63000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650000</v>
      </c>
      <c r="E92" s="114" t="s">
        <v>537</v>
      </c>
      <c r="F92" s="37">
        <f>ROUND($D92/12*5,-3)</f>
        <v>271000</v>
      </c>
      <c r="G92" s="37">
        <f>ROUND($D92/12,-3)</f>
        <v>54000</v>
      </c>
      <c r="H92" s="37">
        <f t="shared" ref="H92:L92" si="35">ROUND($D92/12,-3)</f>
        <v>54000</v>
      </c>
      <c r="I92" s="37">
        <f t="shared" si="35"/>
        <v>54000</v>
      </c>
      <c r="J92" s="37">
        <f t="shared" si="35"/>
        <v>54000</v>
      </c>
      <c r="K92" s="37">
        <f t="shared" si="35"/>
        <v>54000</v>
      </c>
      <c r="L92" s="37">
        <f t="shared" si="35"/>
        <v>54000</v>
      </c>
      <c r="M92" s="37">
        <f>D92-SUM(F92:L92)</f>
        <v>55000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77000</v>
      </c>
      <c r="E93" s="189" t="s">
        <v>227</v>
      </c>
      <c r="F93" s="37">
        <f>ROUND($D93/12,-3)</f>
        <v>6000</v>
      </c>
      <c r="G93" s="37">
        <f t="shared" ref="G93:P93" si="36">ROUND($D93/12,-3)</f>
        <v>6000</v>
      </c>
      <c r="H93" s="37">
        <f t="shared" si="36"/>
        <v>6000</v>
      </c>
      <c r="I93" s="37">
        <f t="shared" si="36"/>
        <v>6000</v>
      </c>
      <c r="J93" s="37">
        <f t="shared" si="36"/>
        <v>6000</v>
      </c>
      <c r="K93" s="37">
        <f t="shared" si="36"/>
        <v>6000</v>
      </c>
      <c r="L93" s="37">
        <f t="shared" si="36"/>
        <v>6000</v>
      </c>
      <c r="M93" s="37">
        <f t="shared" si="36"/>
        <v>6000</v>
      </c>
      <c r="N93" s="37">
        <f t="shared" si="36"/>
        <v>6000</v>
      </c>
      <c r="O93" s="37">
        <f t="shared" si="36"/>
        <v>6000</v>
      </c>
      <c r="P93" s="37">
        <f t="shared" si="36"/>
        <v>6000</v>
      </c>
      <c r="Q93" s="37">
        <f>D93-SUM(F93:P93)</f>
        <v>11000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15828000</v>
      </c>
      <c r="E95" s="37"/>
      <c r="F95" s="37">
        <f>F2+F86-F88-F89-F90-F92-F93-F94</f>
        <v>4760000</v>
      </c>
      <c r="G95" s="37">
        <f t="shared" ref="G95:Q95" si="37">G2-G88-G89-G90-G92-G93-G94</f>
        <v>1098000</v>
      </c>
      <c r="H95" s="37">
        <f t="shared" si="37"/>
        <v>1115000</v>
      </c>
      <c r="I95" s="37">
        <f t="shared" si="37"/>
        <v>1286000</v>
      </c>
      <c r="J95" s="37">
        <f t="shared" si="37"/>
        <v>1098000</v>
      </c>
      <c r="K95" s="37">
        <f t="shared" si="37"/>
        <v>1098000</v>
      </c>
      <c r="L95" s="37">
        <f t="shared" si="37"/>
        <v>1112000</v>
      </c>
      <c r="M95" s="37">
        <f t="shared" si="37"/>
        <v>1097000</v>
      </c>
      <c r="N95" s="37">
        <f t="shared" si="37"/>
        <v>1906000</v>
      </c>
      <c r="O95" s="37">
        <f t="shared" si="37"/>
        <v>1149000</v>
      </c>
      <c r="P95" s="37">
        <f t="shared" si="37"/>
        <v>57000</v>
      </c>
      <c r="Q95" s="37">
        <f t="shared" si="37"/>
        <v>52000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0</v>
      </c>
    </row>
    <row r="102" spans="2:17" ht="32.4">
      <c r="B102" s="71" t="s">
        <v>238</v>
      </c>
      <c r="D102" s="30">
        <f>HLOOKUP(D1,[1]縣庫撥款收入明細表!H:DD,16,FALSE)</f>
        <v>72000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0</v>
      </c>
    </row>
    <row r="106" spans="2:17" ht="32.4">
      <c r="B106" s="71" t="s">
        <v>241</v>
      </c>
      <c r="D106" s="30">
        <f>HLOOKUP(D1,[1]縣庫撥款收入明細表!H:DD,20,FALSE)</f>
        <v>5000</v>
      </c>
    </row>
    <row r="107" spans="2:17" ht="32.4">
      <c r="B107" s="77" t="s">
        <v>242</v>
      </c>
      <c r="D107" s="30">
        <f>HLOOKUP(D1,[1]縣庫撥款收入明細表!H:DD,21,FALSE)</f>
        <v>15828000</v>
      </c>
    </row>
    <row r="108" spans="2:17" ht="16.5" customHeight="1"/>
    <row r="109" spans="2:17" ht="16.5" customHeight="1">
      <c r="B109" s="4" t="s">
        <v>682</v>
      </c>
      <c r="D109" s="30">
        <f>D91-D76</f>
        <v>15693000</v>
      </c>
      <c r="F109" s="30">
        <f>F91-F76</f>
        <v>4821000</v>
      </c>
      <c r="G109" s="30">
        <f t="shared" ref="G109:Q109" si="38">G91-G76</f>
        <v>1086000</v>
      </c>
      <c r="H109" s="30">
        <f t="shared" si="38"/>
        <v>1103000</v>
      </c>
      <c r="I109" s="30">
        <f t="shared" si="38"/>
        <v>1274000</v>
      </c>
      <c r="J109" s="30">
        <f t="shared" si="38"/>
        <v>1086000</v>
      </c>
      <c r="K109" s="30">
        <f t="shared" si="38"/>
        <v>1086000</v>
      </c>
      <c r="L109" s="30">
        <f t="shared" si="38"/>
        <v>1100000</v>
      </c>
      <c r="M109" s="30">
        <f t="shared" si="38"/>
        <v>1086000</v>
      </c>
      <c r="N109" s="30">
        <f t="shared" si="38"/>
        <v>1840000</v>
      </c>
      <c r="O109" s="30">
        <f t="shared" si="38"/>
        <v>1085000</v>
      </c>
      <c r="P109" s="30">
        <f t="shared" si="38"/>
        <v>63000</v>
      </c>
      <c r="Q109" s="30">
        <f t="shared" si="38"/>
        <v>63000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72" priority="1" operator="lessThan">
      <formula>0</formula>
    </cfRule>
  </conditionalFormatting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672</v>
      </c>
      <c r="D1" s="28" t="str">
        <f>VLOOKUP(C1,[1]學校編號!A:B,2,FALSE)</f>
        <v>672永豐國小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16017000</v>
      </c>
      <c r="E2" s="37"/>
      <c r="F2" s="37">
        <f>F48+F70+F76+F77+F83</f>
        <v>4701000</v>
      </c>
      <c r="G2" s="37">
        <f t="shared" ref="G2:Q2" si="0">G48+G70+G76+G77+G83</f>
        <v>1156000</v>
      </c>
      <c r="H2" s="37">
        <f t="shared" si="0"/>
        <v>1189000</v>
      </c>
      <c r="I2" s="37">
        <f t="shared" si="0"/>
        <v>1302000</v>
      </c>
      <c r="J2" s="37">
        <f t="shared" si="0"/>
        <v>1161000</v>
      </c>
      <c r="K2" s="37">
        <f t="shared" si="0"/>
        <v>1163000</v>
      </c>
      <c r="L2" s="37">
        <f t="shared" si="0"/>
        <v>1176000</v>
      </c>
      <c r="M2" s="37">
        <f t="shared" si="0"/>
        <v>1161000</v>
      </c>
      <c r="N2" s="37">
        <f t="shared" si="0"/>
        <v>1703000</v>
      </c>
      <c r="O2" s="37">
        <f t="shared" si="0"/>
        <v>1153000</v>
      </c>
      <c r="P2" s="37">
        <f t="shared" si="0"/>
        <v>79000</v>
      </c>
      <c r="Q2" s="37">
        <f t="shared" si="0"/>
        <v>73000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9000</v>
      </c>
      <c r="E10" s="37" t="s">
        <v>525</v>
      </c>
      <c r="F10" s="37">
        <f t="shared" si="1"/>
        <v>750</v>
      </c>
      <c r="G10" s="37">
        <f t="shared" si="1"/>
        <v>750</v>
      </c>
      <c r="H10" s="37">
        <f t="shared" si="1"/>
        <v>750</v>
      </c>
      <c r="I10" s="37">
        <f t="shared" si="1"/>
        <v>750</v>
      </c>
      <c r="J10" s="37">
        <f t="shared" si="1"/>
        <v>750</v>
      </c>
      <c r="K10" s="37">
        <f t="shared" si="1"/>
        <v>750</v>
      </c>
      <c r="L10" s="37">
        <f t="shared" si="1"/>
        <v>750</v>
      </c>
      <c r="M10" s="37">
        <f t="shared" si="1"/>
        <v>750</v>
      </c>
      <c r="N10" s="37">
        <f t="shared" si="1"/>
        <v>750</v>
      </c>
      <c r="O10" s="37">
        <f t="shared" si="1"/>
        <v>750</v>
      </c>
      <c r="P10" s="37">
        <f t="shared" si="1"/>
        <v>750</v>
      </c>
      <c r="Q10" s="37">
        <f t="shared" si="2"/>
        <v>750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8000</v>
      </c>
      <c r="E11" s="37" t="s">
        <v>195</v>
      </c>
      <c r="F11" s="37">
        <f>D11</f>
        <v>8000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189000</v>
      </c>
      <c r="E12" s="113" t="s">
        <v>202</v>
      </c>
      <c r="F12" s="37">
        <f>ROUND($D12/12*3,-3)</f>
        <v>47000</v>
      </c>
      <c r="G12" s="37">
        <f>ROUND($D12/12,-3)</f>
        <v>16000</v>
      </c>
      <c r="H12" s="37">
        <f t="shared" ref="H12:N12" si="4">ROUND($D12/12,-3)</f>
        <v>16000</v>
      </c>
      <c r="I12" s="37">
        <f t="shared" si="4"/>
        <v>16000</v>
      </c>
      <c r="J12" s="37">
        <f t="shared" si="4"/>
        <v>16000</v>
      </c>
      <c r="K12" s="37">
        <f t="shared" si="4"/>
        <v>16000</v>
      </c>
      <c r="L12" s="37">
        <f t="shared" si="4"/>
        <v>16000</v>
      </c>
      <c r="M12" s="37">
        <f t="shared" si="4"/>
        <v>16000</v>
      </c>
      <c r="N12" s="37">
        <f t="shared" si="4"/>
        <v>16000</v>
      </c>
      <c r="O12" s="37">
        <f>D12-SUM(F12:N12)</f>
        <v>14000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164000</v>
      </c>
      <c r="E13" s="37" t="s">
        <v>525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80000</v>
      </c>
      <c r="E14" s="37" t="s">
        <v>525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28000</v>
      </c>
      <c r="E15" s="37" t="s">
        <v>193</v>
      </c>
      <c r="F15" s="37">
        <f>ROUND($D15/2,-3)</f>
        <v>14000</v>
      </c>
      <c r="G15" s="37"/>
      <c r="H15" s="37"/>
      <c r="I15" s="37"/>
      <c r="J15" s="37"/>
      <c r="K15" s="37"/>
      <c r="L15" s="37">
        <f>D15-F15</f>
        <v>14000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0</v>
      </c>
      <c r="E16" s="37" t="s">
        <v>525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780000</v>
      </c>
      <c r="E25" s="108"/>
      <c r="F25" s="108">
        <f>ROUND(SUM(F3:F24),-3)</f>
        <v>115000</v>
      </c>
      <c r="G25" s="108">
        <f t="shared" ref="G25:P25" si="5">ROUND(SUM(G3:G24),-3)</f>
        <v>62000</v>
      </c>
      <c r="H25" s="108">
        <f t="shared" si="5"/>
        <v>62000</v>
      </c>
      <c r="I25" s="108">
        <f t="shared" si="5"/>
        <v>62000</v>
      </c>
      <c r="J25" s="108">
        <f t="shared" si="5"/>
        <v>62000</v>
      </c>
      <c r="K25" s="108">
        <f t="shared" si="5"/>
        <v>62000</v>
      </c>
      <c r="L25" s="108">
        <f t="shared" si="5"/>
        <v>76000</v>
      </c>
      <c r="M25" s="108">
        <f t="shared" si="5"/>
        <v>62000</v>
      </c>
      <c r="N25" s="108">
        <f t="shared" si="5"/>
        <v>62000</v>
      </c>
      <c r="O25" s="108">
        <f t="shared" si="5"/>
        <v>60000</v>
      </c>
      <c r="P25" s="108">
        <f t="shared" si="5"/>
        <v>46000</v>
      </c>
      <c r="Q25" s="108">
        <f t="shared" ref="Q25:Q33" si="6">D25-SUM(F25:P25)</f>
        <v>49000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50000</v>
      </c>
      <c r="E26" s="114" t="s">
        <v>204</v>
      </c>
      <c r="F26" s="37">
        <f>ROUND($D26/10,-3)</f>
        <v>5000</v>
      </c>
      <c r="G26" s="37"/>
      <c r="H26" s="37">
        <f>ROUND($D26/10,-3)</f>
        <v>5000</v>
      </c>
      <c r="I26" s="37">
        <f>ROUND($D26/10,-3)</f>
        <v>5000</v>
      </c>
      <c r="J26" s="37">
        <f>ROUND($D26/10,-3)</f>
        <v>5000</v>
      </c>
      <c r="K26" s="37">
        <f>ROUND($D26/10,-3)</f>
        <v>5000</v>
      </c>
      <c r="L26" s="37"/>
      <c r="M26" s="37">
        <f>ROUND($D26/10,-3)</f>
        <v>5000</v>
      </c>
      <c r="N26" s="37">
        <f>ROUND($D26/10,-3)</f>
        <v>5000</v>
      </c>
      <c r="O26" s="37">
        <f>ROUND($D26/10,-3)</f>
        <v>5000</v>
      </c>
      <c r="P26" s="37">
        <f>ROUND($D26/10,-3)</f>
        <v>5000</v>
      </c>
      <c r="Q26" s="37">
        <f t="shared" si="6"/>
        <v>5000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4000</v>
      </c>
      <c r="E30" s="37" t="s">
        <v>525</v>
      </c>
      <c r="F30" s="37">
        <f t="shared" si="8"/>
        <v>333</v>
      </c>
      <c r="G30" s="37">
        <f t="shared" si="8"/>
        <v>333</v>
      </c>
      <c r="H30" s="37">
        <f t="shared" si="8"/>
        <v>333</v>
      </c>
      <c r="I30" s="37">
        <f t="shared" si="8"/>
        <v>333</v>
      </c>
      <c r="J30" s="37">
        <f t="shared" si="8"/>
        <v>333</v>
      </c>
      <c r="K30" s="37">
        <f t="shared" si="8"/>
        <v>333</v>
      </c>
      <c r="L30" s="37">
        <f t="shared" si="8"/>
        <v>333</v>
      </c>
      <c r="M30" s="37">
        <f t="shared" si="8"/>
        <v>333</v>
      </c>
      <c r="N30" s="37">
        <f t="shared" si="8"/>
        <v>333</v>
      </c>
      <c r="O30" s="37">
        <f t="shared" si="8"/>
        <v>333</v>
      </c>
      <c r="P30" s="37">
        <f t="shared" si="8"/>
        <v>333</v>
      </c>
      <c r="Q30" s="37">
        <f t="shared" si="6"/>
        <v>337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2000</v>
      </c>
      <c r="E31" s="37" t="s">
        <v>525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322000</v>
      </c>
      <c r="E37" s="108"/>
      <c r="F37" s="108">
        <f t="shared" ref="F37:P37" si="9">ROUND(SUM(F26:F36),-3)</f>
        <v>28000</v>
      </c>
      <c r="G37" s="108">
        <f t="shared" si="9"/>
        <v>23000</v>
      </c>
      <c r="H37" s="108">
        <f t="shared" si="9"/>
        <v>28000</v>
      </c>
      <c r="I37" s="108">
        <f t="shared" si="9"/>
        <v>28000</v>
      </c>
      <c r="J37" s="108">
        <f t="shared" si="9"/>
        <v>28000</v>
      </c>
      <c r="K37" s="108">
        <f t="shared" si="9"/>
        <v>28000</v>
      </c>
      <c r="L37" s="108">
        <f t="shared" si="9"/>
        <v>23000</v>
      </c>
      <c r="M37" s="108">
        <f t="shared" si="9"/>
        <v>28000</v>
      </c>
      <c r="N37" s="108">
        <f t="shared" si="9"/>
        <v>28000</v>
      </c>
      <c r="O37" s="108">
        <f t="shared" si="9"/>
        <v>28000</v>
      </c>
      <c r="P37" s="108">
        <f t="shared" si="9"/>
        <v>28000</v>
      </c>
      <c r="Q37" s="108">
        <f>D37-SUM(F37:P37)</f>
        <v>24000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11000</v>
      </c>
      <c r="E42" s="37" t="s">
        <v>199</v>
      </c>
      <c r="F42" s="37"/>
      <c r="G42" s="37"/>
      <c r="H42" s="37"/>
      <c r="I42" s="37">
        <f>D42</f>
        <v>11000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6000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6000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17000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11000</v>
      </c>
      <c r="J45" s="108">
        <f t="shared" si="12"/>
        <v>0</v>
      </c>
      <c r="K45" s="108">
        <f t="shared" si="12"/>
        <v>0</v>
      </c>
      <c r="L45" s="108">
        <f t="shared" si="12"/>
        <v>6000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1125000</v>
      </c>
      <c r="E48" s="37"/>
      <c r="F48" s="115">
        <f>F25+F37+F45+F47</f>
        <v>145000</v>
      </c>
      <c r="G48" s="115">
        <f t="shared" ref="G48:R48" si="14">G25+G37+G45+G47</f>
        <v>85000</v>
      </c>
      <c r="H48" s="115">
        <f t="shared" si="14"/>
        <v>90000</v>
      </c>
      <c r="I48" s="115">
        <f t="shared" si="14"/>
        <v>101000</v>
      </c>
      <c r="J48" s="115">
        <f t="shared" si="14"/>
        <v>90000</v>
      </c>
      <c r="K48" s="115">
        <f t="shared" si="14"/>
        <v>92000</v>
      </c>
      <c r="L48" s="115">
        <f t="shared" si="14"/>
        <v>105000</v>
      </c>
      <c r="M48" s="115">
        <f t="shared" si="14"/>
        <v>90000</v>
      </c>
      <c r="N48" s="115">
        <f t="shared" si="14"/>
        <v>92000</v>
      </c>
      <c r="O48" s="115">
        <f t="shared" si="14"/>
        <v>88000</v>
      </c>
      <c r="P48" s="115">
        <f t="shared" si="14"/>
        <v>74000</v>
      </c>
      <c r="Q48" s="115">
        <f t="shared" si="14"/>
        <v>73000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9175000</v>
      </c>
      <c r="E49" s="114" t="s">
        <v>202</v>
      </c>
      <c r="F49" s="37">
        <f>ROUND($D49/12*3,-3)</f>
        <v>2294000</v>
      </c>
      <c r="G49" s="37">
        <f>ROUND($D49/12,-3)</f>
        <v>765000</v>
      </c>
      <c r="H49" s="37">
        <f t="shared" ref="H49:N53" si="15">ROUND($D49/12,-3)</f>
        <v>765000</v>
      </c>
      <c r="I49" s="37">
        <f t="shared" si="15"/>
        <v>765000</v>
      </c>
      <c r="J49" s="37">
        <f t="shared" si="15"/>
        <v>765000</v>
      </c>
      <c r="K49" s="37">
        <f t="shared" si="15"/>
        <v>765000</v>
      </c>
      <c r="L49" s="37">
        <f t="shared" si="15"/>
        <v>765000</v>
      </c>
      <c r="M49" s="37">
        <f t="shared" si="15"/>
        <v>765000</v>
      </c>
      <c r="N49" s="37">
        <f t="shared" si="15"/>
        <v>765000</v>
      </c>
      <c r="O49" s="37">
        <f>D49-SUM(F49:N49)</f>
        <v>761000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738000</v>
      </c>
      <c r="E51" s="114" t="s">
        <v>202</v>
      </c>
      <c r="F51" s="37">
        <f t="shared" si="16"/>
        <v>185000</v>
      </c>
      <c r="G51" s="37">
        <f t="shared" si="17"/>
        <v>62000</v>
      </c>
      <c r="H51" s="37">
        <f t="shared" si="15"/>
        <v>62000</v>
      </c>
      <c r="I51" s="37">
        <f t="shared" si="15"/>
        <v>62000</v>
      </c>
      <c r="J51" s="37">
        <f t="shared" si="15"/>
        <v>62000</v>
      </c>
      <c r="K51" s="37">
        <f t="shared" si="15"/>
        <v>62000</v>
      </c>
      <c r="L51" s="37">
        <f t="shared" si="15"/>
        <v>62000</v>
      </c>
      <c r="M51" s="37">
        <f t="shared" si="15"/>
        <v>62000</v>
      </c>
      <c r="N51" s="37">
        <f t="shared" si="15"/>
        <v>62000</v>
      </c>
      <c r="O51" s="37">
        <f t="shared" si="18"/>
        <v>57000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136000</v>
      </c>
      <c r="E60" s="37" t="s">
        <v>195</v>
      </c>
      <c r="F60" s="37">
        <f>D60</f>
        <v>136000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652000</v>
      </c>
      <c r="E62" s="37" t="s">
        <v>197</v>
      </c>
      <c r="F62" s="37"/>
      <c r="G62" s="37"/>
      <c r="H62" s="37"/>
      <c r="I62" s="37">
        <f>ROUND($D62/5,-3)</f>
        <v>130000</v>
      </c>
      <c r="J62" s="37"/>
      <c r="K62" s="37"/>
      <c r="L62" s="37"/>
      <c r="M62" s="37"/>
      <c r="N62" s="37">
        <f>D62-I62</f>
        <v>522000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1129000</v>
      </c>
      <c r="E63" s="37" t="s">
        <v>195</v>
      </c>
      <c r="F63" s="37">
        <f>D63</f>
        <v>1129000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835000</v>
      </c>
      <c r="E64" s="114" t="s">
        <v>202</v>
      </c>
      <c r="F64" s="37">
        <f>ROUND($D64/12*3,-3)</f>
        <v>209000</v>
      </c>
      <c r="G64" s="37">
        <f>ROUND($D64/12,-3)</f>
        <v>70000</v>
      </c>
      <c r="H64" s="37">
        <f t="shared" ref="H64:N66" si="21">ROUND($D64/12,-3)</f>
        <v>70000</v>
      </c>
      <c r="I64" s="37">
        <f t="shared" si="21"/>
        <v>70000</v>
      </c>
      <c r="J64" s="37">
        <f t="shared" si="21"/>
        <v>70000</v>
      </c>
      <c r="K64" s="37">
        <f t="shared" si="21"/>
        <v>70000</v>
      </c>
      <c r="L64" s="37">
        <f t="shared" si="21"/>
        <v>70000</v>
      </c>
      <c r="M64" s="37">
        <f t="shared" si="21"/>
        <v>70000</v>
      </c>
      <c r="N64" s="37">
        <f t="shared" si="21"/>
        <v>70000</v>
      </c>
      <c r="O64" s="37">
        <f>D64-SUM(F64:N64)</f>
        <v>66000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156000</v>
      </c>
      <c r="E65" s="114" t="s">
        <v>202</v>
      </c>
      <c r="F65" s="37">
        <f t="shared" ref="F65:F66" si="22">ROUND($D65/12*3,-3)</f>
        <v>39000</v>
      </c>
      <c r="G65" s="37">
        <f t="shared" ref="G65:G66" si="23">ROUND($D65/12,-3)</f>
        <v>13000</v>
      </c>
      <c r="H65" s="37">
        <f t="shared" si="21"/>
        <v>13000</v>
      </c>
      <c r="I65" s="37">
        <f t="shared" si="21"/>
        <v>13000</v>
      </c>
      <c r="J65" s="37">
        <f t="shared" si="21"/>
        <v>13000</v>
      </c>
      <c r="K65" s="37">
        <f t="shared" si="21"/>
        <v>13000</v>
      </c>
      <c r="L65" s="37">
        <f t="shared" si="21"/>
        <v>13000</v>
      </c>
      <c r="M65" s="37">
        <f t="shared" si="21"/>
        <v>13000</v>
      </c>
      <c r="N65" s="37">
        <f t="shared" si="21"/>
        <v>13000</v>
      </c>
      <c r="O65" s="37">
        <f t="shared" ref="O65:O66" si="24">D65-SUM(F65:N65)</f>
        <v>13000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804000</v>
      </c>
      <c r="E66" s="114" t="s">
        <v>202</v>
      </c>
      <c r="F66" s="37">
        <f t="shared" si="22"/>
        <v>201000</v>
      </c>
      <c r="G66" s="37">
        <f t="shared" si="23"/>
        <v>67000</v>
      </c>
      <c r="H66" s="37">
        <f t="shared" si="21"/>
        <v>67000</v>
      </c>
      <c r="I66" s="37">
        <f t="shared" si="21"/>
        <v>67000</v>
      </c>
      <c r="J66" s="37">
        <f t="shared" si="21"/>
        <v>67000</v>
      </c>
      <c r="K66" s="37">
        <f t="shared" si="21"/>
        <v>67000</v>
      </c>
      <c r="L66" s="37">
        <f t="shared" si="21"/>
        <v>67000</v>
      </c>
      <c r="M66" s="37">
        <f t="shared" si="21"/>
        <v>67000</v>
      </c>
      <c r="N66" s="37">
        <f t="shared" si="21"/>
        <v>67000</v>
      </c>
      <c r="O66" s="37">
        <f t="shared" si="24"/>
        <v>67000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9000</v>
      </c>
      <c r="E67" s="37" t="s">
        <v>196</v>
      </c>
      <c r="F67" s="37"/>
      <c r="G67" s="37"/>
      <c r="H67" s="37">
        <f>D67</f>
        <v>9000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89000</v>
      </c>
      <c r="E68" s="37" t="s">
        <v>195</v>
      </c>
      <c r="F68" s="37">
        <f>D68</f>
        <v>89000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14043000</v>
      </c>
      <c r="E70" s="108"/>
      <c r="F70" s="108">
        <f t="shared" ref="F70:P70" si="25">ROUND(SUM(F49:F69),-3)</f>
        <v>4353000</v>
      </c>
      <c r="G70" s="108">
        <f t="shared" si="25"/>
        <v>1004000</v>
      </c>
      <c r="H70" s="108">
        <f t="shared" si="25"/>
        <v>1013000</v>
      </c>
      <c r="I70" s="108">
        <f t="shared" si="25"/>
        <v>1134000</v>
      </c>
      <c r="J70" s="108">
        <f t="shared" si="25"/>
        <v>1004000</v>
      </c>
      <c r="K70" s="108">
        <f t="shared" si="25"/>
        <v>1004000</v>
      </c>
      <c r="L70" s="108">
        <f t="shared" si="25"/>
        <v>1004000</v>
      </c>
      <c r="M70" s="108">
        <f t="shared" si="25"/>
        <v>1004000</v>
      </c>
      <c r="N70" s="108">
        <f t="shared" si="25"/>
        <v>1526000</v>
      </c>
      <c r="O70" s="108">
        <f t="shared" si="25"/>
        <v>992000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304000</v>
      </c>
      <c r="E72" s="114" t="s">
        <v>202</v>
      </c>
      <c r="F72" s="37">
        <f>ROUND($D72/12*3,-3)</f>
        <v>76000</v>
      </c>
      <c r="G72" s="37">
        <f>ROUND($D72/12,-3)</f>
        <v>25000</v>
      </c>
      <c r="H72" s="37">
        <f t="shared" ref="H72:N75" si="26">ROUND($D72/12,-3)</f>
        <v>25000</v>
      </c>
      <c r="I72" s="37">
        <f t="shared" si="26"/>
        <v>25000</v>
      </c>
      <c r="J72" s="37">
        <f t="shared" si="26"/>
        <v>25000</v>
      </c>
      <c r="K72" s="37">
        <f t="shared" si="26"/>
        <v>25000</v>
      </c>
      <c r="L72" s="37">
        <f t="shared" si="26"/>
        <v>25000</v>
      </c>
      <c r="M72" s="37">
        <f t="shared" si="26"/>
        <v>25000</v>
      </c>
      <c r="N72" s="37">
        <f t="shared" si="26"/>
        <v>25000</v>
      </c>
      <c r="O72" s="37">
        <f>D72-SUM(F72:N72)</f>
        <v>28000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508000</v>
      </c>
      <c r="E75" s="114" t="s">
        <v>202</v>
      </c>
      <c r="F75" s="37">
        <f>ROUND($D75/12*3,-3)</f>
        <v>127000</v>
      </c>
      <c r="G75" s="37">
        <f>ROUND($D75/12,-3)</f>
        <v>42000</v>
      </c>
      <c r="H75" s="37">
        <f t="shared" si="26"/>
        <v>42000</v>
      </c>
      <c r="I75" s="37">
        <f t="shared" si="26"/>
        <v>42000</v>
      </c>
      <c r="J75" s="37">
        <f t="shared" si="26"/>
        <v>42000</v>
      </c>
      <c r="K75" s="37">
        <f t="shared" si="26"/>
        <v>42000</v>
      </c>
      <c r="L75" s="37">
        <f t="shared" si="26"/>
        <v>42000</v>
      </c>
      <c r="M75" s="37">
        <f t="shared" si="26"/>
        <v>42000</v>
      </c>
      <c r="N75" s="37">
        <f t="shared" si="26"/>
        <v>42000</v>
      </c>
      <c r="O75" s="37">
        <f>D75-SUM(F75:N75)</f>
        <v>45000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812000</v>
      </c>
      <c r="E76" s="108"/>
      <c r="F76" s="108">
        <f>ROUND(SUM(F71:F75),-3)</f>
        <v>203000</v>
      </c>
      <c r="G76" s="108">
        <f t="shared" ref="G76:N76" si="27">ROUND(SUM(G71:G75),-3)</f>
        <v>67000</v>
      </c>
      <c r="H76" s="108">
        <f t="shared" si="27"/>
        <v>67000</v>
      </c>
      <c r="I76" s="108">
        <f t="shared" si="27"/>
        <v>67000</v>
      </c>
      <c r="J76" s="108">
        <f t="shared" si="27"/>
        <v>67000</v>
      </c>
      <c r="K76" s="108">
        <f t="shared" si="27"/>
        <v>67000</v>
      </c>
      <c r="L76" s="108">
        <f t="shared" si="27"/>
        <v>67000</v>
      </c>
      <c r="M76" s="108">
        <f t="shared" si="27"/>
        <v>67000</v>
      </c>
      <c r="N76" s="108">
        <f t="shared" si="27"/>
        <v>67000</v>
      </c>
      <c r="O76" s="108">
        <f>D76-SUM(F76:N76)</f>
        <v>73000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37000</v>
      </c>
      <c r="E77" s="37" t="s">
        <v>681</v>
      </c>
      <c r="F77" s="224"/>
      <c r="G77" s="224"/>
      <c r="H77" s="224">
        <f>ROUND($D77/2,-3)</f>
        <v>19000</v>
      </c>
      <c r="I77" s="224"/>
      <c r="J77" s="224"/>
      <c r="K77" s="224"/>
      <c r="L77" s="224"/>
      <c r="M77" s="224"/>
      <c r="N77" s="224">
        <f>D77-H77</f>
        <v>18000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14892000</v>
      </c>
      <c r="E78" s="227"/>
      <c r="F78" s="227">
        <f>F76+F70+F77</f>
        <v>4556000</v>
      </c>
      <c r="G78" s="227">
        <f t="shared" ref="G78:Q78" si="29">G76+G70+G77</f>
        <v>1071000</v>
      </c>
      <c r="H78" s="227">
        <f t="shared" si="29"/>
        <v>1099000</v>
      </c>
      <c r="I78" s="227">
        <f t="shared" si="29"/>
        <v>1201000</v>
      </c>
      <c r="J78" s="227">
        <f t="shared" si="29"/>
        <v>1071000</v>
      </c>
      <c r="K78" s="227">
        <f t="shared" si="29"/>
        <v>1071000</v>
      </c>
      <c r="L78" s="227">
        <f t="shared" si="29"/>
        <v>1071000</v>
      </c>
      <c r="M78" s="227">
        <f t="shared" si="29"/>
        <v>1071000</v>
      </c>
      <c r="N78" s="227">
        <f t="shared" si="29"/>
        <v>1611000</v>
      </c>
      <c r="O78" s="227">
        <f t="shared" si="29"/>
        <v>1065000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16017000</v>
      </c>
      <c r="E87" s="37"/>
      <c r="F87" s="37">
        <f>F88+F89+F90+F91</f>
        <v>4701000</v>
      </c>
      <c r="G87" s="37">
        <f t="shared" ref="G87:Q87" si="32">G88+G89+G90+G91</f>
        <v>1156000</v>
      </c>
      <c r="H87" s="37">
        <f t="shared" si="32"/>
        <v>1189000</v>
      </c>
      <c r="I87" s="37">
        <f t="shared" si="32"/>
        <v>1302000</v>
      </c>
      <c r="J87" s="37">
        <f t="shared" si="32"/>
        <v>1161000</v>
      </c>
      <c r="K87" s="37">
        <f t="shared" si="32"/>
        <v>1163000</v>
      </c>
      <c r="L87" s="37">
        <f t="shared" si="32"/>
        <v>1176000</v>
      </c>
      <c r="M87" s="37">
        <f t="shared" si="32"/>
        <v>1161000</v>
      </c>
      <c r="N87" s="37">
        <f t="shared" si="32"/>
        <v>1703000</v>
      </c>
      <c r="O87" s="37">
        <f t="shared" si="32"/>
        <v>1153000</v>
      </c>
      <c r="P87" s="37">
        <f t="shared" si="32"/>
        <v>79000</v>
      </c>
      <c r="Q87" s="37">
        <f t="shared" si="32"/>
        <v>73000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0</v>
      </c>
      <c r="E88" s="108" t="s">
        <v>193</v>
      </c>
      <c r="F88" s="108">
        <f>ROUND($D88/2,-3)</f>
        <v>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16016000</v>
      </c>
      <c r="E91" s="108"/>
      <c r="F91" s="108">
        <f>F92+F93+F94+F95</f>
        <v>4701000</v>
      </c>
      <c r="G91" s="108">
        <f t="shared" ref="G91:Q91" si="34">G92+G93+G94+G95</f>
        <v>1156000</v>
      </c>
      <c r="H91" s="108">
        <f t="shared" si="34"/>
        <v>1189000</v>
      </c>
      <c r="I91" s="108">
        <f t="shared" si="34"/>
        <v>1302000</v>
      </c>
      <c r="J91" s="108">
        <f t="shared" si="34"/>
        <v>1161000</v>
      </c>
      <c r="K91" s="108">
        <f t="shared" si="34"/>
        <v>1163000</v>
      </c>
      <c r="L91" s="108">
        <f t="shared" si="34"/>
        <v>1176000</v>
      </c>
      <c r="M91" s="108">
        <f t="shared" si="34"/>
        <v>1161000</v>
      </c>
      <c r="N91" s="108">
        <f t="shared" si="34"/>
        <v>1703000</v>
      </c>
      <c r="O91" s="108">
        <f t="shared" si="34"/>
        <v>1153000</v>
      </c>
      <c r="P91" s="108">
        <f t="shared" si="34"/>
        <v>79000</v>
      </c>
      <c r="Q91" s="108">
        <f t="shared" si="34"/>
        <v>72000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2354000</v>
      </c>
      <c r="E92" s="114" t="s">
        <v>537</v>
      </c>
      <c r="F92" s="37">
        <f>ROUND($D92/12*5,-3)</f>
        <v>981000</v>
      </c>
      <c r="G92" s="37">
        <f>ROUND($D92/12,-3)</f>
        <v>196000</v>
      </c>
      <c r="H92" s="37">
        <f t="shared" ref="H92:L92" si="35">ROUND($D92/12,-3)</f>
        <v>196000</v>
      </c>
      <c r="I92" s="37">
        <f t="shared" si="35"/>
        <v>196000</v>
      </c>
      <c r="J92" s="37">
        <f t="shared" si="35"/>
        <v>196000</v>
      </c>
      <c r="K92" s="37">
        <f t="shared" si="35"/>
        <v>196000</v>
      </c>
      <c r="L92" s="37">
        <f t="shared" si="35"/>
        <v>196000</v>
      </c>
      <c r="M92" s="37">
        <f>D92-SUM(F92:L92)</f>
        <v>197000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28000</v>
      </c>
      <c r="E94" s="190" t="s">
        <v>229</v>
      </c>
      <c r="F94" s="37"/>
      <c r="G94" s="37"/>
      <c r="H94" s="37">
        <f>ROUND($D94/2,-3)</f>
        <v>14000</v>
      </c>
      <c r="I94" s="37"/>
      <c r="J94" s="37"/>
      <c r="K94" s="37"/>
      <c r="L94" s="37"/>
      <c r="M94" s="37"/>
      <c r="N94" s="37"/>
      <c r="O94" s="37">
        <f>D94-H94</f>
        <v>14000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13544000</v>
      </c>
      <c r="E95" s="37"/>
      <c r="F95" s="37">
        <f>F2+F86-F88-F89-F90-F92-F93-F94</f>
        <v>3712000</v>
      </c>
      <c r="G95" s="37">
        <f t="shared" ref="G95:Q95" si="37">G2-G88-G89-G90-G92-G93-G94</f>
        <v>952000</v>
      </c>
      <c r="H95" s="37">
        <f t="shared" si="37"/>
        <v>971000</v>
      </c>
      <c r="I95" s="37">
        <f t="shared" si="37"/>
        <v>1098000</v>
      </c>
      <c r="J95" s="37">
        <f t="shared" si="37"/>
        <v>957000</v>
      </c>
      <c r="K95" s="37">
        <f t="shared" si="37"/>
        <v>959000</v>
      </c>
      <c r="L95" s="37">
        <f t="shared" si="37"/>
        <v>972000</v>
      </c>
      <c r="M95" s="37">
        <f t="shared" si="37"/>
        <v>956000</v>
      </c>
      <c r="N95" s="37">
        <f t="shared" si="37"/>
        <v>1695000</v>
      </c>
      <c r="O95" s="37">
        <f t="shared" si="37"/>
        <v>1131000</v>
      </c>
      <c r="P95" s="37">
        <f t="shared" si="37"/>
        <v>71000</v>
      </c>
      <c r="Q95" s="37">
        <f t="shared" si="37"/>
        <v>70000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700000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1004000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28000</v>
      </c>
    </row>
    <row r="105" spans="2:17" ht="32.4">
      <c r="B105" s="72" t="s">
        <v>380</v>
      </c>
      <c r="D105" s="30">
        <f>HLOOKUP(D1,[1]縣庫撥款收入明細表!H:DD,19,FALSE)</f>
        <v>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13544000</v>
      </c>
    </row>
    <row r="108" spans="2:17" ht="16.5" customHeight="1"/>
    <row r="109" spans="2:17" ht="16.5" customHeight="1">
      <c r="B109" s="4" t="s">
        <v>682</v>
      </c>
      <c r="D109" s="30">
        <f>D91-D76</f>
        <v>15204000</v>
      </c>
      <c r="F109" s="30">
        <f>F91-F76</f>
        <v>4498000</v>
      </c>
      <c r="G109" s="30">
        <f t="shared" ref="G109:Q109" si="38">G91-G76</f>
        <v>1089000</v>
      </c>
      <c r="H109" s="30">
        <f t="shared" si="38"/>
        <v>1122000</v>
      </c>
      <c r="I109" s="30">
        <f t="shared" si="38"/>
        <v>1235000</v>
      </c>
      <c r="J109" s="30">
        <f t="shared" si="38"/>
        <v>1094000</v>
      </c>
      <c r="K109" s="30">
        <f t="shared" si="38"/>
        <v>1096000</v>
      </c>
      <c r="L109" s="30">
        <f t="shared" si="38"/>
        <v>1109000</v>
      </c>
      <c r="M109" s="30">
        <f t="shared" si="38"/>
        <v>1094000</v>
      </c>
      <c r="N109" s="30">
        <f t="shared" si="38"/>
        <v>1636000</v>
      </c>
      <c r="O109" s="30">
        <f t="shared" si="38"/>
        <v>1080000</v>
      </c>
      <c r="P109" s="30">
        <f t="shared" si="38"/>
        <v>79000</v>
      </c>
      <c r="Q109" s="30">
        <f t="shared" si="38"/>
        <v>72000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70" priority="1" operator="lessThan">
      <formula>0</formula>
    </cfRule>
  </conditionalFormatting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673</v>
      </c>
      <c r="D1" s="28" t="str">
        <f>VLOOKUP(C1,[1]學校編號!A:B,2,FALSE)</f>
        <v>673學田國小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18599000</v>
      </c>
      <c r="E2" s="37"/>
      <c r="F2" s="37">
        <f>F48+F70+F76+F77+F83</f>
        <v>5511000</v>
      </c>
      <c r="G2" s="37">
        <f t="shared" ref="G2:Q2" si="0">G48+G70+G76+G77+G83</f>
        <v>1328000</v>
      </c>
      <c r="H2" s="37">
        <f t="shared" si="0"/>
        <v>1346000</v>
      </c>
      <c r="I2" s="37">
        <f t="shared" si="0"/>
        <v>1521000</v>
      </c>
      <c r="J2" s="37">
        <f t="shared" si="0"/>
        <v>1328000</v>
      </c>
      <c r="K2" s="37">
        <f t="shared" si="0"/>
        <v>1328000</v>
      </c>
      <c r="L2" s="37">
        <f t="shared" si="0"/>
        <v>1342000</v>
      </c>
      <c r="M2" s="37">
        <f t="shared" si="0"/>
        <v>1328000</v>
      </c>
      <c r="N2" s="37">
        <f t="shared" si="0"/>
        <v>2107000</v>
      </c>
      <c r="O2" s="37">
        <f t="shared" si="0"/>
        <v>1326000</v>
      </c>
      <c r="P2" s="37">
        <f t="shared" si="0"/>
        <v>74000</v>
      </c>
      <c r="Q2" s="37">
        <f t="shared" si="0"/>
        <v>60000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80000</v>
      </c>
      <c r="E13" s="37" t="s">
        <v>525</v>
      </c>
      <c r="F13" s="37">
        <f>ROUND($D13/12,0)</f>
        <v>6667</v>
      </c>
      <c r="G13" s="37">
        <f t="shared" si="1"/>
        <v>6667</v>
      </c>
      <c r="H13" s="37">
        <f t="shared" si="1"/>
        <v>6667</v>
      </c>
      <c r="I13" s="37">
        <f t="shared" si="1"/>
        <v>6667</v>
      </c>
      <c r="J13" s="37">
        <f t="shared" si="1"/>
        <v>6667</v>
      </c>
      <c r="K13" s="37">
        <f t="shared" si="1"/>
        <v>6667</v>
      </c>
      <c r="L13" s="37">
        <f t="shared" si="1"/>
        <v>6667</v>
      </c>
      <c r="M13" s="37">
        <f t="shared" si="1"/>
        <v>6667</v>
      </c>
      <c r="N13" s="37">
        <f t="shared" si="1"/>
        <v>6667</v>
      </c>
      <c r="O13" s="37">
        <f t="shared" si="1"/>
        <v>6667</v>
      </c>
      <c r="P13" s="37">
        <f t="shared" si="1"/>
        <v>6667</v>
      </c>
      <c r="Q13" s="37">
        <f>D13-SUM(F13:P13)</f>
        <v>6663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80000</v>
      </c>
      <c r="E14" s="37" t="s">
        <v>525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28000</v>
      </c>
      <c r="E15" s="37" t="s">
        <v>193</v>
      </c>
      <c r="F15" s="37">
        <f>ROUND($D15/2,-3)</f>
        <v>14000</v>
      </c>
      <c r="G15" s="37"/>
      <c r="H15" s="37"/>
      <c r="I15" s="37"/>
      <c r="J15" s="37"/>
      <c r="K15" s="37"/>
      <c r="L15" s="37">
        <f>D15-F15</f>
        <v>14000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84000</v>
      </c>
      <c r="E16" s="37" t="s">
        <v>525</v>
      </c>
      <c r="F16" s="37">
        <f>ROUND($D16/12,0)</f>
        <v>7000</v>
      </c>
      <c r="G16" s="37">
        <f t="shared" si="1"/>
        <v>7000</v>
      </c>
      <c r="H16" s="37">
        <f t="shared" si="1"/>
        <v>7000</v>
      </c>
      <c r="I16" s="37">
        <f t="shared" si="1"/>
        <v>7000</v>
      </c>
      <c r="J16" s="37">
        <f t="shared" si="1"/>
        <v>7000</v>
      </c>
      <c r="K16" s="37">
        <f t="shared" si="1"/>
        <v>7000</v>
      </c>
      <c r="L16" s="37">
        <f t="shared" si="1"/>
        <v>7000</v>
      </c>
      <c r="M16" s="37">
        <f t="shared" si="1"/>
        <v>7000</v>
      </c>
      <c r="N16" s="37">
        <f t="shared" si="1"/>
        <v>7000</v>
      </c>
      <c r="O16" s="37">
        <f t="shared" si="1"/>
        <v>7000</v>
      </c>
      <c r="P16" s="37">
        <f t="shared" si="1"/>
        <v>7000</v>
      </c>
      <c r="Q16" s="37">
        <f>D16-SUM(F16:P16)</f>
        <v>7000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574000</v>
      </c>
      <c r="E25" s="108"/>
      <c r="F25" s="108">
        <f>ROUND(SUM(F3:F24),-3)</f>
        <v>60000</v>
      </c>
      <c r="G25" s="108">
        <f t="shared" ref="G25:P25" si="5">ROUND(SUM(G3:G24),-3)</f>
        <v>46000</v>
      </c>
      <c r="H25" s="108">
        <f t="shared" si="5"/>
        <v>46000</v>
      </c>
      <c r="I25" s="108">
        <f t="shared" si="5"/>
        <v>46000</v>
      </c>
      <c r="J25" s="108">
        <f t="shared" si="5"/>
        <v>46000</v>
      </c>
      <c r="K25" s="108">
        <f t="shared" si="5"/>
        <v>46000</v>
      </c>
      <c r="L25" s="108">
        <f t="shared" si="5"/>
        <v>60000</v>
      </c>
      <c r="M25" s="108">
        <f t="shared" si="5"/>
        <v>46000</v>
      </c>
      <c r="N25" s="108">
        <f t="shared" si="5"/>
        <v>46000</v>
      </c>
      <c r="O25" s="108">
        <f t="shared" si="5"/>
        <v>46000</v>
      </c>
      <c r="P25" s="108">
        <f t="shared" si="5"/>
        <v>46000</v>
      </c>
      <c r="Q25" s="108">
        <f t="shared" ref="Q25:Q33" si="6">D25-SUM(F25:P25)</f>
        <v>40000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5000</v>
      </c>
      <c r="E30" s="37" t="s">
        <v>525</v>
      </c>
      <c r="F30" s="37">
        <f t="shared" si="8"/>
        <v>417</v>
      </c>
      <c r="G30" s="37">
        <f t="shared" si="8"/>
        <v>417</v>
      </c>
      <c r="H30" s="37">
        <f t="shared" si="8"/>
        <v>417</v>
      </c>
      <c r="I30" s="37">
        <f t="shared" si="8"/>
        <v>417</v>
      </c>
      <c r="J30" s="37">
        <f t="shared" si="8"/>
        <v>417</v>
      </c>
      <c r="K30" s="37">
        <f t="shared" si="8"/>
        <v>417</v>
      </c>
      <c r="L30" s="37">
        <f t="shared" si="8"/>
        <v>417</v>
      </c>
      <c r="M30" s="37">
        <f t="shared" si="8"/>
        <v>417</v>
      </c>
      <c r="N30" s="37">
        <f t="shared" si="8"/>
        <v>417</v>
      </c>
      <c r="O30" s="37">
        <f t="shared" si="8"/>
        <v>417</v>
      </c>
      <c r="P30" s="37">
        <f t="shared" si="8"/>
        <v>417</v>
      </c>
      <c r="Q30" s="37">
        <f t="shared" si="6"/>
        <v>413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2000</v>
      </c>
      <c r="E31" s="37" t="s">
        <v>525</v>
      </c>
      <c r="F31" s="37">
        <f t="shared" si="8"/>
        <v>167</v>
      </c>
      <c r="G31" s="37">
        <f t="shared" si="8"/>
        <v>167</v>
      </c>
      <c r="H31" s="37">
        <f t="shared" si="8"/>
        <v>167</v>
      </c>
      <c r="I31" s="37">
        <f t="shared" si="8"/>
        <v>167</v>
      </c>
      <c r="J31" s="37">
        <f t="shared" si="8"/>
        <v>167</v>
      </c>
      <c r="K31" s="37">
        <f t="shared" si="8"/>
        <v>167</v>
      </c>
      <c r="L31" s="37">
        <f t="shared" si="8"/>
        <v>167</v>
      </c>
      <c r="M31" s="37">
        <f t="shared" si="8"/>
        <v>167</v>
      </c>
      <c r="N31" s="37">
        <f t="shared" si="8"/>
        <v>167</v>
      </c>
      <c r="O31" s="37">
        <f t="shared" si="8"/>
        <v>167</v>
      </c>
      <c r="P31" s="37">
        <f t="shared" si="8"/>
        <v>167</v>
      </c>
      <c r="Q31" s="37">
        <f t="shared" si="6"/>
        <v>163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273000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20000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847000</v>
      </c>
      <c r="E48" s="37"/>
      <c r="F48" s="115">
        <f>F25+F37+F45+F47</f>
        <v>83000</v>
      </c>
      <c r="G48" s="115">
        <f t="shared" ref="G48:R48" si="14">G25+G37+G45+G47</f>
        <v>69000</v>
      </c>
      <c r="H48" s="115">
        <f t="shared" si="14"/>
        <v>69000</v>
      </c>
      <c r="I48" s="115">
        <f t="shared" si="14"/>
        <v>69000</v>
      </c>
      <c r="J48" s="115">
        <f t="shared" si="14"/>
        <v>69000</v>
      </c>
      <c r="K48" s="115">
        <f t="shared" si="14"/>
        <v>69000</v>
      </c>
      <c r="L48" s="115">
        <f t="shared" si="14"/>
        <v>83000</v>
      </c>
      <c r="M48" s="115">
        <f t="shared" si="14"/>
        <v>69000</v>
      </c>
      <c r="N48" s="115">
        <f t="shared" si="14"/>
        <v>69000</v>
      </c>
      <c r="O48" s="115">
        <f t="shared" si="14"/>
        <v>69000</v>
      </c>
      <c r="P48" s="115">
        <f t="shared" si="14"/>
        <v>69000</v>
      </c>
      <c r="Q48" s="115">
        <f t="shared" si="14"/>
        <v>60000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10323000</v>
      </c>
      <c r="E49" s="114" t="s">
        <v>202</v>
      </c>
      <c r="F49" s="37">
        <f>ROUND($D49/12*3,-3)</f>
        <v>2581000</v>
      </c>
      <c r="G49" s="37">
        <f>ROUND($D49/12,-3)</f>
        <v>860000</v>
      </c>
      <c r="H49" s="37">
        <f t="shared" ref="H49:N53" si="15">ROUND($D49/12,-3)</f>
        <v>860000</v>
      </c>
      <c r="I49" s="37">
        <f t="shared" si="15"/>
        <v>860000</v>
      </c>
      <c r="J49" s="37">
        <f t="shared" si="15"/>
        <v>860000</v>
      </c>
      <c r="K49" s="37">
        <f t="shared" si="15"/>
        <v>860000</v>
      </c>
      <c r="L49" s="37">
        <f t="shared" si="15"/>
        <v>860000</v>
      </c>
      <c r="M49" s="37">
        <f t="shared" si="15"/>
        <v>860000</v>
      </c>
      <c r="N49" s="37">
        <f t="shared" si="15"/>
        <v>860000</v>
      </c>
      <c r="O49" s="37">
        <f>D49-SUM(F49:N49)</f>
        <v>862000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738000</v>
      </c>
      <c r="E51" s="114" t="s">
        <v>202</v>
      </c>
      <c r="F51" s="37">
        <f t="shared" si="16"/>
        <v>185000</v>
      </c>
      <c r="G51" s="37">
        <f t="shared" si="17"/>
        <v>62000</v>
      </c>
      <c r="H51" s="37">
        <f t="shared" si="15"/>
        <v>62000</v>
      </c>
      <c r="I51" s="37">
        <f t="shared" si="15"/>
        <v>62000</v>
      </c>
      <c r="J51" s="37">
        <f t="shared" si="15"/>
        <v>62000</v>
      </c>
      <c r="K51" s="37">
        <f t="shared" si="15"/>
        <v>62000</v>
      </c>
      <c r="L51" s="37">
        <f t="shared" si="15"/>
        <v>62000</v>
      </c>
      <c r="M51" s="37">
        <f t="shared" si="15"/>
        <v>62000</v>
      </c>
      <c r="N51" s="37">
        <f t="shared" si="15"/>
        <v>62000</v>
      </c>
      <c r="O51" s="37">
        <f t="shared" si="18"/>
        <v>57000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290000</v>
      </c>
      <c r="E60" s="37" t="s">
        <v>195</v>
      </c>
      <c r="F60" s="37">
        <f>D60</f>
        <v>290000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964000</v>
      </c>
      <c r="E62" s="37" t="s">
        <v>197</v>
      </c>
      <c r="F62" s="37"/>
      <c r="G62" s="37"/>
      <c r="H62" s="37"/>
      <c r="I62" s="37">
        <f>ROUND($D62/5,-3)</f>
        <v>193000</v>
      </c>
      <c r="J62" s="37"/>
      <c r="K62" s="37"/>
      <c r="L62" s="37"/>
      <c r="M62" s="37"/>
      <c r="N62" s="37">
        <f>D62-I62</f>
        <v>771000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1260000</v>
      </c>
      <c r="E63" s="37" t="s">
        <v>195</v>
      </c>
      <c r="F63" s="37">
        <f>D63</f>
        <v>1260000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1009000</v>
      </c>
      <c r="E64" s="114" t="s">
        <v>202</v>
      </c>
      <c r="F64" s="37">
        <f>ROUND($D64/12*3,-3)</f>
        <v>252000</v>
      </c>
      <c r="G64" s="37">
        <f>ROUND($D64/12,-3)</f>
        <v>84000</v>
      </c>
      <c r="H64" s="37">
        <f t="shared" ref="H64:N66" si="21">ROUND($D64/12,-3)</f>
        <v>84000</v>
      </c>
      <c r="I64" s="37">
        <f t="shared" si="21"/>
        <v>84000</v>
      </c>
      <c r="J64" s="37">
        <f t="shared" si="21"/>
        <v>84000</v>
      </c>
      <c r="K64" s="37">
        <f t="shared" si="21"/>
        <v>84000</v>
      </c>
      <c r="L64" s="37">
        <f t="shared" si="21"/>
        <v>84000</v>
      </c>
      <c r="M64" s="37">
        <f t="shared" si="21"/>
        <v>84000</v>
      </c>
      <c r="N64" s="37">
        <f t="shared" si="21"/>
        <v>84000</v>
      </c>
      <c r="O64" s="37">
        <f>D64-SUM(F64:N64)</f>
        <v>85000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225000</v>
      </c>
      <c r="E65" s="114" t="s">
        <v>202</v>
      </c>
      <c r="F65" s="37">
        <f t="shared" ref="F65:F66" si="22">ROUND($D65/12*3,-3)</f>
        <v>56000</v>
      </c>
      <c r="G65" s="37">
        <f t="shared" ref="G65:G66" si="23">ROUND($D65/12,-3)</f>
        <v>19000</v>
      </c>
      <c r="H65" s="37">
        <f t="shared" si="21"/>
        <v>19000</v>
      </c>
      <c r="I65" s="37">
        <f t="shared" si="21"/>
        <v>19000</v>
      </c>
      <c r="J65" s="37">
        <f t="shared" si="21"/>
        <v>19000</v>
      </c>
      <c r="K65" s="37">
        <f t="shared" si="21"/>
        <v>19000</v>
      </c>
      <c r="L65" s="37">
        <f t="shared" si="21"/>
        <v>19000</v>
      </c>
      <c r="M65" s="37">
        <f t="shared" si="21"/>
        <v>19000</v>
      </c>
      <c r="N65" s="37">
        <f t="shared" si="21"/>
        <v>19000</v>
      </c>
      <c r="O65" s="37">
        <f t="shared" ref="O65:O66" si="24">D65-SUM(F65:N65)</f>
        <v>17000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781000</v>
      </c>
      <c r="E66" s="114" t="s">
        <v>202</v>
      </c>
      <c r="F66" s="37">
        <f t="shared" si="22"/>
        <v>195000</v>
      </c>
      <c r="G66" s="37">
        <f t="shared" si="23"/>
        <v>65000</v>
      </c>
      <c r="H66" s="37">
        <f t="shared" si="21"/>
        <v>65000</v>
      </c>
      <c r="I66" s="37">
        <f t="shared" si="21"/>
        <v>65000</v>
      </c>
      <c r="J66" s="37">
        <f t="shared" si="21"/>
        <v>65000</v>
      </c>
      <c r="K66" s="37">
        <f t="shared" si="21"/>
        <v>65000</v>
      </c>
      <c r="L66" s="37">
        <f t="shared" si="21"/>
        <v>65000</v>
      </c>
      <c r="M66" s="37">
        <f t="shared" si="21"/>
        <v>65000</v>
      </c>
      <c r="N66" s="37">
        <f t="shared" si="21"/>
        <v>65000</v>
      </c>
      <c r="O66" s="37">
        <f t="shared" si="24"/>
        <v>66000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9000</v>
      </c>
      <c r="E67" s="37" t="s">
        <v>196</v>
      </c>
      <c r="F67" s="37"/>
      <c r="G67" s="37"/>
      <c r="H67" s="37">
        <f>D67</f>
        <v>9000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112000</v>
      </c>
      <c r="E68" s="37" t="s">
        <v>195</v>
      </c>
      <c r="F68" s="37">
        <f>D68</f>
        <v>112000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16031000</v>
      </c>
      <c r="E70" s="108"/>
      <c r="F70" s="108">
        <f t="shared" ref="F70:P70" si="25">ROUND(SUM(F49:F69),-3)</f>
        <v>5002000</v>
      </c>
      <c r="G70" s="108">
        <f t="shared" si="25"/>
        <v>1117000</v>
      </c>
      <c r="H70" s="108">
        <f t="shared" si="25"/>
        <v>1126000</v>
      </c>
      <c r="I70" s="108">
        <f t="shared" si="25"/>
        <v>1310000</v>
      </c>
      <c r="J70" s="108">
        <f t="shared" si="25"/>
        <v>1117000</v>
      </c>
      <c r="K70" s="108">
        <f t="shared" si="25"/>
        <v>1117000</v>
      </c>
      <c r="L70" s="108">
        <f t="shared" si="25"/>
        <v>1117000</v>
      </c>
      <c r="M70" s="108">
        <f t="shared" si="25"/>
        <v>1117000</v>
      </c>
      <c r="N70" s="108">
        <f t="shared" si="25"/>
        <v>1888000</v>
      </c>
      <c r="O70" s="108">
        <f t="shared" si="25"/>
        <v>1115000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1704000</v>
      </c>
      <c r="E72" s="114" t="s">
        <v>202</v>
      </c>
      <c r="F72" s="37">
        <f>ROUND($D72/12*3,-3)</f>
        <v>426000</v>
      </c>
      <c r="G72" s="37">
        <f>ROUND($D72/12,-3)</f>
        <v>142000</v>
      </c>
      <c r="H72" s="37">
        <f t="shared" ref="H72:N75" si="26">ROUND($D72/12,-3)</f>
        <v>142000</v>
      </c>
      <c r="I72" s="37">
        <f t="shared" si="26"/>
        <v>142000</v>
      </c>
      <c r="J72" s="37">
        <f t="shared" si="26"/>
        <v>142000</v>
      </c>
      <c r="K72" s="37">
        <f t="shared" si="26"/>
        <v>142000</v>
      </c>
      <c r="L72" s="37">
        <f t="shared" si="26"/>
        <v>142000</v>
      </c>
      <c r="M72" s="37">
        <f t="shared" si="26"/>
        <v>142000</v>
      </c>
      <c r="N72" s="37">
        <f t="shared" si="26"/>
        <v>142000</v>
      </c>
      <c r="O72" s="37">
        <f>D72-SUM(F72:N72)</f>
        <v>142000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1704000</v>
      </c>
      <c r="E76" s="108"/>
      <c r="F76" s="108">
        <f>ROUND(SUM(F71:F75),-3)</f>
        <v>426000</v>
      </c>
      <c r="G76" s="108">
        <f t="shared" ref="G76:N76" si="27">ROUND(SUM(G71:G75),-3)</f>
        <v>142000</v>
      </c>
      <c r="H76" s="108">
        <f t="shared" si="27"/>
        <v>142000</v>
      </c>
      <c r="I76" s="108">
        <f t="shared" si="27"/>
        <v>142000</v>
      </c>
      <c r="J76" s="108">
        <f t="shared" si="27"/>
        <v>142000</v>
      </c>
      <c r="K76" s="108">
        <f t="shared" si="27"/>
        <v>142000</v>
      </c>
      <c r="L76" s="108">
        <f t="shared" si="27"/>
        <v>142000</v>
      </c>
      <c r="M76" s="108">
        <f t="shared" si="27"/>
        <v>142000</v>
      </c>
      <c r="N76" s="108">
        <f t="shared" si="27"/>
        <v>142000</v>
      </c>
      <c r="O76" s="108">
        <f>D76-SUM(F76:N76)</f>
        <v>142000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17000</v>
      </c>
      <c r="E77" s="37" t="s">
        <v>681</v>
      </c>
      <c r="F77" s="224"/>
      <c r="G77" s="224"/>
      <c r="H77" s="224">
        <f>ROUND($D77/2,-3)</f>
        <v>9000</v>
      </c>
      <c r="I77" s="224"/>
      <c r="J77" s="224"/>
      <c r="K77" s="224"/>
      <c r="L77" s="224"/>
      <c r="M77" s="224"/>
      <c r="N77" s="224">
        <f>D77-H77</f>
        <v>8000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17752000</v>
      </c>
      <c r="E78" s="227"/>
      <c r="F78" s="227">
        <f>F76+F70+F77</f>
        <v>5428000</v>
      </c>
      <c r="G78" s="227">
        <f t="shared" ref="G78:Q78" si="29">G76+G70+G77</f>
        <v>1259000</v>
      </c>
      <c r="H78" s="227">
        <f t="shared" si="29"/>
        <v>1277000</v>
      </c>
      <c r="I78" s="227">
        <f t="shared" si="29"/>
        <v>1452000</v>
      </c>
      <c r="J78" s="227">
        <f t="shared" si="29"/>
        <v>1259000</v>
      </c>
      <c r="K78" s="227">
        <f t="shared" si="29"/>
        <v>1259000</v>
      </c>
      <c r="L78" s="227">
        <f t="shared" si="29"/>
        <v>1259000</v>
      </c>
      <c r="M78" s="227">
        <f t="shared" si="29"/>
        <v>1259000</v>
      </c>
      <c r="N78" s="227">
        <f t="shared" si="29"/>
        <v>2038000</v>
      </c>
      <c r="O78" s="227">
        <f t="shared" si="29"/>
        <v>1257000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18599000</v>
      </c>
      <c r="E87" s="37"/>
      <c r="F87" s="37">
        <f>F88+F89+F90+F91</f>
        <v>5511000</v>
      </c>
      <c r="G87" s="37">
        <f t="shared" ref="G87:Q87" si="32">G88+G89+G90+G91</f>
        <v>1328000</v>
      </c>
      <c r="H87" s="37">
        <f t="shared" si="32"/>
        <v>1346000</v>
      </c>
      <c r="I87" s="37">
        <f t="shared" si="32"/>
        <v>1521000</v>
      </c>
      <c r="J87" s="37">
        <f t="shared" si="32"/>
        <v>1328000</v>
      </c>
      <c r="K87" s="37">
        <f t="shared" si="32"/>
        <v>1328000</v>
      </c>
      <c r="L87" s="37">
        <f t="shared" si="32"/>
        <v>1342000</v>
      </c>
      <c r="M87" s="37">
        <f t="shared" si="32"/>
        <v>1328000</v>
      </c>
      <c r="N87" s="37">
        <f t="shared" si="32"/>
        <v>2107000</v>
      </c>
      <c r="O87" s="37">
        <f t="shared" si="32"/>
        <v>1326000</v>
      </c>
      <c r="P87" s="37">
        <f t="shared" si="32"/>
        <v>74000</v>
      </c>
      <c r="Q87" s="37">
        <f t="shared" si="32"/>
        <v>60000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0</v>
      </c>
      <c r="E88" s="108" t="s">
        <v>193</v>
      </c>
      <c r="F88" s="108">
        <f>ROUND($D88/2,-3)</f>
        <v>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18598000</v>
      </c>
      <c r="E91" s="108"/>
      <c r="F91" s="108">
        <f>F92+F93+F94+F95</f>
        <v>5511000</v>
      </c>
      <c r="G91" s="108">
        <f t="shared" ref="G91:Q91" si="34">G92+G93+G94+G95</f>
        <v>1328000</v>
      </c>
      <c r="H91" s="108">
        <f t="shared" si="34"/>
        <v>1346000</v>
      </c>
      <c r="I91" s="108">
        <f t="shared" si="34"/>
        <v>1521000</v>
      </c>
      <c r="J91" s="108">
        <f t="shared" si="34"/>
        <v>1328000</v>
      </c>
      <c r="K91" s="108">
        <f t="shared" si="34"/>
        <v>1328000</v>
      </c>
      <c r="L91" s="108">
        <f t="shared" si="34"/>
        <v>1342000</v>
      </c>
      <c r="M91" s="108">
        <f t="shared" si="34"/>
        <v>1328000</v>
      </c>
      <c r="N91" s="108">
        <f t="shared" si="34"/>
        <v>2107000</v>
      </c>
      <c r="O91" s="108">
        <f t="shared" si="34"/>
        <v>1326000</v>
      </c>
      <c r="P91" s="108">
        <f t="shared" si="34"/>
        <v>74000</v>
      </c>
      <c r="Q91" s="108">
        <f t="shared" si="34"/>
        <v>59000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2354000</v>
      </c>
      <c r="E92" s="114" t="s">
        <v>537</v>
      </c>
      <c r="F92" s="37">
        <f>ROUND($D92/12*5,-3)</f>
        <v>981000</v>
      </c>
      <c r="G92" s="37">
        <f>ROUND($D92/12,-3)</f>
        <v>196000</v>
      </c>
      <c r="H92" s="37">
        <f t="shared" ref="H92:L92" si="35">ROUND($D92/12,-3)</f>
        <v>196000</v>
      </c>
      <c r="I92" s="37">
        <f t="shared" si="35"/>
        <v>196000</v>
      </c>
      <c r="J92" s="37">
        <f t="shared" si="35"/>
        <v>196000</v>
      </c>
      <c r="K92" s="37">
        <f t="shared" si="35"/>
        <v>196000</v>
      </c>
      <c r="L92" s="37">
        <f t="shared" si="35"/>
        <v>196000</v>
      </c>
      <c r="M92" s="37">
        <f>D92-SUM(F92:L92)</f>
        <v>197000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16154000</v>
      </c>
      <c r="E95" s="37"/>
      <c r="F95" s="37">
        <f>F2+F86-F88-F89-F90-F92-F93-F94</f>
        <v>4522000</v>
      </c>
      <c r="G95" s="37">
        <f t="shared" ref="G95:Q95" si="37">G2-G88-G89-G90-G92-G93-G94</f>
        <v>1124000</v>
      </c>
      <c r="H95" s="37">
        <f t="shared" si="37"/>
        <v>1142000</v>
      </c>
      <c r="I95" s="37">
        <f t="shared" si="37"/>
        <v>1317000</v>
      </c>
      <c r="J95" s="37">
        <f t="shared" si="37"/>
        <v>1124000</v>
      </c>
      <c r="K95" s="37">
        <f t="shared" si="37"/>
        <v>1124000</v>
      </c>
      <c r="L95" s="37">
        <f t="shared" si="37"/>
        <v>1138000</v>
      </c>
      <c r="M95" s="37">
        <f t="shared" si="37"/>
        <v>1123000</v>
      </c>
      <c r="N95" s="37">
        <f t="shared" si="37"/>
        <v>2099000</v>
      </c>
      <c r="O95" s="37">
        <f t="shared" si="37"/>
        <v>1318000</v>
      </c>
      <c r="P95" s="37">
        <f t="shared" si="37"/>
        <v>66000</v>
      </c>
      <c r="Q95" s="37">
        <f t="shared" si="37"/>
        <v>57000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700000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1004000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16154000</v>
      </c>
    </row>
    <row r="108" spans="2:17" ht="16.5" customHeight="1"/>
    <row r="109" spans="2:17" ht="16.5" customHeight="1">
      <c r="B109" s="4" t="s">
        <v>682</v>
      </c>
      <c r="D109" s="30">
        <f>D91-D76</f>
        <v>16894000</v>
      </c>
      <c r="F109" s="30">
        <f>F91-F76</f>
        <v>5085000</v>
      </c>
      <c r="G109" s="30">
        <f t="shared" ref="G109:Q109" si="38">G91-G76</f>
        <v>1186000</v>
      </c>
      <c r="H109" s="30">
        <f t="shared" si="38"/>
        <v>1204000</v>
      </c>
      <c r="I109" s="30">
        <f t="shared" si="38"/>
        <v>1379000</v>
      </c>
      <c r="J109" s="30">
        <f t="shared" si="38"/>
        <v>1186000</v>
      </c>
      <c r="K109" s="30">
        <f t="shared" si="38"/>
        <v>1186000</v>
      </c>
      <c r="L109" s="30">
        <f t="shared" si="38"/>
        <v>1200000</v>
      </c>
      <c r="M109" s="30">
        <f t="shared" si="38"/>
        <v>1186000</v>
      </c>
      <c r="N109" s="30">
        <f t="shared" si="38"/>
        <v>1965000</v>
      </c>
      <c r="O109" s="30">
        <f t="shared" si="38"/>
        <v>1184000</v>
      </c>
      <c r="P109" s="30">
        <f t="shared" si="38"/>
        <v>74000</v>
      </c>
      <c r="Q109" s="30">
        <f t="shared" si="38"/>
        <v>59000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68" priority="1" operator="lessThan">
      <formula>0</formula>
    </cfRule>
  </conditionalFormatting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topLeftCell="A103"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674</v>
      </c>
      <c r="D1" s="28" t="str">
        <f>VLOOKUP(C1,[1]學校編號!A:B,2,FALSE)</f>
        <v>674東竹國小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20181000</v>
      </c>
      <c r="E2" s="37"/>
      <c r="F2" s="37">
        <f>F48+F70+F76+F77+F83</f>
        <v>6032000</v>
      </c>
      <c r="G2" s="37">
        <f t="shared" ref="G2:Q2" si="0">G48+G70+G76+G77+G83</f>
        <v>1436000</v>
      </c>
      <c r="H2" s="37">
        <f t="shared" si="0"/>
        <v>1477000</v>
      </c>
      <c r="I2" s="37">
        <f t="shared" si="0"/>
        <v>1633000</v>
      </c>
      <c r="J2" s="37">
        <f t="shared" si="0"/>
        <v>1443000</v>
      </c>
      <c r="K2" s="37">
        <f t="shared" si="0"/>
        <v>1449000</v>
      </c>
      <c r="L2" s="37">
        <f t="shared" si="0"/>
        <v>1461000</v>
      </c>
      <c r="M2" s="37">
        <f t="shared" si="0"/>
        <v>1443000</v>
      </c>
      <c r="N2" s="37">
        <f t="shared" si="0"/>
        <v>2210000</v>
      </c>
      <c r="O2" s="37">
        <f t="shared" si="0"/>
        <v>1435000</v>
      </c>
      <c r="P2" s="37">
        <f t="shared" si="0"/>
        <v>84000</v>
      </c>
      <c r="Q2" s="37">
        <f t="shared" si="0"/>
        <v>78000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153000</v>
      </c>
      <c r="E3" s="37" t="s">
        <v>525</v>
      </c>
      <c r="F3" s="37">
        <f t="shared" ref="F3:P17" si="1">ROUND($D3/12,0)</f>
        <v>12750</v>
      </c>
      <c r="G3" s="37">
        <f t="shared" si="1"/>
        <v>12750</v>
      </c>
      <c r="H3" s="37">
        <f t="shared" si="1"/>
        <v>12750</v>
      </c>
      <c r="I3" s="37">
        <f t="shared" si="1"/>
        <v>12750</v>
      </c>
      <c r="J3" s="37">
        <f t="shared" si="1"/>
        <v>12750</v>
      </c>
      <c r="K3" s="37">
        <f t="shared" si="1"/>
        <v>12750</v>
      </c>
      <c r="L3" s="37">
        <f t="shared" si="1"/>
        <v>12750</v>
      </c>
      <c r="M3" s="37">
        <f t="shared" si="1"/>
        <v>12750</v>
      </c>
      <c r="N3" s="37">
        <f t="shared" si="1"/>
        <v>12750</v>
      </c>
      <c r="O3" s="37">
        <f t="shared" si="1"/>
        <v>12750</v>
      </c>
      <c r="P3" s="37">
        <f t="shared" si="1"/>
        <v>12750</v>
      </c>
      <c r="Q3" s="37">
        <f t="shared" ref="Q3:Q10" si="2">D3-SUM(F3:P3)</f>
        <v>12750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66000</v>
      </c>
      <c r="E4" s="37" t="s">
        <v>525</v>
      </c>
      <c r="F4" s="37">
        <f t="shared" si="1"/>
        <v>5500</v>
      </c>
      <c r="G4" s="37">
        <f t="shared" si="1"/>
        <v>5500</v>
      </c>
      <c r="H4" s="37">
        <f t="shared" si="1"/>
        <v>5500</v>
      </c>
      <c r="I4" s="37">
        <f t="shared" si="1"/>
        <v>5500</v>
      </c>
      <c r="J4" s="37">
        <f t="shared" si="1"/>
        <v>5500</v>
      </c>
      <c r="K4" s="37">
        <f t="shared" si="1"/>
        <v>5500</v>
      </c>
      <c r="L4" s="37">
        <f t="shared" si="1"/>
        <v>5500</v>
      </c>
      <c r="M4" s="37">
        <f t="shared" si="1"/>
        <v>5500</v>
      </c>
      <c r="N4" s="37">
        <f t="shared" si="1"/>
        <v>5500</v>
      </c>
      <c r="O4" s="37">
        <f t="shared" si="1"/>
        <v>5500</v>
      </c>
      <c r="P4" s="37">
        <f t="shared" si="1"/>
        <v>5500</v>
      </c>
      <c r="Q4" s="37">
        <f t="shared" si="2"/>
        <v>5500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26000</v>
      </c>
      <c r="E10" s="37" t="s">
        <v>525</v>
      </c>
      <c r="F10" s="37">
        <f t="shared" si="1"/>
        <v>2167</v>
      </c>
      <c r="G10" s="37">
        <f t="shared" si="1"/>
        <v>2167</v>
      </c>
      <c r="H10" s="37">
        <f t="shared" si="1"/>
        <v>2167</v>
      </c>
      <c r="I10" s="37">
        <f t="shared" si="1"/>
        <v>2167</v>
      </c>
      <c r="J10" s="37">
        <f t="shared" si="1"/>
        <v>2167</v>
      </c>
      <c r="K10" s="37">
        <f t="shared" si="1"/>
        <v>2167</v>
      </c>
      <c r="L10" s="37">
        <f t="shared" si="1"/>
        <v>2167</v>
      </c>
      <c r="M10" s="37">
        <f t="shared" si="1"/>
        <v>2167</v>
      </c>
      <c r="N10" s="37">
        <f t="shared" si="1"/>
        <v>2167</v>
      </c>
      <c r="O10" s="37">
        <f t="shared" si="1"/>
        <v>2167</v>
      </c>
      <c r="P10" s="37">
        <f t="shared" si="1"/>
        <v>2167</v>
      </c>
      <c r="Q10" s="37">
        <f t="shared" si="2"/>
        <v>2163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23000</v>
      </c>
      <c r="E11" s="37" t="s">
        <v>195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515000</v>
      </c>
      <c r="E12" s="113" t="s">
        <v>202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42000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24000</v>
      </c>
      <c r="E13" s="37" t="s">
        <v>525</v>
      </c>
      <c r="F13" s="37">
        <f>ROUND($D13/12,0)</f>
        <v>2000</v>
      </c>
      <c r="G13" s="37">
        <f t="shared" si="1"/>
        <v>2000</v>
      </c>
      <c r="H13" s="37">
        <f t="shared" si="1"/>
        <v>2000</v>
      </c>
      <c r="I13" s="37">
        <f t="shared" si="1"/>
        <v>2000</v>
      </c>
      <c r="J13" s="37">
        <f t="shared" si="1"/>
        <v>2000</v>
      </c>
      <c r="K13" s="37">
        <f t="shared" si="1"/>
        <v>2000</v>
      </c>
      <c r="L13" s="37">
        <f t="shared" si="1"/>
        <v>2000</v>
      </c>
      <c r="M13" s="37">
        <f t="shared" si="1"/>
        <v>2000</v>
      </c>
      <c r="N13" s="37">
        <f t="shared" si="1"/>
        <v>2000</v>
      </c>
      <c r="O13" s="37">
        <f t="shared" si="1"/>
        <v>2000</v>
      </c>
      <c r="P13" s="37">
        <f t="shared" si="1"/>
        <v>2000</v>
      </c>
      <c r="Q13" s="37">
        <f>D13-SUM(F13:P13)</f>
        <v>2000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80000</v>
      </c>
      <c r="E14" s="37" t="s">
        <v>525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34000</v>
      </c>
      <c r="E15" s="37" t="s">
        <v>193</v>
      </c>
      <c r="F15" s="37">
        <f>ROUND($D15/2,-3)</f>
        <v>17000</v>
      </c>
      <c r="G15" s="37"/>
      <c r="H15" s="37"/>
      <c r="I15" s="37"/>
      <c r="J15" s="37"/>
      <c r="K15" s="37"/>
      <c r="L15" s="37">
        <f>D15-F15</f>
        <v>17000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140000</v>
      </c>
      <c r="E16" s="37" t="s">
        <v>525</v>
      </c>
      <c r="F16" s="37">
        <f>ROUND($D16/12,0)</f>
        <v>11667</v>
      </c>
      <c r="G16" s="37">
        <f t="shared" si="1"/>
        <v>11667</v>
      </c>
      <c r="H16" s="37">
        <f t="shared" si="1"/>
        <v>11667</v>
      </c>
      <c r="I16" s="37">
        <f t="shared" si="1"/>
        <v>11667</v>
      </c>
      <c r="J16" s="37">
        <f t="shared" si="1"/>
        <v>11667</v>
      </c>
      <c r="K16" s="37">
        <f t="shared" si="1"/>
        <v>11667</v>
      </c>
      <c r="L16" s="37">
        <f t="shared" si="1"/>
        <v>11667</v>
      </c>
      <c r="M16" s="37">
        <f t="shared" si="1"/>
        <v>11667</v>
      </c>
      <c r="N16" s="37">
        <f t="shared" si="1"/>
        <v>11667</v>
      </c>
      <c r="O16" s="37">
        <f t="shared" si="1"/>
        <v>11667</v>
      </c>
      <c r="P16" s="37">
        <f t="shared" si="1"/>
        <v>11667</v>
      </c>
      <c r="Q16" s="37">
        <f>D16-SUM(F16:P16)</f>
        <v>11663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44000</v>
      </c>
      <c r="E17" s="37" t="s">
        <v>525</v>
      </c>
      <c r="F17" s="37">
        <f>ROUND($D17/12,0)</f>
        <v>3667</v>
      </c>
      <c r="G17" s="37">
        <f t="shared" si="1"/>
        <v>3667</v>
      </c>
      <c r="H17" s="37">
        <f t="shared" si="1"/>
        <v>3667</v>
      </c>
      <c r="I17" s="37">
        <f t="shared" si="1"/>
        <v>3667</v>
      </c>
      <c r="J17" s="37">
        <f t="shared" si="1"/>
        <v>3667</v>
      </c>
      <c r="K17" s="37">
        <f t="shared" si="1"/>
        <v>3667</v>
      </c>
      <c r="L17" s="37">
        <f t="shared" si="1"/>
        <v>3667</v>
      </c>
      <c r="M17" s="37">
        <f t="shared" si="1"/>
        <v>3667</v>
      </c>
      <c r="N17" s="37">
        <f t="shared" si="1"/>
        <v>3667</v>
      </c>
      <c r="O17" s="37">
        <f t="shared" si="1"/>
        <v>3667</v>
      </c>
      <c r="P17" s="37">
        <f t="shared" si="1"/>
        <v>3667</v>
      </c>
      <c r="Q17" s="37">
        <f>D17-SUM(F17:P17)</f>
        <v>3663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6000</v>
      </c>
      <c r="E24" s="37" t="s">
        <v>193</v>
      </c>
      <c r="F24" s="37">
        <f>ROUND($D24/2,-3)</f>
        <v>3000</v>
      </c>
      <c r="G24" s="37"/>
      <c r="H24" s="37"/>
      <c r="I24" s="37"/>
      <c r="J24" s="37"/>
      <c r="K24" s="37"/>
      <c r="L24" s="37">
        <f>D24-F24</f>
        <v>3000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1175000</v>
      </c>
      <c r="E25" s="108"/>
      <c r="F25" s="108">
        <f>ROUND(SUM(F3:F24),-3)</f>
        <v>222000</v>
      </c>
      <c r="G25" s="108">
        <f t="shared" ref="G25:P25" si="5">ROUND(SUM(G3:G24),-3)</f>
        <v>93000</v>
      </c>
      <c r="H25" s="108">
        <f t="shared" si="5"/>
        <v>93000</v>
      </c>
      <c r="I25" s="108">
        <f t="shared" si="5"/>
        <v>93000</v>
      </c>
      <c r="J25" s="108">
        <f t="shared" si="5"/>
        <v>93000</v>
      </c>
      <c r="K25" s="108">
        <f t="shared" si="5"/>
        <v>93000</v>
      </c>
      <c r="L25" s="108">
        <f t="shared" si="5"/>
        <v>113000</v>
      </c>
      <c r="M25" s="108">
        <f t="shared" si="5"/>
        <v>93000</v>
      </c>
      <c r="N25" s="108">
        <f t="shared" si="5"/>
        <v>93000</v>
      </c>
      <c r="O25" s="108">
        <f t="shared" si="5"/>
        <v>92000</v>
      </c>
      <c r="P25" s="108">
        <f t="shared" si="5"/>
        <v>50000</v>
      </c>
      <c r="Q25" s="108">
        <f t="shared" ref="Q25:Q33" si="6">D25-SUM(F25:P25)</f>
        <v>47000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66000</v>
      </c>
      <c r="E26" s="114" t="s">
        <v>204</v>
      </c>
      <c r="F26" s="37">
        <f>ROUND($D26/10,-3)</f>
        <v>7000</v>
      </c>
      <c r="G26" s="37"/>
      <c r="H26" s="37">
        <f>ROUND($D26/10,-3)</f>
        <v>7000</v>
      </c>
      <c r="I26" s="37">
        <f>ROUND($D26/10,-3)</f>
        <v>7000</v>
      </c>
      <c r="J26" s="37">
        <f>ROUND($D26/10,-3)</f>
        <v>7000</v>
      </c>
      <c r="K26" s="37">
        <f>ROUND($D26/10,-3)</f>
        <v>7000</v>
      </c>
      <c r="L26" s="37"/>
      <c r="M26" s="37">
        <f>ROUND($D26/10,-3)</f>
        <v>7000</v>
      </c>
      <c r="N26" s="37">
        <f>ROUND($D26/10,-3)</f>
        <v>7000</v>
      </c>
      <c r="O26" s="37">
        <f>ROUND($D26/10,-3)</f>
        <v>7000</v>
      </c>
      <c r="P26" s="37">
        <f>ROUND($D26/10,-3)</f>
        <v>7000</v>
      </c>
      <c r="Q26" s="37">
        <f t="shared" si="6"/>
        <v>3000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253000</v>
      </c>
      <c r="E27" s="37" t="s">
        <v>525</v>
      </c>
      <c r="F27" s="37">
        <f t="shared" ref="F27:P33" si="8">ROUND($D27/12,0)</f>
        <v>21083</v>
      </c>
      <c r="G27" s="37">
        <f t="shared" si="8"/>
        <v>21083</v>
      </c>
      <c r="H27" s="37">
        <f t="shared" si="8"/>
        <v>21083</v>
      </c>
      <c r="I27" s="37">
        <f t="shared" si="8"/>
        <v>21083</v>
      </c>
      <c r="J27" s="37">
        <f t="shared" si="8"/>
        <v>21083</v>
      </c>
      <c r="K27" s="37">
        <f t="shared" si="8"/>
        <v>21083</v>
      </c>
      <c r="L27" s="37">
        <f t="shared" si="8"/>
        <v>21083</v>
      </c>
      <c r="M27" s="37">
        <f t="shared" si="8"/>
        <v>21083</v>
      </c>
      <c r="N27" s="37">
        <f t="shared" si="8"/>
        <v>21083</v>
      </c>
      <c r="O27" s="37">
        <f t="shared" si="8"/>
        <v>21083</v>
      </c>
      <c r="P27" s="37">
        <f t="shared" si="8"/>
        <v>21083</v>
      </c>
      <c r="Q27" s="37">
        <f t="shared" si="6"/>
        <v>21087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21000</v>
      </c>
      <c r="E29" s="37" t="s">
        <v>525</v>
      </c>
      <c r="F29" s="37">
        <f t="shared" si="8"/>
        <v>1750</v>
      </c>
      <c r="G29" s="37">
        <f t="shared" si="8"/>
        <v>1750</v>
      </c>
      <c r="H29" s="37">
        <f t="shared" si="8"/>
        <v>1750</v>
      </c>
      <c r="I29" s="37">
        <f t="shared" si="8"/>
        <v>1750</v>
      </c>
      <c r="J29" s="37">
        <f t="shared" si="8"/>
        <v>1750</v>
      </c>
      <c r="K29" s="37">
        <f t="shared" si="8"/>
        <v>1750</v>
      </c>
      <c r="L29" s="37">
        <f t="shared" si="8"/>
        <v>1750</v>
      </c>
      <c r="M29" s="37">
        <f t="shared" si="8"/>
        <v>1750</v>
      </c>
      <c r="N29" s="37">
        <f t="shared" si="8"/>
        <v>1750</v>
      </c>
      <c r="O29" s="37">
        <f t="shared" si="8"/>
        <v>1750</v>
      </c>
      <c r="P29" s="37">
        <f t="shared" si="8"/>
        <v>1750</v>
      </c>
      <c r="Q29" s="37">
        <f t="shared" si="6"/>
        <v>1750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10000</v>
      </c>
      <c r="E30" s="37" t="s">
        <v>525</v>
      </c>
      <c r="F30" s="37">
        <f t="shared" si="8"/>
        <v>833</v>
      </c>
      <c r="G30" s="37">
        <f t="shared" si="8"/>
        <v>833</v>
      </c>
      <c r="H30" s="37">
        <f t="shared" si="8"/>
        <v>833</v>
      </c>
      <c r="I30" s="37">
        <f t="shared" si="8"/>
        <v>833</v>
      </c>
      <c r="J30" s="37">
        <f t="shared" si="8"/>
        <v>833</v>
      </c>
      <c r="K30" s="37">
        <f t="shared" si="8"/>
        <v>833</v>
      </c>
      <c r="L30" s="37">
        <f t="shared" si="8"/>
        <v>833</v>
      </c>
      <c r="M30" s="37">
        <f t="shared" si="8"/>
        <v>833</v>
      </c>
      <c r="N30" s="37">
        <f t="shared" si="8"/>
        <v>833</v>
      </c>
      <c r="O30" s="37">
        <f t="shared" si="8"/>
        <v>833</v>
      </c>
      <c r="P30" s="37">
        <f t="shared" si="8"/>
        <v>833</v>
      </c>
      <c r="Q30" s="37">
        <f t="shared" si="6"/>
        <v>837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5000</v>
      </c>
      <c r="E31" s="37" t="s">
        <v>525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355000</v>
      </c>
      <c r="E37" s="108"/>
      <c r="F37" s="108">
        <f t="shared" ref="F37:P37" si="9">ROUND(SUM(F26:F36),-3)</f>
        <v>31000</v>
      </c>
      <c r="G37" s="108">
        <f t="shared" si="9"/>
        <v>24000</v>
      </c>
      <c r="H37" s="108">
        <f t="shared" si="9"/>
        <v>31000</v>
      </c>
      <c r="I37" s="108">
        <f t="shared" si="9"/>
        <v>31000</v>
      </c>
      <c r="J37" s="108">
        <f t="shared" si="9"/>
        <v>31000</v>
      </c>
      <c r="K37" s="108">
        <f t="shared" si="9"/>
        <v>31000</v>
      </c>
      <c r="L37" s="108">
        <f t="shared" si="9"/>
        <v>24000</v>
      </c>
      <c r="M37" s="108">
        <f t="shared" si="9"/>
        <v>31000</v>
      </c>
      <c r="N37" s="108">
        <f t="shared" si="9"/>
        <v>31000</v>
      </c>
      <c r="O37" s="108">
        <f t="shared" si="9"/>
        <v>31000</v>
      </c>
      <c r="P37" s="108">
        <f t="shared" si="9"/>
        <v>31000</v>
      </c>
      <c r="Q37" s="108">
        <f>D37-SUM(F37:P37)</f>
        <v>28000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4000</v>
      </c>
      <c r="E42" s="37" t="s">
        <v>199</v>
      </c>
      <c r="F42" s="37"/>
      <c r="G42" s="37"/>
      <c r="H42" s="37"/>
      <c r="I42" s="37">
        <f>D42</f>
        <v>4000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5000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10000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4000</v>
      </c>
      <c r="J45" s="108">
        <f t="shared" si="12"/>
        <v>0</v>
      </c>
      <c r="K45" s="108">
        <f t="shared" si="12"/>
        <v>0</v>
      </c>
      <c r="L45" s="108">
        <f t="shared" si="12"/>
        <v>5000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18000</v>
      </c>
      <c r="E46" s="37" t="s">
        <v>194</v>
      </c>
      <c r="F46" s="37">
        <f>ROUND($D46/3,0)</f>
        <v>6000</v>
      </c>
      <c r="G46" s="37"/>
      <c r="H46" s="37"/>
      <c r="I46" s="37"/>
      <c r="J46" s="37"/>
      <c r="K46" s="37">
        <f>ROUND($D46/3,0)</f>
        <v>6000</v>
      </c>
      <c r="L46" s="37"/>
      <c r="M46" s="37"/>
      <c r="N46" s="37">
        <f>ROUND($D46/3,0)</f>
        <v>6000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18000</v>
      </c>
      <c r="E47" s="108"/>
      <c r="F47" s="108">
        <f t="shared" ref="F47:P47" si="13">ROUND(SUM(F46),-3)</f>
        <v>6000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6000</v>
      </c>
      <c r="L47" s="108">
        <f t="shared" si="13"/>
        <v>0</v>
      </c>
      <c r="M47" s="108">
        <f t="shared" si="13"/>
        <v>0</v>
      </c>
      <c r="N47" s="108">
        <f t="shared" si="13"/>
        <v>6000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1558000</v>
      </c>
      <c r="E48" s="37"/>
      <c r="F48" s="115">
        <f>F25+F37+F45+F47</f>
        <v>260000</v>
      </c>
      <c r="G48" s="115">
        <f t="shared" ref="G48:R48" si="14">G25+G37+G45+G47</f>
        <v>117000</v>
      </c>
      <c r="H48" s="115">
        <f t="shared" si="14"/>
        <v>124000</v>
      </c>
      <c r="I48" s="115">
        <f t="shared" si="14"/>
        <v>128000</v>
      </c>
      <c r="J48" s="115">
        <f t="shared" si="14"/>
        <v>124000</v>
      </c>
      <c r="K48" s="115">
        <f t="shared" si="14"/>
        <v>130000</v>
      </c>
      <c r="L48" s="115">
        <f t="shared" si="14"/>
        <v>142000</v>
      </c>
      <c r="M48" s="115">
        <f t="shared" si="14"/>
        <v>124000</v>
      </c>
      <c r="N48" s="115">
        <f t="shared" si="14"/>
        <v>130000</v>
      </c>
      <c r="O48" s="115">
        <f t="shared" si="14"/>
        <v>123000</v>
      </c>
      <c r="P48" s="115">
        <f t="shared" si="14"/>
        <v>81000</v>
      </c>
      <c r="Q48" s="115">
        <f t="shared" si="14"/>
        <v>75000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11298000</v>
      </c>
      <c r="E49" s="114" t="s">
        <v>202</v>
      </c>
      <c r="F49" s="37">
        <f>ROUND($D49/12*3,-3)</f>
        <v>2825000</v>
      </c>
      <c r="G49" s="37">
        <f>ROUND($D49/12,-3)</f>
        <v>942000</v>
      </c>
      <c r="H49" s="37">
        <f t="shared" ref="H49:N53" si="15">ROUND($D49/12,-3)</f>
        <v>942000</v>
      </c>
      <c r="I49" s="37">
        <f t="shared" si="15"/>
        <v>942000</v>
      </c>
      <c r="J49" s="37">
        <f t="shared" si="15"/>
        <v>942000</v>
      </c>
      <c r="K49" s="37">
        <f t="shared" si="15"/>
        <v>942000</v>
      </c>
      <c r="L49" s="37">
        <f t="shared" si="15"/>
        <v>942000</v>
      </c>
      <c r="M49" s="37">
        <f t="shared" si="15"/>
        <v>942000</v>
      </c>
      <c r="N49" s="37">
        <f t="shared" si="15"/>
        <v>942000</v>
      </c>
      <c r="O49" s="37">
        <f>D49-SUM(F49:N49)</f>
        <v>937000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1413000</v>
      </c>
      <c r="E51" s="114" t="s">
        <v>202</v>
      </c>
      <c r="F51" s="37">
        <f t="shared" si="16"/>
        <v>353000</v>
      </c>
      <c r="G51" s="37">
        <f t="shared" si="17"/>
        <v>118000</v>
      </c>
      <c r="H51" s="37">
        <f t="shared" si="15"/>
        <v>118000</v>
      </c>
      <c r="I51" s="37">
        <f t="shared" si="15"/>
        <v>118000</v>
      </c>
      <c r="J51" s="37">
        <f t="shared" si="15"/>
        <v>118000</v>
      </c>
      <c r="K51" s="37">
        <f t="shared" si="15"/>
        <v>118000</v>
      </c>
      <c r="L51" s="37">
        <f t="shared" si="15"/>
        <v>118000</v>
      </c>
      <c r="M51" s="37">
        <f t="shared" si="15"/>
        <v>118000</v>
      </c>
      <c r="N51" s="37">
        <f t="shared" si="15"/>
        <v>118000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36000</v>
      </c>
      <c r="E54" s="37" t="s">
        <v>525</v>
      </c>
      <c r="F54" s="37">
        <f t="shared" ref="F54:P61" si="19">ROUND($D54/12,0)</f>
        <v>3000</v>
      </c>
      <c r="G54" s="37">
        <f t="shared" si="19"/>
        <v>3000</v>
      </c>
      <c r="H54" s="37">
        <f t="shared" si="19"/>
        <v>3000</v>
      </c>
      <c r="I54" s="37">
        <f t="shared" si="19"/>
        <v>3000</v>
      </c>
      <c r="J54" s="37">
        <f t="shared" si="19"/>
        <v>3000</v>
      </c>
      <c r="K54" s="37">
        <f t="shared" si="19"/>
        <v>3000</v>
      </c>
      <c r="L54" s="37">
        <f t="shared" si="19"/>
        <v>3000</v>
      </c>
      <c r="M54" s="37">
        <f t="shared" si="19"/>
        <v>3000</v>
      </c>
      <c r="N54" s="37">
        <f t="shared" si="19"/>
        <v>3000</v>
      </c>
      <c r="O54" s="37">
        <f t="shared" si="19"/>
        <v>3000</v>
      </c>
      <c r="P54" s="37">
        <f t="shared" si="19"/>
        <v>3000</v>
      </c>
      <c r="Q54" s="37">
        <f t="shared" ref="Q54:Q61" si="20">D54-SUM(F54:P54)</f>
        <v>3000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0</v>
      </c>
      <c r="E59" s="37" t="s">
        <v>525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304000</v>
      </c>
      <c r="E60" s="37" t="s">
        <v>195</v>
      </c>
      <c r="F60" s="37">
        <f>D60</f>
        <v>304000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932000</v>
      </c>
      <c r="E62" s="37" t="s">
        <v>197</v>
      </c>
      <c r="F62" s="37"/>
      <c r="G62" s="37"/>
      <c r="H62" s="37"/>
      <c r="I62" s="37">
        <f>ROUND($D62/5,-3)</f>
        <v>186000</v>
      </c>
      <c r="J62" s="37"/>
      <c r="K62" s="37"/>
      <c r="L62" s="37"/>
      <c r="M62" s="37"/>
      <c r="N62" s="37">
        <f>D62-I62</f>
        <v>746000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1395000</v>
      </c>
      <c r="E63" s="37" t="s">
        <v>195</v>
      </c>
      <c r="F63" s="37">
        <f>D63</f>
        <v>1395000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1096000</v>
      </c>
      <c r="E64" s="114" t="s">
        <v>202</v>
      </c>
      <c r="F64" s="37">
        <f>ROUND($D64/12*3,-3)</f>
        <v>274000</v>
      </c>
      <c r="G64" s="37">
        <f>ROUND($D64/12,-3)</f>
        <v>91000</v>
      </c>
      <c r="H64" s="37">
        <f t="shared" ref="H64:N66" si="21">ROUND($D64/12,-3)</f>
        <v>91000</v>
      </c>
      <c r="I64" s="37">
        <f t="shared" si="21"/>
        <v>91000</v>
      </c>
      <c r="J64" s="37">
        <f t="shared" si="21"/>
        <v>91000</v>
      </c>
      <c r="K64" s="37">
        <f t="shared" si="21"/>
        <v>91000</v>
      </c>
      <c r="L64" s="37">
        <f t="shared" si="21"/>
        <v>91000</v>
      </c>
      <c r="M64" s="37">
        <f t="shared" si="21"/>
        <v>91000</v>
      </c>
      <c r="N64" s="37">
        <f t="shared" si="21"/>
        <v>91000</v>
      </c>
      <c r="O64" s="37">
        <f>D64-SUM(F64:N64)</f>
        <v>94000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228000</v>
      </c>
      <c r="E65" s="114" t="s">
        <v>202</v>
      </c>
      <c r="F65" s="37">
        <f t="shared" ref="F65:F66" si="22">ROUND($D65/12*3,-3)</f>
        <v>57000</v>
      </c>
      <c r="G65" s="37">
        <f t="shared" ref="G65:G66" si="23">ROUND($D65/12,-3)</f>
        <v>19000</v>
      </c>
      <c r="H65" s="37">
        <f t="shared" si="21"/>
        <v>19000</v>
      </c>
      <c r="I65" s="37">
        <f t="shared" si="21"/>
        <v>19000</v>
      </c>
      <c r="J65" s="37">
        <f t="shared" si="21"/>
        <v>19000</v>
      </c>
      <c r="K65" s="37">
        <f t="shared" si="21"/>
        <v>19000</v>
      </c>
      <c r="L65" s="37">
        <f t="shared" si="21"/>
        <v>19000</v>
      </c>
      <c r="M65" s="37">
        <f t="shared" si="21"/>
        <v>19000</v>
      </c>
      <c r="N65" s="37">
        <f t="shared" si="21"/>
        <v>19000</v>
      </c>
      <c r="O65" s="37">
        <f t="shared" ref="O65:O66" si="24">D65-SUM(F65:N65)</f>
        <v>19000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934000</v>
      </c>
      <c r="E66" s="114" t="s">
        <v>202</v>
      </c>
      <c r="F66" s="37">
        <f t="shared" si="22"/>
        <v>234000</v>
      </c>
      <c r="G66" s="37">
        <f t="shared" si="23"/>
        <v>78000</v>
      </c>
      <c r="H66" s="37">
        <f t="shared" si="21"/>
        <v>78000</v>
      </c>
      <c r="I66" s="37">
        <f t="shared" si="21"/>
        <v>78000</v>
      </c>
      <c r="J66" s="37">
        <f t="shared" si="21"/>
        <v>78000</v>
      </c>
      <c r="K66" s="37">
        <f t="shared" si="21"/>
        <v>78000</v>
      </c>
      <c r="L66" s="37">
        <f t="shared" si="21"/>
        <v>78000</v>
      </c>
      <c r="M66" s="37">
        <f t="shared" si="21"/>
        <v>78000</v>
      </c>
      <c r="N66" s="37">
        <f t="shared" si="21"/>
        <v>78000</v>
      </c>
      <c r="O66" s="37">
        <f t="shared" si="24"/>
        <v>76000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18000</v>
      </c>
      <c r="E67" s="37" t="s">
        <v>196</v>
      </c>
      <c r="F67" s="37"/>
      <c r="G67" s="37"/>
      <c r="H67" s="37">
        <f>D67</f>
        <v>18000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123000</v>
      </c>
      <c r="E68" s="37" t="s">
        <v>195</v>
      </c>
      <c r="F68" s="37">
        <f>D68</f>
        <v>123000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18042000</v>
      </c>
      <c r="E70" s="108"/>
      <c r="F70" s="108">
        <f t="shared" ref="F70:P70" si="25">ROUND(SUM(F49:F69),-3)</f>
        <v>5634000</v>
      </c>
      <c r="G70" s="108">
        <f t="shared" si="25"/>
        <v>1273000</v>
      </c>
      <c r="H70" s="108">
        <f t="shared" si="25"/>
        <v>1291000</v>
      </c>
      <c r="I70" s="108">
        <f t="shared" si="25"/>
        <v>1459000</v>
      </c>
      <c r="J70" s="108">
        <f t="shared" si="25"/>
        <v>1273000</v>
      </c>
      <c r="K70" s="108">
        <f t="shared" si="25"/>
        <v>1273000</v>
      </c>
      <c r="L70" s="108">
        <f t="shared" si="25"/>
        <v>1273000</v>
      </c>
      <c r="M70" s="108">
        <f t="shared" si="25"/>
        <v>1273000</v>
      </c>
      <c r="N70" s="108">
        <f t="shared" si="25"/>
        <v>2019000</v>
      </c>
      <c r="O70" s="108">
        <f t="shared" si="25"/>
        <v>1268000</v>
      </c>
      <c r="P70" s="108">
        <f t="shared" si="25"/>
        <v>3000</v>
      </c>
      <c r="Q70" s="108">
        <f>D70-SUM(F70:P70)</f>
        <v>3000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550000</v>
      </c>
      <c r="E72" s="114" t="s">
        <v>202</v>
      </c>
      <c r="F72" s="37">
        <f>ROUND($D72/12*3,-3)</f>
        <v>138000</v>
      </c>
      <c r="G72" s="37">
        <f>ROUND($D72/12,-3)</f>
        <v>46000</v>
      </c>
      <c r="H72" s="37">
        <f t="shared" ref="H72:N75" si="26">ROUND($D72/12,-3)</f>
        <v>46000</v>
      </c>
      <c r="I72" s="37">
        <f t="shared" si="26"/>
        <v>46000</v>
      </c>
      <c r="J72" s="37">
        <f t="shared" si="26"/>
        <v>46000</v>
      </c>
      <c r="K72" s="37">
        <f t="shared" si="26"/>
        <v>46000</v>
      </c>
      <c r="L72" s="37">
        <f t="shared" si="26"/>
        <v>46000</v>
      </c>
      <c r="M72" s="37">
        <f t="shared" si="26"/>
        <v>46000</v>
      </c>
      <c r="N72" s="37">
        <f t="shared" si="26"/>
        <v>46000</v>
      </c>
      <c r="O72" s="37">
        <f>D72-SUM(F72:N72)</f>
        <v>44000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550000</v>
      </c>
      <c r="E76" s="108"/>
      <c r="F76" s="108">
        <f>ROUND(SUM(F71:F75),-3)</f>
        <v>138000</v>
      </c>
      <c r="G76" s="108">
        <f t="shared" ref="G76:N76" si="27">ROUND(SUM(G71:G75),-3)</f>
        <v>46000</v>
      </c>
      <c r="H76" s="108">
        <f t="shared" si="27"/>
        <v>46000</v>
      </c>
      <c r="I76" s="108">
        <f t="shared" si="27"/>
        <v>46000</v>
      </c>
      <c r="J76" s="108">
        <f t="shared" si="27"/>
        <v>46000</v>
      </c>
      <c r="K76" s="108">
        <f t="shared" si="27"/>
        <v>46000</v>
      </c>
      <c r="L76" s="108">
        <f t="shared" si="27"/>
        <v>46000</v>
      </c>
      <c r="M76" s="108">
        <f t="shared" si="27"/>
        <v>46000</v>
      </c>
      <c r="N76" s="108">
        <f t="shared" si="27"/>
        <v>46000</v>
      </c>
      <c r="O76" s="108">
        <f>D76-SUM(F76:N76)</f>
        <v>44000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31000</v>
      </c>
      <c r="E77" s="37" t="s">
        <v>681</v>
      </c>
      <c r="F77" s="224"/>
      <c r="G77" s="224"/>
      <c r="H77" s="224">
        <f>ROUND($D77/2,-3)</f>
        <v>16000</v>
      </c>
      <c r="I77" s="224"/>
      <c r="J77" s="224"/>
      <c r="K77" s="224"/>
      <c r="L77" s="224"/>
      <c r="M77" s="224"/>
      <c r="N77" s="224">
        <f>D77-H77</f>
        <v>15000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18623000</v>
      </c>
      <c r="E78" s="227"/>
      <c r="F78" s="227">
        <f>F76+F70+F77</f>
        <v>5772000</v>
      </c>
      <c r="G78" s="227">
        <f t="shared" ref="G78:Q78" si="29">G76+G70+G77</f>
        <v>1319000</v>
      </c>
      <c r="H78" s="227">
        <f t="shared" si="29"/>
        <v>1353000</v>
      </c>
      <c r="I78" s="227">
        <f t="shared" si="29"/>
        <v>1505000</v>
      </c>
      <c r="J78" s="227">
        <f t="shared" si="29"/>
        <v>1319000</v>
      </c>
      <c r="K78" s="227">
        <f t="shared" si="29"/>
        <v>1319000</v>
      </c>
      <c r="L78" s="227">
        <f t="shared" si="29"/>
        <v>1319000</v>
      </c>
      <c r="M78" s="227">
        <f t="shared" si="29"/>
        <v>1319000</v>
      </c>
      <c r="N78" s="227">
        <f t="shared" si="29"/>
        <v>2080000</v>
      </c>
      <c r="O78" s="227">
        <f t="shared" si="29"/>
        <v>1312000</v>
      </c>
      <c r="P78" s="227">
        <f t="shared" si="29"/>
        <v>3000</v>
      </c>
      <c r="Q78" s="227">
        <f t="shared" si="29"/>
        <v>3000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20181000</v>
      </c>
      <c r="E87" s="37"/>
      <c r="F87" s="37">
        <f>F88+F89+F90+F91</f>
        <v>6032000</v>
      </c>
      <c r="G87" s="37">
        <f t="shared" ref="G87:Q87" si="32">G88+G89+G90+G91</f>
        <v>1436000</v>
      </c>
      <c r="H87" s="37">
        <f t="shared" si="32"/>
        <v>1477000</v>
      </c>
      <c r="I87" s="37">
        <f t="shared" si="32"/>
        <v>1633000</v>
      </c>
      <c r="J87" s="37">
        <f t="shared" si="32"/>
        <v>1443000</v>
      </c>
      <c r="K87" s="37">
        <f t="shared" si="32"/>
        <v>1449000</v>
      </c>
      <c r="L87" s="37">
        <f t="shared" si="32"/>
        <v>1461000</v>
      </c>
      <c r="M87" s="37">
        <f t="shared" si="32"/>
        <v>1443000</v>
      </c>
      <c r="N87" s="37">
        <f t="shared" si="32"/>
        <v>2210000</v>
      </c>
      <c r="O87" s="37">
        <f t="shared" si="32"/>
        <v>1435000</v>
      </c>
      <c r="P87" s="37">
        <f t="shared" si="32"/>
        <v>84000</v>
      </c>
      <c r="Q87" s="37">
        <f t="shared" si="32"/>
        <v>78000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6000</v>
      </c>
      <c r="E88" s="108" t="s">
        <v>193</v>
      </c>
      <c r="F88" s="108">
        <f>ROUND($D88/2,-3)</f>
        <v>3000</v>
      </c>
      <c r="G88" s="108"/>
      <c r="H88" s="108"/>
      <c r="I88" s="108"/>
      <c r="J88" s="108"/>
      <c r="K88" s="108"/>
      <c r="L88" s="108">
        <f>D88-F88</f>
        <v>3000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20175000</v>
      </c>
      <c r="E91" s="108"/>
      <c r="F91" s="108">
        <f>F92+F93+F94+F95</f>
        <v>6029000</v>
      </c>
      <c r="G91" s="108">
        <f t="shared" ref="G91:Q91" si="34">G92+G93+G94+G95</f>
        <v>1436000</v>
      </c>
      <c r="H91" s="108">
        <f t="shared" si="34"/>
        <v>1477000</v>
      </c>
      <c r="I91" s="108">
        <f t="shared" si="34"/>
        <v>1633000</v>
      </c>
      <c r="J91" s="108">
        <f t="shared" si="34"/>
        <v>1443000</v>
      </c>
      <c r="K91" s="108">
        <f t="shared" si="34"/>
        <v>1449000</v>
      </c>
      <c r="L91" s="108">
        <f t="shared" si="34"/>
        <v>1458000</v>
      </c>
      <c r="M91" s="108">
        <f t="shared" si="34"/>
        <v>1443000</v>
      </c>
      <c r="N91" s="108">
        <f t="shared" si="34"/>
        <v>2210000</v>
      </c>
      <c r="O91" s="108">
        <f t="shared" si="34"/>
        <v>1435000</v>
      </c>
      <c r="P91" s="108">
        <f t="shared" si="34"/>
        <v>84000</v>
      </c>
      <c r="Q91" s="108">
        <f t="shared" si="34"/>
        <v>78000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2975000</v>
      </c>
      <c r="E92" s="114" t="s">
        <v>537</v>
      </c>
      <c r="F92" s="37">
        <f>ROUND($D92/12*5,-3)</f>
        <v>1240000</v>
      </c>
      <c r="G92" s="37">
        <f>ROUND($D92/12,-3)</f>
        <v>248000</v>
      </c>
      <c r="H92" s="37">
        <f t="shared" ref="H92:L92" si="35">ROUND($D92/12,-3)</f>
        <v>248000</v>
      </c>
      <c r="I92" s="37">
        <f t="shared" si="35"/>
        <v>248000</v>
      </c>
      <c r="J92" s="37">
        <f t="shared" si="35"/>
        <v>248000</v>
      </c>
      <c r="K92" s="37">
        <f t="shared" si="35"/>
        <v>248000</v>
      </c>
      <c r="L92" s="37">
        <f t="shared" si="35"/>
        <v>248000</v>
      </c>
      <c r="M92" s="37">
        <f>D92-SUM(F92:L92)</f>
        <v>247000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103000</v>
      </c>
      <c r="E93" s="189" t="s">
        <v>227</v>
      </c>
      <c r="F93" s="37">
        <f>ROUND($D93/12,-3)</f>
        <v>9000</v>
      </c>
      <c r="G93" s="37">
        <f t="shared" ref="G93:P93" si="36">ROUND($D93/12,-3)</f>
        <v>9000</v>
      </c>
      <c r="H93" s="37">
        <f t="shared" si="36"/>
        <v>9000</v>
      </c>
      <c r="I93" s="37">
        <f t="shared" si="36"/>
        <v>9000</v>
      </c>
      <c r="J93" s="37">
        <f t="shared" si="36"/>
        <v>9000</v>
      </c>
      <c r="K93" s="37">
        <f t="shared" si="36"/>
        <v>9000</v>
      </c>
      <c r="L93" s="37">
        <f t="shared" si="36"/>
        <v>9000</v>
      </c>
      <c r="M93" s="37">
        <f t="shared" si="36"/>
        <v>9000</v>
      </c>
      <c r="N93" s="37">
        <f t="shared" si="36"/>
        <v>9000</v>
      </c>
      <c r="O93" s="37">
        <f t="shared" si="36"/>
        <v>9000</v>
      </c>
      <c r="P93" s="37">
        <f t="shared" si="36"/>
        <v>9000</v>
      </c>
      <c r="Q93" s="37">
        <f>D93-SUM(F93:P93)</f>
        <v>4000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336000</v>
      </c>
      <c r="E94" s="190" t="s">
        <v>229</v>
      </c>
      <c r="F94" s="37"/>
      <c r="G94" s="37"/>
      <c r="H94" s="37">
        <f>ROUND($D94/2,-3)</f>
        <v>168000</v>
      </c>
      <c r="I94" s="37"/>
      <c r="J94" s="37"/>
      <c r="K94" s="37"/>
      <c r="L94" s="37"/>
      <c r="M94" s="37"/>
      <c r="N94" s="37"/>
      <c r="O94" s="37">
        <f>D94-H94</f>
        <v>168000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16761000</v>
      </c>
      <c r="E95" s="37"/>
      <c r="F95" s="37">
        <f>F2+F86-F88-F89-F90-F92-F93-F94</f>
        <v>4780000</v>
      </c>
      <c r="G95" s="37">
        <f t="shared" ref="G95:Q95" si="37">G2-G88-G89-G90-G92-G93-G94</f>
        <v>1179000</v>
      </c>
      <c r="H95" s="37">
        <f t="shared" si="37"/>
        <v>1052000</v>
      </c>
      <c r="I95" s="37">
        <f t="shared" si="37"/>
        <v>1376000</v>
      </c>
      <c r="J95" s="37">
        <f t="shared" si="37"/>
        <v>1186000</v>
      </c>
      <c r="K95" s="37">
        <f t="shared" si="37"/>
        <v>1192000</v>
      </c>
      <c r="L95" s="37">
        <f t="shared" si="37"/>
        <v>1201000</v>
      </c>
      <c r="M95" s="37">
        <f t="shared" si="37"/>
        <v>1187000</v>
      </c>
      <c r="N95" s="37">
        <f t="shared" si="37"/>
        <v>2201000</v>
      </c>
      <c r="O95" s="37">
        <f t="shared" si="37"/>
        <v>1258000</v>
      </c>
      <c r="P95" s="37">
        <f t="shared" si="37"/>
        <v>75000</v>
      </c>
      <c r="Q95" s="37">
        <f t="shared" si="37"/>
        <v>74000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660000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96000</v>
      </c>
    </row>
    <row r="103" spans="2:17" ht="32.4">
      <c r="B103" s="72" t="s">
        <v>239</v>
      </c>
      <c r="D103" s="30">
        <f>HLOOKUP(D1,[1]縣庫撥款收入明細表!H:DD,17,FALSE)</f>
        <v>0</v>
      </c>
    </row>
    <row r="104" spans="2:17" ht="32.4">
      <c r="B104" s="76" t="s">
        <v>240</v>
      </c>
      <c r="D104" s="30">
        <f>HLOOKUP(D1,[1]縣庫撥款收入明細表!H:DD,18,FALSE)</f>
        <v>336000</v>
      </c>
    </row>
    <row r="105" spans="2:17" ht="32.4">
      <c r="B105" s="72" t="s">
        <v>380</v>
      </c>
      <c r="D105" s="30">
        <f>HLOOKUP(D1,[1]縣庫撥款收入明細表!H:DD,19,FALSE)</f>
        <v>1300000</v>
      </c>
    </row>
    <row r="106" spans="2:17" ht="32.4">
      <c r="B106" s="71" t="s">
        <v>241</v>
      </c>
      <c r="D106" s="30">
        <f>HLOOKUP(D1,[1]縣庫撥款收入明細表!H:DD,20,FALSE)</f>
        <v>7000</v>
      </c>
    </row>
    <row r="107" spans="2:17" ht="32.4">
      <c r="B107" s="77" t="s">
        <v>242</v>
      </c>
      <c r="D107" s="30">
        <f>HLOOKUP(D1,[1]縣庫撥款收入明細表!H:DD,21,FALSE)</f>
        <v>16761000</v>
      </c>
    </row>
    <row r="108" spans="2:17" ht="16.5" customHeight="1"/>
    <row r="109" spans="2:17" ht="16.5" customHeight="1">
      <c r="B109" s="4" t="s">
        <v>682</v>
      </c>
      <c r="D109" s="30">
        <f>D91-D76</f>
        <v>19625000</v>
      </c>
      <c r="F109" s="30">
        <f>F91-F76</f>
        <v>5891000</v>
      </c>
      <c r="G109" s="30">
        <f t="shared" ref="G109:Q109" si="38">G91-G76</f>
        <v>1390000</v>
      </c>
      <c r="H109" s="30">
        <f t="shared" si="38"/>
        <v>1431000</v>
      </c>
      <c r="I109" s="30">
        <f t="shared" si="38"/>
        <v>1587000</v>
      </c>
      <c r="J109" s="30">
        <f t="shared" si="38"/>
        <v>1397000</v>
      </c>
      <c r="K109" s="30">
        <f t="shared" si="38"/>
        <v>1403000</v>
      </c>
      <c r="L109" s="30">
        <f t="shared" si="38"/>
        <v>1412000</v>
      </c>
      <c r="M109" s="30">
        <f t="shared" si="38"/>
        <v>1397000</v>
      </c>
      <c r="N109" s="30">
        <f t="shared" si="38"/>
        <v>2164000</v>
      </c>
      <c r="O109" s="30">
        <f t="shared" si="38"/>
        <v>1391000</v>
      </c>
      <c r="P109" s="30">
        <f t="shared" si="38"/>
        <v>84000</v>
      </c>
      <c r="Q109" s="30">
        <f t="shared" si="38"/>
        <v>78000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64" priority="1" operator="lessThan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12">
    <tabColor indexed="34"/>
  </sheetPr>
  <dimension ref="A1:R113"/>
  <sheetViews>
    <sheetView tabSelected="1" zoomScaleNormal="100" workbookViewId="0">
      <pane ySplit="1" topLeftCell="A2" activePane="bottomLeft" state="frozen"/>
      <selection pane="bottomLeft" activeCell="C2" sqref="C2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708</v>
      </c>
      <c r="D1" s="240" t="str">
        <f>VLOOKUP(C1,學校編號!A:B,2,FALSE)</f>
        <v>708西寶國小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1"/>
      <c r="D2" s="37">
        <f>HLOOKUP($D$1,概算表!$E$12:$DA$78,2,FALSE)</f>
        <v>20555000</v>
      </c>
      <c r="E2" s="37"/>
      <c r="F2" s="37">
        <f>F48+F70+F76+F77+F83</f>
        <v>6043000</v>
      </c>
      <c r="G2" s="37">
        <f t="shared" ref="G2:Q2" si="0">G48+G70+G76+G77+G83</f>
        <v>1479000</v>
      </c>
      <c r="H2" s="37">
        <f t="shared" si="0"/>
        <v>1513000</v>
      </c>
      <c r="I2" s="37">
        <f t="shared" si="0"/>
        <v>1677000</v>
      </c>
      <c r="J2" s="37">
        <f t="shared" si="0"/>
        <v>1486000</v>
      </c>
      <c r="K2" s="37">
        <f t="shared" si="0"/>
        <v>1486000</v>
      </c>
      <c r="L2" s="37">
        <f t="shared" si="0"/>
        <v>1533000</v>
      </c>
      <c r="M2" s="37">
        <f t="shared" si="0"/>
        <v>1486000</v>
      </c>
      <c r="N2" s="37">
        <f t="shared" si="0"/>
        <v>2220000</v>
      </c>
      <c r="O2" s="37">
        <f t="shared" si="0"/>
        <v>1481000</v>
      </c>
      <c r="P2" s="37">
        <f t="shared" si="0"/>
        <v>78000</v>
      </c>
      <c r="Q2" s="37">
        <f t="shared" si="0"/>
        <v>73000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HLOOKUP($D$1,概算表!$E$12:$DA$78,3,FALSE)</f>
        <v>120000</v>
      </c>
      <c r="E3" s="37" t="s">
        <v>525</v>
      </c>
      <c r="F3" s="37">
        <f t="shared" ref="F3:F10" si="1">ROUND($D3/12,0)</f>
        <v>10000</v>
      </c>
      <c r="G3" s="37">
        <f t="shared" ref="G3:P27" si="2">ROUND($D3/12,0)</f>
        <v>10000</v>
      </c>
      <c r="H3" s="37">
        <f t="shared" si="2"/>
        <v>10000</v>
      </c>
      <c r="I3" s="37">
        <f t="shared" si="2"/>
        <v>10000</v>
      </c>
      <c r="J3" s="37">
        <f t="shared" si="2"/>
        <v>10000</v>
      </c>
      <c r="K3" s="37">
        <f t="shared" si="2"/>
        <v>10000</v>
      </c>
      <c r="L3" s="37">
        <f t="shared" si="2"/>
        <v>10000</v>
      </c>
      <c r="M3" s="37">
        <f t="shared" si="2"/>
        <v>10000</v>
      </c>
      <c r="N3" s="37">
        <f t="shared" si="2"/>
        <v>10000</v>
      </c>
      <c r="O3" s="37">
        <f t="shared" si="2"/>
        <v>10000</v>
      </c>
      <c r="P3" s="37">
        <f t="shared" si="2"/>
        <v>10000</v>
      </c>
      <c r="Q3" s="37">
        <f t="shared" ref="Q3:Q10" si="3">D3-SUM(F3:P3)</f>
        <v>10000</v>
      </c>
      <c r="R3" s="37">
        <f t="shared" ref="R3:R17" si="4">SUM(F3:Q3)-D3</f>
        <v>0</v>
      </c>
    </row>
    <row r="4" spans="1:18">
      <c r="A4" s="269"/>
      <c r="B4" s="10" t="s">
        <v>113</v>
      </c>
      <c r="C4" s="11">
        <v>214</v>
      </c>
      <c r="D4" s="37">
        <f>HLOOKUP($D$1,概算表!$E$12:$DA$78,4,FALSE)</f>
        <v>51000</v>
      </c>
      <c r="E4" s="37" t="s">
        <v>525</v>
      </c>
      <c r="F4" s="37">
        <f t="shared" si="1"/>
        <v>4250</v>
      </c>
      <c r="G4" s="37">
        <f t="shared" si="2"/>
        <v>4250</v>
      </c>
      <c r="H4" s="37">
        <f t="shared" si="2"/>
        <v>4250</v>
      </c>
      <c r="I4" s="37">
        <f t="shared" si="2"/>
        <v>4250</v>
      </c>
      <c r="J4" s="37">
        <f t="shared" si="2"/>
        <v>4250</v>
      </c>
      <c r="K4" s="37">
        <f t="shared" si="2"/>
        <v>4250</v>
      </c>
      <c r="L4" s="37">
        <f t="shared" si="2"/>
        <v>4250</v>
      </c>
      <c r="M4" s="37">
        <f t="shared" si="2"/>
        <v>4250</v>
      </c>
      <c r="N4" s="37">
        <f t="shared" si="2"/>
        <v>4250</v>
      </c>
      <c r="O4" s="37">
        <f t="shared" si="2"/>
        <v>4250</v>
      </c>
      <c r="P4" s="37">
        <f t="shared" si="2"/>
        <v>4250</v>
      </c>
      <c r="Q4" s="37">
        <f t="shared" si="3"/>
        <v>4250</v>
      </c>
      <c r="R4" s="37">
        <f t="shared" si="4"/>
        <v>0</v>
      </c>
    </row>
    <row r="5" spans="1:18">
      <c r="A5" s="269"/>
      <c r="B5" s="10" t="s">
        <v>114</v>
      </c>
      <c r="C5" s="11" t="s">
        <v>115</v>
      </c>
      <c r="D5" s="37">
        <f>HLOOKUP($D$1,概算表!$E$12:$DA$78,5,FALSE)</f>
        <v>0</v>
      </c>
      <c r="E5" s="37" t="s">
        <v>525</v>
      </c>
      <c r="F5" s="37">
        <f t="shared" si="1"/>
        <v>0</v>
      </c>
      <c r="G5" s="37">
        <f t="shared" si="2"/>
        <v>0</v>
      </c>
      <c r="H5" s="37">
        <f t="shared" si="2"/>
        <v>0</v>
      </c>
      <c r="I5" s="37">
        <f t="shared" si="2"/>
        <v>0</v>
      </c>
      <c r="J5" s="37">
        <f t="shared" si="2"/>
        <v>0</v>
      </c>
      <c r="K5" s="37">
        <f t="shared" si="2"/>
        <v>0</v>
      </c>
      <c r="L5" s="37">
        <f t="shared" si="2"/>
        <v>0</v>
      </c>
      <c r="M5" s="37">
        <f t="shared" si="2"/>
        <v>0</v>
      </c>
      <c r="N5" s="37">
        <f t="shared" si="2"/>
        <v>0</v>
      </c>
      <c r="O5" s="37">
        <f t="shared" si="2"/>
        <v>0</v>
      </c>
      <c r="P5" s="37">
        <f t="shared" si="2"/>
        <v>0</v>
      </c>
      <c r="Q5" s="37">
        <f t="shared" si="3"/>
        <v>0</v>
      </c>
      <c r="R5" s="37">
        <f t="shared" si="4"/>
        <v>0</v>
      </c>
    </row>
    <row r="6" spans="1:18">
      <c r="A6" s="269"/>
      <c r="B6" s="10" t="s">
        <v>116</v>
      </c>
      <c r="C6" s="11" t="s">
        <v>117</v>
      </c>
      <c r="D6" s="37">
        <f>HLOOKUP($D$1,概算表!$E$12:$DA$78,6,FALSE)</f>
        <v>0</v>
      </c>
      <c r="E6" s="37" t="s">
        <v>525</v>
      </c>
      <c r="F6" s="37">
        <f t="shared" si="1"/>
        <v>0</v>
      </c>
      <c r="G6" s="37">
        <f t="shared" si="2"/>
        <v>0</v>
      </c>
      <c r="H6" s="37">
        <f t="shared" si="2"/>
        <v>0</v>
      </c>
      <c r="I6" s="37">
        <f t="shared" si="2"/>
        <v>0</v>
      </c>
      <c r="J6" s="37">
        <f t="shared" si="2"/>
        <v>0</v>
      </c>
      <c r="K6" s="37">
        <f t="shared" si="2"/>
        <v>0</v>
      </c>
      <c r="L6" s="37">
        <f t="shared" si="2"/>
        <v>0</v>
      </c>
      <c r="M6" s="37">
        <f t="shared" si="2"/>
        <v>0</v>
      </c>
      <c r="N6" s="37">
        <f t="shared" si="2"/>
        <v>0</v>
      </c>
      <c r="O6" s="37">
        <f t="shared" si="2"/>
        <v>0</v>
      </c>
      <c r="P6" s="37">
        <f t="shared" si="2"/>
        <v>0</v>
      </c>
      <c r="Q6" s="37">
        <f t="shared" si="3"/>
        <v>0</v>
      </c>
      <c r="R6" s="37">
        <f t="shared" si="4"/>
        <v>0</v>
      </c>
    </row>
    <row r="7" spans="1:18">
      <c r="A7" s="269"/>
      <c r="B7" s="10" t="s">
        <v>118</v>
      </c>
      <c r="C7" s="11">
        <v>255</v>
      </c>
      <c r="D7" s="37">
        <f>HLOOKUP($D$1,概算表!$E$12:$DA$78,7,FALSE)</f>
        <v>63000</v>
      </c>
      <c r="E7" s="37" t="s">
        <v>525</v>
      </c>
      <c r="F7" s="37">
        <f t="shared" si="1"/>
        <v>5250</v>
      </c>
      <c r="G7" s="37">
        <f t="shared" si="2"/>
        <v>5250</v>
      </c>
      <c r="H7" s="37">
        <f t="shared" si="2"/>
        <v>5250</v>
      </c>
      <c r="I7" s="37">
        <f t="shared" si="2"/>
        <v>5250</v>
      </c>
      <c r="J7" s="37">
        <f t="shared" si="2"/>
        <v>5250</v>
      </c>
      <c r="K7" s="37">
        <f t="shared" si="2"/>
        <v>5250</v>
      </c>
      <c r="L7" s="37">
        <f t="shared" si="2"/>
        <v>5250</v>
      </c>
      <c r="M7" s="37">
        <f t="shared" si="2"/>
        <v>5250</v>
      </c>
      <c r="N7" s="37">
        <f t="shared" si="2"/>
        <v>5250</v>
      </c>
      <c r="O7" s="37">
        <f t="shared" si="2"/>
        <v>5250</v>
      </c>
      <c r="P7" s="37">
        <f t="shared" si="2"/>
        <v>5250</v>
      </c>
      <c r="Q7" s="37">
        <f t="shared" si="3"/>
        <v>5250</v>
      </c>
      <c r="R7" s="37">
        <f t="shared" si="4"/>
        <v>0</v>
      </c>
    </row>
    <row r="8" spans="1:18">
      <c r="A8" s="269"/>
      <c r="B8" s="13" t="s">
        <v>119</v>
      </c>
      <c r="C8" s="22">
        <v>255</v>
      </c>
      <c r="D8" s="37">
        <f>HLOOKUP($D$1,概算表!$E$12:$DA$78,8,FALSE)</f>
        <v>0</v>
      </c>
      <c r="E8" s="37" t="s">
        <v>525</v>
      </c>
      <c r="F8" s="37">
        <f t="shared" si="1"/>
        <v>0</v>
      </c>
      <c r="G8" s="37">
        <f t="shared" si="2"/>
        <v>0</v>
      </c>
      <c r="H8" s="37">
        <f t="shared" si="2"/>
        <v>0</v>
      </c>
      <c r="I8" s="37">
        <f t="shared" si="2"/>
        <v>0</v>
      </c>
      <c r="J8" s="37">
        <f t="shared" si="2"/>
        <v>0</v>
      </c>
      <c r="K8" s="37">
        <f t="shared" si="2"/>
        <v>0</v>
      </c>
      <c r="L8" s="37">
        <f t="shared" si="2"/>
        <v>0</v>
      </c>
      <c r="M8" s="37">
        <f t="shared" si="2"/>
        <v>0</v>
      </c>
      <c r="N8" s="37">
        <f t="shared" si="2"/>
        <v>0</v>
      </c>
      <c r="O8" s="37">
        <f t="shared" si="2"/>
        <v>0</v>
      </c>
      <c r="P8" s="37">
        <f t="shared" si="2"/>
        <v>0</v>
      </c>
      <c r="Q8" s="37">
        <f t="shared" si="3"/>
        <v>0</v>
      </c>
      <c r="R8" s="37">
        <f t="shared" si="4"/>
        <v>0</v>
      </c>
    </row>
    <row r="9" spans="1:18">
      <c r="A9" s="269"/>
      <c r="B9" s="13" t="s">
        <v>120</v>
      </c>
      <c r="C9" s="22">
        <v>255</v>
      </c>
      <c r="D9" s="37">
        <f>HLOOKUP($D$1,概算表!$E$12:$DA$78,9,FALSE)</f>
        <v>0</v>
      </c>
      <c r="E9" s="37" t="s">
        <v>525</v>
      </c>
      <c r="F9" s="37">
        <f t="shared" si="1"/>
        <v>0</v>
      </c>
      <c r="G9" s="37">
        <f t="shared" si="2"/>
        <v>0</v>
      </c>
      <c r="H9" s="37">
        <f t="shared" si="2"/>
        <v>0</v>
      </c>
      <c r="I9" s="37">
        <f t="shared" si="2"/>
        <v>0</v>
      </c>
      <c r="J9" s="37">
        <f t="shared" si="2"/>
        <v>0</v>
      </c>
      <c r="K9" s="37">
        <f t="shared" si="2"/>
        <v>0</v>
      </c>
      <c r="L9" s="37">
        <f t="shared" si="2"/>
        <v>0</v>
      </c>
      <c r="M9" s="37">
        <f t="shared" si="2"/>
        <v>0</v>
      </c>
      <c r="N9" s="37">
        <f t="shared" si="2"/>
        <v>0</v>
      </c>
      <c r="O9" s="37">
        <f t="shared" si="2"/>
        <v>0</v>
      </c>
      <c r="P9" s="37">
        <f t="shared" si="2"/>
        <v>0</v>
      </c>
      <c r="Q9" s="37">
        <f t="shared" si="3"/>
        <v>0</v>
      </c>
      <c r="R9" s="37">
        <f t="shared" si="4"/>
        <v>0</v>
      </c>
    </row>
    <row r="10" spans="1:18">
      <c r="A10" s="269"/>
      <c r="B10" s="23" t="s">
        <v>121</v>
      </c>
      <c r="C10" s="24">
        <v>256</v>
      </c>
      <c r="D10" s="37">
        <f>HLOOKUP($D$1,概算表!$E$12:$DA$78,10,FALSE)</f>
        <v>25000</v>
      </c>
      <c r="E10" s="37" t="s">
        <v>525</v>
      </c>
      <c r="F10" s="37">
        <f t="shared" si="1"/>
        <v>2083</v>
      </c>
      <c r="G10" s="37">
        <f t="shared" si="2"/>
        <v>2083</v>
      </c>
      <c r="H10" s="37">
        <f t="shared" si="2"/>
        <v>2083</v>
      </c>
      <c r="I10" s="37">
        <f t="shared" si="2"/>
        <v>2083</v>
      </c>
      <c r="J10" s="37">
        <f t="shared" si="2"/>
        <v>2083</v>
      </c>
      <c r="K10" s="37">
        <f t="shared" si="2"/>
        <v>2083</v>
      </c>
      <c r="L10" s="37">
        <f t="shared" si="2"/>
        <v>2083</v>
      </c>
      <c r="M10" s="37">
        <f t="shared" si="2"/>
        <v>2083</v>
      </c>
      <c r="N10" s="37">
        <f t="shared" si="2"/>
        <v>2083</v>
      </c>
      <c r="O10" s="37">
        <f t="shared" si="2"/>
        <v>2083</v>
      </c>
      <c r="P10" s="37">
        <f t="shared" si="2"/>
        <v>2083</v>
      </c>
      <c r="Q10" s="37">
        <f t="shared" si="3"/>
        <v>2087</v>
      </c>
      <c r="R10" s="37">
        <f t="shared" si="4"/>
        <v>0</v>
      </c>
    </row>
    <row r="11" spans="1:18">
      <c r="A11" s="269"/>
      <c r="B11" s="23" t="s">
        <v>122</v>
      </c>
      <c r="C11" s="24">
        <v>264</v>
      </c>
      <c r="D11" s="37">
        <f>HLOOKUP($D$1,概算表!$E$12:$DA$78,11,FALSE)</f>
        <v>36000</v>
      </c>
      <c r="E11" s="37" t="s">
        <v>198</v>
      </c>
      <c r="F11" s="37">
        <f>D11</f>
        <v>36000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4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HLOOKUP($D$1,概算表!$E$12:$DA$78,12,FALSE)</f>
        <v>514000</v>
      </c>
      <c r="E12" s="113" t="s">
        <v>489</v>
      </c>
      <c r="F12" s="37">
        <f>ROUND($D12/12*3,-3)</f>
        <v>129000</v>
      </c>
      <c r="G12" s="37">
        <f>ROUND($D12/12,-3)</f>
        <v>43000</v>
      </c>
      <c r="H12" s="37">
        <f t="shared" ref="H12:N12" si="5">ROUND($D12/12,-3)</f>
        <v>43000</v>
      </c>
      <c r="I12" s="37">
        <f t="shared" si="5"/>
        <v>43000</v>
      </c>
      <c r="J12" s="37">
        <f t="shared" si="5"/>
        <v>43000</v>
      </c>
      <c r="K12" s="37">
        <f t="shared" si="5"/>
        <v>43000</v>
      </c>
      <c r="L12" s="37">
        <f t="shared" si="5"/>
        <v>43000</v>
      </c>
      <c r="M12" s="37">
        <f t="shared" si="5"/>
        <v>43000</v>
      </c>
      <c r="N12" s="37">
        <f t="shared" si="5"/>
        <v>43000</v>
      </c>
      <c r="O12" s="37">
        <f>D12-SUM(F12:N12)</f>
        <v>41000</v>
      </c>
      <c r="P12" s="37"/>
      <c r="Q12" s="37"/>
      <c r="R12" s="37">
        <f t="shared" si="4"/>
        <v>0</v>
      </c>
    </row>
    <row r="13" spans="1:18">
      <c r="A13" s="269"/>
      <c r="B13" s="10" t="s">
        <v>125</v>
      </c>
      <c r="C13" s="11" t="s">
        <v>124</v>
      </c>
      <c r="D13" s="37">
        <f>HLOOKUP($D$1,概算表!$E$12:$DA$78,13,FALSE)</f>
        <v>164000</v>
      </c>
      <c r="E13" s="37" t="s">
        <v>525</v>
      </c>
      <c r="F13" s="37">
        <f>ROUND($D13/12,0)</f>
        <v>13667</v>
      </c>
      <c r="G13" s="37">
        <f t="shared" si="2"/>
        <v>13667</v>
      </c>
      <c r="H13" s="37">
        <f t="shared" si="2"/>
        <v>13667</v>
      </c>
      <c r="I13" s="37">
        <f t="shared" si="2"/>
        <v>13667</v>
      </c>
      <c r="J13" s="37">
        <f t="shared" si="2"/>
        <v>13667</v>
      </c>
      <c r="K13" s="37">
        <f t="shared" si="2"/>
        <v>13667</v>
      </c>
      <c r="L13" s="37">
        <f t="shared" si="2"/>
        <v>13667</v>
      </c>
      <c r="M13" s="37">
        <f t="shared" si="2"/>
        <v>13667</v>
      </c>
      <c r="N13" s="37">
        <f t="shared" si="2"/>
        <v>13667</v>
      </c>
      <c r="O13" s="37">
        <f t="shared" si="2"/>
        <v>13667</v>
      </c>
      <c r="P13" s="37">
        <f t="shared" si="2"/>
        <v>13667</v>
      </c>
      <c r="Q13" s="37">
        <f>D13-SUM(F13:P13)</f>
        <v>13663</v>
      </c>
      <c r="R13" s="37">
        <f t="shared" si="4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HLOOKUP($D$1,概算表!$E$12:$DA$78,14,FALSE)</f>
        <v>60000</v>
      </c>
      <c r="E14" s="37" t="s">
        <v>525</v>
      </c>
      <c r="F14" s="37">
        <f>ROUND($D14/12,0)</f>
        <v>5000</v>
      </c>
      <c r="G14" s="37">
        <f t="shared" si="2"/>
        <v>5000</v>
      </c>
      <c r="H14" s="37">
        <f t="shared" si="2"/>
        <v>5000</v>
      </c>
      <c r="I14" s="37">
        <f t="shared" si="2"/>
        <v>5000</v>
      </c>
      <c r="J14" s="37">
        <f t="shared" si="2"/>
        <v>5000</v>
      </c>
      <c r="K14" s="37">
        <f t="shared" si="2"/>
        <v>5000</v>
      </c>
      <c r="L14" s="37">
        <f t="shared" si="2"/>
        <v>5000</v>
      </c>
      <c r="M14" s="37">
        <f t="shared" si="2"/>
        <v>5000</v>
      </c>
      <c r="N14" s="37">
        <f t="shared" si="2"/>
        <v>5000</v>
      </c>
      <c r="O14" s="37">
        <f t="shared" si="2"/>
        <v>5000</v>
      </c>
      <c r="P14" s="37">
        <f t="shared" si="2"/>
        <v>5000</v>
      </c>
      <c r="Q14" s="37">
        <f>D14-SUM(F14:P14)</f>
        <v>5000</v>
      </c>
      <c r="R14" s="37">
        <f t="shared" si="4"/>
        <v>0</v>
      </c>
    </row>
    <row r="15" spans="1:18">
      <c r="A15" s="269"/>
      <c r="B15" s="10" t="s">
        <v>127</v>
      </c>
      <c r="C15" s="11" t="s">
        <v>128</v>
      </c>
      <c r="D15" s="37">
        <f>HLOOKUP($D$1,概算表!$E$12:$DA$78,15,FALSE)</f>
        <v>34000</v>
      </c>
      <c r="E15" s="37" t="s">
        <v>193</v>
      </c>
      <c r="F15" s="37">
        <f>ROUND($D15/2,-3)</f>
        <v>17000</v>
      </c>
      <c r="G15" s="37"/>
      <c r="H15" s="37"/>
      <c r="I15" s="37"/>
      <c r="J15" s="37"/>
      <c r="K15" s="37"/>
      <c r="L15" s="37">
        <f>D15-F15</f>
        <v>17000</v>
      </c>
      <c r="M15" s="37"/>
      <c r="N15" s="37"/>
      <c r="O15" s="37"/>
      <c r="P15" s="37"/>
      <c r="Q15" s="37"/>
      <c r="R15" s="37">
        <f t="shared" si="4"/>
        <v>0</v>
      </c>
    </row>
    <row r="16" spans="1:18">
      <c r="A16" s="269"/>
      <c r="B16" s="10" t="s">
        <v>129</v>
      </c>
      <c r="C16" s="11" t="s">
        <v>130</v>
      </c>
      <c r="D16" s="37">
        <f>HLOOKUP($D$1,概算表!$E$12:$DA$78,16,FALSE)</f>
        <v>0</v>
      </c>
      <c r="E16" s="37" t="s">
        <v>525</v>
      </c>
      <c r="F16" s="37">
        <f>ROUND($D16/12,0)</f>
        <v>0</v>
      </c>
      <c r="G16" s="37">
        <f t="shared" si="2"/>
        <v>0</v>
      </c>
      <c r="H16" s="37">
        <f t="shared" si="2"/>
        <v>0</v>
      </c>
      <c r="I16" s="37">
        <f t="shared" si="2"/>
        <v>0</v>
      </c>
      <c r="J16" s="37">
        <f t="shared" si="2"/>
        <v>0</v>
      </c>
      <c r="K16" s="37">
        <f t="shared" si="2"/>
        <v>0</v>
      </c>
      <c r="L16" s="37">
        <f t="shared" si="2"/>
        <v>0</v>
      </c>
      <c r="M16" s="37">
        <f t="shared" si="2"/>
        <v>0</v>
      </c>
      <c r="N16" s="37">
        <f t="shared" si="2"/>
        <v>0</v>
      </c>
      <c r="O16" s="37">
        <f t="shared" si="2"/>
        <v>0</v>
      </c>
      <c r="P16" s="37">
        <f t="shared" si="2"/>
        <v>0</v>
      </c>
      <c r="Q16" s="37">
        <f>D16-SUM(F16:P16)</f>
        <v>0</v>
      </c>
      <c r="R16" s="37">
        <f t="shared" si="4"/>
        <v>0</v>
      </c>
    </row>
    <row r="17" spans="1:18">
      <c r="A17" s="269"/>
      <c r="B17" s="10" t="s">
        <v>131</v>
      </c>
      <c r="C17" s="11">
        <v>291</v>
      </c>
      <c r="D17" s="37">
        <f>HLOOKUP($D$1,概算表!$E$12:$DA$78,17,FALSE)</f>
        <v>42000</v>
      </c>
      <c r="E17" s="37" t="s">
        <v>525</v>
      </c>
      <c r="F17" s="37">
        <f>ROUND($D17/12,0)</f>
        <v>3500</v>
      </c>
      <c r="G17" s="37">
        <f t="shared" si="2"/>
        <v>3500</v>
      </c>
      <c r="H17" s="37">
        <f t="shared" si="2"/>
        <v>3500</v>
      </c>
      <c r="I17" s="37">
        <f t="shared" si="2"/>
        <v>3500</v>
      </c>
      <c r="J17" s="37">
        <f t="shared" si="2"/>
        <v>3500</v>
      </c>
      <c r="K17" s="37">
        <f t="shared" si="2"/>
        <v>3500</v>
      </c>
      <c r="L17" s="37">
        <f t="shared" si="2"/>
        <v>3500</v>
      </c>
      <c r="M17" s="37">
        <f t="shared" si="2"/>
        <v>3500</v>
      </c>
      <c r="N17" s="37">
        <f t="shared" si="2"/>
        <v>3500</v>
      </c>
      <c r="O17" s="37">
        <f t="shared" si="2"/>
        <v>3500</v>
      </c>
      <c r="P17" s="37">
        <f t="shared" si="2"/>
        <v>3500</v>
      </c>
      <c r="Q17" s="37">
        <f>D17-SUM(F17:P17)</f>
        <v>3500</v>
      </c>
      <c r="R17" s="37">
        <f t="shared" si="4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(HLOOKUP(D1,場租收支對列及移用留存數!3:6,3,FALSE)+HLOOKUP(D1,場租收支對列及移用留存數!14:16,2,FALSE))*1000+HLOOKUP(D1,場租收支對列及移用留存數!23:27,5,FALSE)</f>
        <v>45000</v>
      </c>
      <c r="E24" s="37" t="s">
        <v>193</v>
      </c>
      <c r="F24" s="37">
        <f>ROUND($D24/2,-3)</f>
        <v>23000</v>
      </c>
      <c r="G24" s="37"/>
      <c r="H24" s="37"/>
      <c r="I24" s="37"/>
      <c r="J24" s="37"/>
      <c r="K24" s="37"/>
      <c r="L24" s="37">
        <f>D24-F24</f>
        <v>22000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1154000</v>
      </c>
      <c r="E25" s="108"/>
      <c r="F25" s="108">
        <f>ROUND(SUM(F3:F24),-3)</f>
        <v>249000</v>
      </c>
      <c r="G25" s="108">
        <f t="shared" ref="G25:P25" si="6">ROUND(SUM(G3:G24),-3)</f>
        <v>87000</v>
      </c>
      <c r="H25" s="108">
        <f t="shared" si="6"/>
        <v>87000</v>
      </c>
      <c r="I25" s="108">
        <f t="shared" si="6"/>
        <v>87000</v>
      </c>
      <c r="J25" s="108">
        <f t="shared" si="6"/>
        <v>87000</v>
      </c>
      <c r="K25" s="108">
        <f t="shared" si="6"/>
        <v>87000</v>
      </c>
      <c r="L25" s="108">
        <f t="shared" si="6"/>
        <v>126000</v>
      </c>
      <c r="M25" s="108">
        <f t="shared" si="6"/>
        <v>87000</v>
      </c>
      <c r="N25" s="108">
        <f t="shared" si="6"/>
        <v>87000</v>
      </c>
      <c r="O25" s="108">
        <f t="shared" si="6"/>
        <v>85000</v>
      </c>
      <c r="P25" s="108">
        <f t="shared" si="6"/>
        <v>44000</v>
      </c>
      <c r="Q25" s="108">
        <f t="shared" ref="Q25:Q33" si="7">D25-SUM(F25:P25)</f>
        <v>41000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HLOOKUP($D$1,概算表!$E$12:$DA$78,18,FALSE)</f>
        <v>68000</v>
      </c>
      <c r="E26" s="114" t="s">
        <v>204</v>
      </c>
      <c r="F26" s="37">
        <f>ROUND($D26/10,-3)</f>
        <v>7000</v>
      </c>
      <c r="G26" s="37"/>
      <c r="H26" s="37">
        <f>ROUND($D26/10,-3)</f>
        <v>7000</v>
      </c>
      <c r="I26" s="37">
        <f>ROUND($D26/10,-3)</f>
        <v>7000</v>
      </c>
      <c r="J26" s="37">
        <f>ROUND($D26/10,-3)</f>
        <v>7000</v>
      </c>
      <c r="K26" s="37">
        <f>ROUND($D26/10,-3)</f>
        <v>7000</v>
      </c>
      <c r="L26" s="37"/>
      <c r="M26" s="37">
        <f>ROUND($D26/10,-3)</f>
        <v>7000</v>
      </c>
      <c r="N26" s="37">
        <f>ROUND($D26/10,-3)</f>
        <v>7000</v>
      </c>
      <c r="O26" s="37">
        <f>ROUND($D26/10,-3)</f>
        <v>7000</v>
      </c>
      <c r="P26" s="37">
        <f>ROUND($D26/10,-3)</f>
        <v>7000</v>
      </c>
      <c r="Q26" s="37">
        <f t="shared" si="7"/>
        <v>5000</v>
      </c>
      <c r="R26" s="37">
        <f t="shared" ref="R26:R36" si="8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HLOOKUP($D$1,概算表!$E$12:$DA$78,19,FALSE)</f>
        <v>241000</v>
      </c>
      <c r="E27" s="37" t="s">
        <v>525</v>
      </c>
      <c r="F27" s="37">
        <f t="shared" ref="F27:F33" si="9">ROUND($D27/12,0)</f>
        <v>20083</v>
      </c>
      <c r="G27" s="37">
        <f t="shared" si="2"/>
        <v>20083</v>
      </c>
      <c r="H27" s="37">
        <f t="shared" si="2"/>
        <v>20083</v>
      </c>
      <c r="I27" s="37">
        <f t="shared" si="2"/>
        <v>20083</v>
      </c>
      <c r="J27" s="37">
        <f t="shared" si="2"/>
        <v>20083</v>
      </c>
      <c r="K27" s="37">
        <f t="shared" si="2"/>
        <v>20083</v>
      </c>
      <c r="L27" s="37">
        <f t="shared" si="2"/>
        <v>20083</v>
      </c>
      <c r="M27" s="37">
        <f t="shared" si="2"/>
        <v>20083</v>
      </c>
      <c r="N27" s="37">
        <f t="shared" si="2"/>
        <v>20083</v>
      </c>
      <c r="O27" s="37">
        <f t="shared" si="2"/>
        <v>20083</v>
      </c>
      <c r="P27" s="37">
        <f t="shared" si="2"/>
        <v>20083</v>
      </c>
      <c r="Q27" s="37">
        <f t="shared" si="7"/>
        <v>20087</v>
      </c>
      <c r="R27" s="37">
        <f t="shared" si="8"/>
        <v>0</v>
      </c>
    </row>
    <row r="28" spans="1:18">
      <c r="A28" s="269"/>
      <c r="B28" s="10" t="s">
        <v>134</v>
      </c>
      <c r="C28" s="11">
        <v>321</v>
      </c>
      <c r="D28" s="37">
        <f>HLOOKUP($D$1,概算表!$E$12:$DA$78,20,FALSE)</f>
        <v>0</v>
      </c>
      <c r="E28" s="37" t="s">
        <v>525</v>
      </c>
      <c r="F28" s="37">
        <f t="shared" si="9"/>
        <v>0</v>
      </c>
      <c r="G28" s="37">
        <f t="shared" ref="G28:P33" si="10">ROUND($D28/12,0)</f>
        <v>0</v>
      </c>
      <c r="H28" s="37">
        <f t="shared" si="10"/>
        <v>0</v>
      </c>
      <c r="I28" s="37">
        <f t="shared" si="10"/>
        <v>0</v>
      </c>
      <c r="J28" s="37">
        <f t="shared" si="10"/>
        <v>0</v>
      </c>
      <c r="K28" s="37">
        <f t="shared" si="10"/>
        <v>0</v>
      </c>
      <c r="L28" s="37">
        <f t="shared" si="10"/>
        <v>0</v>
      </c>
      <c r="M28" s="37">
        <f t="shared" si="10"/>
        <v>0</v>
      </c>
      <c r="N28" s="37">
        <f t="shared" si="10"/>
        <v>0</v>
      </c>
      <c r="O28" s="37">
        <f t="shared" si="10"/>
        <v>0</v>
      </c>
      <c r="P28" s="37">
        <f t="shared" si="10"/>
        <v>0</v>
      </c>
      <c r="Q28" s="37">
        <f t="shared" si="7"/>
        <v>0</v>
      </c>
      <c r="R28" s="37">
        <f t="shared" si="8"/>
        <v>0</v>
      </c>
    </row>
    <row r="29" spans="1:18">
      <c r="A29" s="269"/>
      <c r="B29" s="10" t="s">
        <v>135</v>
      </c>
      <c r="C29" s="11" t="s">
        <v>136</v>
      </c>
      <c r="D29" s="37">
        <f>HLOOKUP($D$1,概算表!$E$12:$DA$78,21,FALSE)</f>
        <v>18000</v>
      </c>
      <c r="E29" s="37" t="s">
        <v>525</v>
      </c>
      <c r="F29" s="37">
        <f t="shared" si="9"/>
        <v>1500</v>
      </c>
      <c r="G29" s="37">
        <f t="shared" si="10"/>
        <v>1500</v>
      </c>
      <c r="H29" s="37">
        <f t="shared" si="10"/>
        <v>1500</v>
      </c>
      <c r="I29" s="37">
        <f t="shared" si="10"/>
        <v>1500</v>
      </c>
      <c r="J29" s="37">
        <f t="shared" si="10"/>
        <v>1500</v>
      </c>
      <c r="K29" s="37">
        <f t="shared" si="10"/>
        <v>1500</v>
      </c>
      <c r="L29" s="37">
        <f t="shared" si="10"/>
        <v>1500</v>
      </c>
      <c r="M29" s="37">
        <f t="shared" si="10"/>
        <v>1500</v>
      </c>
      <c r="N29" s="37">
        <f t="shared" si="10"/>
        <v>1500</v>
      </c>
      <c r="O29" s="37">
        <f t="shared" si="10"/>
        <v>1500</v>
      </c>
      <c r="P29" s="37">
        <f t="shared" si="10"/>
        <v>1500</v>
      </c>
      <c r="Q29" s="37">
        <f t="shared" si="7"/>
        <v>1500</v>
      </c>
      <c r="R29" s="37">
        <f t="shared" si="8"/>
        <v>0</v>
      </c>
    </row>
    <row r="30" spans="1:18">
      <c r="A30" s="269"/>
      <c r="B30" s="10" t="s">
        <v>137</v>
      </c>
      <c r="C30" s="11" t="s">
        <v>136</v>
      </c>
      <c r="D30" s="37">
        <f>HLOOKUP($D$1,概算表!$E$12:$DA$78,22,FALSE)</f>
        <v>10000</v>
      </c>
      <c r="E30" s="37" t="s">
        <v>525</v>
      </c>
      <c r="F30" s="37">
        <f t="shared" si="9"/>
        <v>833</v>
      </c>
      <c r="G30" s="37">
        <f t="shared" si="10"/>
        <v>833</v>
      </c>
      <c r="H30" s="37">
        <f t="shared" si="10"/>
        <v>833</v>
      </c>
      <c r="I30" s="37">
        <f t="shared" si="10"/>
        <v>833</v>
      </c>
      <c r="J30" s="37">
        <f t="shared" si="10"/>
        <v>833</v>
      </c>
      <c r="K30" s="37">
        <f t="shared" si="10"/>
        <v>833</v>
      </c>
      <c r="L30" s="37">
        <f t="shared" si="10"/>
        <v>833</v>
      </c>
      <c r="M30" s="37">
        <f t="shared" si="10"/>
        <v>833</v>
      </c>
      <c r="N30" s="37">
        <f t="shared" si="10"/>
        <v>833</v>
      </c>
      <c r="O30" s="37">
        <f t="shared" si="10"/>
        <v>833</v>
      </c>
      <c r="P30" s="37">
        <f t="shared" si="10"/>
        <v>833</v>
      </c>
      <c r="Q30" s="37">
        <f t="shared" si="7"/>
        <v>837</v>
      </c>
      <c r="R30" s="37">
        <f t="shared" si="8"/>
        <v>0</v>
      </c>
    </row>
    <row r="31" spans="1:18">
      <c r="A31" s="269"/>
      <c r="B31" s="10" t="s">
        <v>138</v>
      </c>
      <c r="C31" s="11" t="s">
        <v>136</v>
      </c>
      <c r="D31" s="37">
        <f>HLOOKUP($D$1,概算表!$E$12:$DA$78,23,FALSE)</f>
        <v>5000</v>
      </c>
      <c r="E31" s="37" t="s">
        <v>525</v>
      </c>
      <c r="F31" s="37">
        <f t="shared" si="9"/>
        <v>417</v>
      </c>
      <c r="G31" s="37">
        <f t="shared" si="10"/>
        <v>417</v>
      </c>
      <c r="H31" s="37">
        <f t="shared" si="10"/>
        <v>417</v>
      </c>
      <c r="I31" s="37">
        <f t="shared" si="10"/>
        <v>417</v>
      </c>
      <c r="J31" s="37">
        <f t="shared" si="10"/>
        <v>417</v>
      </c>
      <c r="K31" s="37">
        <f t="shared" si="10"/>
        <v>417</v>
      </c>
      <c r="L31" s="37">
        <f t="shared" si="10"/>
        <v>417</v>
      </c>
      <c r="M31" s="37">
        <f t="shared" si="10"/>
        <v>417</v>
      </c>
      <c r="N31" s="37">
        <f t="shared" si="10"/>
        <v>417</v>
      </c>
      <c r="O31" s="37">
        <f t="shared" si="10"/>
        <v>417</v>
      </c>
      <c r="P31" s="37">
        <f t="shared" si="10"/>
        <v>417</v>
      </c>
      <c r="Q31" s="37">
        <f t="shared" si="7"/>
        <v>413</v>
      </c>
      <c r="R31" s="37">
        <f t="shared" si="8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HLOOKUP($D$1,概算表!$E$12:$DA$78,24,FALSE)</f>
        <v>0</v>
      </c>
      <c r="E32" s="37" t="s">
        <v>525</v>
      </c>
      <c r="F32" s="37">
        <f t="shared" si="9"/>
        <v>0</v>
      </c>
      <c r="G32" s="37">
        <f t="shared" si="10"/>
        <v>0</v>
      </c>
      <c r="H32" s="37">
        <f t="shared" si="10"/>
        <v>0</v>
      </c>
      <c r="I32" s="37">
        <f t="shared" si="10"/>
        <v>0</v>
      </c>
      <c r="J32" s="37">
        <f t="shared" si="10"/>
        <v>0</v>
      </c>
      <c r="K32" s="37">
        <f t="shared" si="10"/>
        <v>0</v>
      </c>
      <c r="L32" s="37">
        <f t="shared" si="10"/>
        <v>0</v>
      </c>
      <c r="M32" s="37">
        <f t="shared" si="10"/>
        <v>0</v>
      </c>
      <c r="N32" s="37">
        <f t="shared" si="10"/>
        <v>0</v>
      </c>
      <c r="O32" s="37">
        <f t="shared" si="10"/>
        <v>0</v>
      </c>
      <c r="P32" s="37">
        <f t="shared" si="10"/>
        <v>0</v>
      </c>
      <c r="Q32" s="37">
        <f t="shared" si="7"/>
        <v>0</v>
      </c>
      <c r="R32" s="37">
        <f t="shared" si="8"/>
        <v>0</v>
      </c>
    </row>
    <row r="33" spans="1:18">
      <c r="A33" s="269"/>
      <c r="B33" s="10" t="s">
        <v>140</v>
      </c>
      <c r="C33" s="11" t="s">
        <v>136</v>
      </c>
      <c r="D33" s="37">
        <f>HLOOKUP($D$1,概算表!$E$12:$DA$78,25,FALSE)</f>
        <v>0</v>
      </c>
      <c r="E33" s="37" t="s">
        <v>525</v>
      </c>
      <c r="F33" s="37">
        <f t="shared" si="9"/>
        <v>0</v>
      </c>
      <c r="G33" s="37">
        <f t="shared" si="10"/>
        <v>0</v>
      </c>
      <c r="H33" s="37">
        <f t="shared" si="10"/>
        <v>0</v>
      </c>
      <c r="I33" s="37">
        <f t="shared" si="10"/>
        <v>0</v>
      </c>
      <c r="J33" s="37">
        <f t="shared" si="10"/>
        <v>0</v>
      </c>
      <c r="K33" s="37">
        <f t="shared" si="10"/>
        <v>0</v>
      </c>
      <c r="L33" s="37">
        <f t="shared" si="10"/>
        <v>0</v>
      </c>
      <c r="M33" s="37">
        <f t="shared" si="10"/>
        <v>0</v>
      </c>
      <c r="N33" s="37">
        <f t="shared" si="10"/>
        <v>0</v>
      </c>
      <c r="O33" s="37">
        <f t="shared" si="10"/>
        <v>0</v>
      </c>
      <c r="P33" s="37">
        <f t="shared" si="10"/>
        <v>0</v>
      </c>
      <c r="Q33" s="37">
        <f t="shared" si="7"/>
        <v>0</v>
      </c>
      <c r="R33" s="37">
        <f t="shared" si="8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(HLOOKUP(D1,場租收支對列及移用留存數!3:6,4,FALSE)+HLOOKUP(D1,場租收支對列及移用留存數!14:16,3,FALSE))*1000</f>
        <v>5000</v>
      </c>
      <c r="E36" s="37" t="s">
        <v>193</v>
      </c>
      <c r="F36" s="37">
        <f>ROUND($D36/2,-3)</f>
        <v>3000</v>
      </c>
      <c r="G36" s="37"/>
      <c r="H36" s="37"/>
      <c r="I36" s="37"/>
      <c r="J36" s="37"/>
      <c r="K36" s="37"/>
      <c r="L36" s="37">
        <f>D36-F36</f>
        <v>2000</v>
      </c>
      <c r="M36" s="37"/>
      <c r="N36" s="37"/>
      <c r="O36" s="37"/>
      <c r="P36" s="37"/>
      <c r="Q36" s="37"/>
      <c r="R36" s="37">
        <f t="shared" si="8"/>
        <v>0</v>
      </c>
    </row>
    <row r="37" spans="1:18">
      <c r="A37" s="269"/>
      <c r="B37" s="105" t="s">
        <v>206</v>
      </c>
      <c r="C37" s="78"/>
      <c r="D37" s="108">
        <f>SUM(D26:D36)</f>
        <v>347000</v>
      </c>
      <c r="E37" s="108"/>
      <c r="F37" s="108">
        <f t="shared" ref="F37:P37" si="11">ROUND(SUM(F26:F36),-3)</f>
        <v>33000</v>
      </c>
      <c r="G37" s="108">
        <f t="shared" si="11"/>
        <v>23000</v>
      </c>
      <c r="H37" s="108">
        <f t="shared" si="11"/>
        <v>30000</v>
      </c>
      <c r="I37" s="108">
        <f t="shared" si="11"/>
        <v>30000</v>
      </c>
      <c r="J37" s="108">
        <f t="shared" si="11"/>
        <v>30000</v>
      </c>
      <c r="K37" s="108">
        <f t="shared" si="11"/>
        <v>30000</v>
      </c>
      <c r="L37" s="108">
        <f t="shared" si="11"/>
        <v>25000</v>
      </c>
      <c r="M37" s="108">
        <f t="shared" si="11"/>
        <v>30000</v>
      </c>
      <c r="N37" s="108">
        <f t="shared" si="11"/>
        <v>30000</v>
      </c>
      <c r="O37" s="108">
        <f t="shared" si="11"/>
        <v>30000</v>
      </c>
      <c r="P37" s="108">
        <f t="shared" si="11"/>
        <v>30000</v>
      </c>
      <c r="Q37" s="108">
        <f>D37-SUM(F37:P37)</f>
        <v>26000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2">ROUND(SUM(G38:G39),-3)</f>
        <v>0</v>
      </c>
      <c r="H40" s="108">
        <f t="shared" si="12"/>
        <v>0</v>
      </c>
      <c r="I40" s="108">
        <f t="shared" si="12"/>
        <v>0</v>
      </c>
      <c r="J40" s="108">
        <f t="shared" si="12"/>
        <v>0</v>
      </c>
      <c r="K40" s="108">
        <f t="shared" si="12"/>
        <v>0</v>
      </c>
      <c r="L40" s="108">
        <f t="shared" si="12"/>
        <v>0</v>
      </c>
      <c r="M40" s="108">
        <f t="shared" si="12"/>
        <v>0</v>
      </c>
      <c r="N40" s="108">
        <f t="shared" si="12"/>
        <v>0</v>
      </c>
      <c r="O40" s="108">
        <f t="shared" si="12"/>
        <v>0</v>
      </c>
      <c r="P40" s="108">
        <f t="shared" si="12"/>
        <v>0</v>
      </c>
      <c r="Q40" s="108">
        <f t="shared" si="12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3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HLOOKUP($D$1,概算表!$E$12:$DA$78,26,FALSE)</f>
        <v>12000</v>
      </c>
      <c r="E42" s="37" t="s">
        <v>199</v>
      </c>
      <c r="F42" s="37"/>
      <c r="G42" s="37"/>
      <c r="H42" s="37"/>
      <c r="I42" s="37">
        <f>D42</f>
        <v>12000</v>
      </c>
      <c r="J42" s="37"/>
      <c r="K42" s="37"/>
      <c r="L42" s="37"/>
      <c r="M42" s="37"/>
      <c r="N42" s="37"/>
      <c r="O42" s="37"/>
      <c r="P42" s="37"/>
      <c r="Q42" s="37"/>
      <c r="R42" s="37">
        <f t="shared" si="13"/>
        <v>0</v>
      </c>
    </row>
    <row r="43" spans="1:18">
      <c r="A43" s="269"/>
      <c r="B43" s="23" t="s">
        <v>142</v>
      </c>
      <c r="C43" s="24">
        <v>661</v>
      </c>
      <c r="D43" s="37">
        <f>HLOOKUP($D$1,概算表!$E$12:$DA$78,27,FALSE)</f>
        <v>1000</v>
      </c>
      <c r="E43" s="37" t="s">
        <v>200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3"/>
        <v>0</v>
      </c>
    </row>
    <row r="44" spans="1:18">
      <c r="A44" s="269"/>
      <c r="B44" s="23" t="s">
        <v>143</v>
      </c>
      <c r="C44" s="24">
        <v>663</v>
      </c>
      <c r="D44" s="37">
        <f>HLOOKUP($D$1,概算表!$E$12:$DA$78,28,FALSE)</f>
        <v>11000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11000</v>
      </c>
      <c r="M44" s="37"/>
      <c r="N44" s="37"/>
      <c r="O44" s="37"/>
      <c r="P44" s="37"/>
      <c r="Q44" s="37"/>
      <c r="R44" s="37">
        <f t="shared" si="13"/>
        <v>0</v>
      </c>
    </row>
    <row r="45" spans="1:18" ht="15" customHeight="1">
      <c r="A45" s="269"/>
      <c r="B45" s="106" t="s">
        <v>207</v>
      </c>
      <c r="C45" s="107"/>
      <c r="D45" s="108">
        <f>SUM(D42:D44)</f>
        <v>24000</v>
      </c>
      <c r="E45" s="108"/>
      <c r="F45" s="108">
        <f t="shared" ref="F45:P45" si="14">ROUND(SUM(F42:F44),-3)</f>
        <v>1000</v>
      </c>
      <c r="G45" s="108">
        <f t="shared" si="14"/>
        <v>0</v>
      </c>
      <c r="H45" s="108">
        <f t="shared" si="14"/>
        <v>0</v>
      </c>
      <c r="I45" s="108">
        <f t="shared" si="14"/>
        <v>12000</v>
      </c>
      <c r="J45" s="108">
        <f t="shared" si="14"/>
        <v>0</v>
      </c>
      <c r="K45" s="108">
        <f t="shared" si="14"/>
        <v>0</v>
      </c>
      <c r="L45" s="108">
        <f t="shared" si="14"/>
        <v>11000</v>
      </c>
      <c r="M45" s="108">
        <f t="shared" si="14"/>
        <v>0</v>
      </c>
      <c r="N45" s="108">
        <f t="shared" si="14"/>
        <v>0</v>
      </c>
      <c r="O45" s="108">
        <f t="shared" si="14"/>
        <v>0</v>
      </c>
      <c r="P45" s="108">
        <f t="shared" si="14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HLOOKUP($D$1,概算表!$E$12:$DA$78,29,FALSE)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3"/>
        <v>0</v>
      </c>
    </row>
    <row r="47" spans="1:18" ht="32.4">
      <c r="A47" s="269"/>
      <c r="B47" s="105" t="s">
        <v>208</v>
      </c>
      <c r="C47" s="78"/>
      <c r="D47" s="108">
        <f>SUM(D46)</f>
        <v>0</v>
      </c>
      <c r="E47" s="108"/>
      <c r="F47" s="108">
        <f t="shared" ref="F47:P47" si="15">ROUND(SUM(F46),-3)</f>
        <v>0</v>
      </c>
      <c r="G47" s="108">
        <f t="shared" si="15"/>
        <v>0</v>
      </c>
      <c r="H47" s="108">
        <f t="shared" si="15"/>
        <v>0</v>
      </c>
      <c r="I47" s="108">
        <f t="shared" si="15"/>
        <v>0</v>
      </c>
      <c r="J47" s="108">
        <f t="shared" si="15"/>
        <v>0</v>
      </c>
      <c r="K47" s="108">
        <f t="shared" si="15"/>
        <v>0</v>
      </c>
      <c r="L47" s="108">
        <f t="shared" si="15"/>
        <v>0</v>
      </c>
      <c r="M47" s="108">
        <f t="shared" si="15"/>
        <v>0</v>
      </c>
      <c r="N47" s="108">
        <f t="shared" si="15"/>
        <v>0</v>
      </c>
      <c r="O47" s="108">
        <f t="shared" si="15"/>
        <v>0</v>
      </c>
      <c r="P47" s="108">
        <f t="shared" si="15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1525000</v>
      </c>
      <c r="E48" s="37"/>
      <c r="F48" s="115">
        <f>F25+F37+F45+F47</f>
        <v>283000</v>
      </c>
      <c r="G48" s="115">
        <f t="shared" ref="G48:R48" si="16">G25+G37+G45+G47</f>
        <v>110000</v>
      </c>
      <c r="H48" s="115">
        <f t="shared" si="16"/>
        <v>117000</v>
      </c>
      <c r="I48" s="115">
        <f t="shared" si="16"/>
        <v>129000</v>
      </c>
      <c r="J48" s="115">
        <f t="shared" si="16"/>
        <v>117000</v>
      </c>
      <c r="K48" s="115">
        <f t="shared" si="16"/>
        <v>117000</v>
      </c>
      <c r="L48" s="115">
        <f t="shared" si="16"/>
        <v>162000</v>
      </c>
      <c r="M48" s="115">
        <f t="shared" si="16"/>
        <v>117000</v>
      </c>
      <c r="N48" s="115">
        <f t="shared" si="16"/>
        <v>117000</v>
      </c>
      <c r="O48" s="115">
        <f t="shared" si="16"/>
        <v>115000</v>
      </c>
      <c r="P48" s="115">
        <f t="shared" si="16"/>
        <v>74000</v>
      </c>
      <c r="Q48" s="115">
        <f t="shared" si="16"/>
        <v>67000</v>
      </c>
      <c r="R48" s="115">
        <f t="shared" si="16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HLOOKUP($D$1,概算表!$E$12:$DA$78,36,FALSE)</f>
        <v>12087000</v>
      </c>
      <c r="E49" s="114" t="s">
        <v>202</v>
      </c>
      <c r="F49" s="37">
        <f>ROUND($D49/12*3,-3)</f>
        <v>3022000</v>
      </c>
      <c r="G49" s="37">
        <f>ROUND($D49/12,-3)</f>
        <v>1007000</v>
      </c>
      <c r="H49" s="37">
        <f t="shared" ref="H49:N53" si="17">ROUND($D49/12,-3)</f>
        <v>1007000</v>
      </c>
      <c r="I49" s="37">
        <f t="shared" si="17"/>
        <v>1007000</v>
      </c>
      <c r="J49" s="37">
        <f t="shared" si="17"/>
        <v>1007000</v>
      </c>
      <c r="K49" s="37">
        <f t="shared" si="17"/>
        <v>1007000</v>
      </c>
      <c r="L49" s="37">
        <f t="shared" si="17"/>
        <v>1007000</v>
      </c>
      <c r="M49" s="37">
        <f t="shared" si="17"/>
        <v>1007000</v>
      </c>
      <c r="N49" s="37">
        <f t="shared" si="17"/>
        <v>1007000</v>
      </c>
      <c r="O49" s="37">
        <f>D49-SUM(F49:N49)</f>
        <v>1009000</v>
      </c>
      <c r="P49" s="37"/>
      <c r="Q49" s="37"/>
      <c r="R49" s="37">
        <f t="shared" si="13"/>
        <v>0</v>
      </c>
    </row>
    <row r="50" spans="1:18" ht="32.4">
      <c r="A50" s="270"/>
      <c r="B50" s="19" t="s">
        <v>527</v>
      </c>
      <c r="C50" s="15">
        <v>114</v>
      </c>
      <c r="D50" s="37">
        <f>HLOOKUP($D$1,概算表!$E$12:$DA$78,37,FALSE)</f>
        <v>0</v>
      </c>
      <c r="E50" s="114" t="s">
        <v>202</v>
      </c>
      <c r="F50" s="37">
        <f t="shared" ref="F50:F53" si="18">ROUND($D50/12*3,-3)</f>
        <v>0</v>
      </c>
      <c r="G50" s="37">
        <f t="shared" ref="G50:G53" si="19">ROUND($D50/12,-3)</f>
        <v>0</v>
      </c>
      <c r="H50" s="37">
        <f t="shared" si="17"/>
        <v>0</v>
      </c>
      <c r="I50" s="37">
        <f t="shared" si="17"/>
        <v>0</v>
      </c>
      <c r="J50" s="37">
        <f t="shared" si="17"/>
        <v>0</v>
      </c>
      <c r="K50" s="37">
        <f t="shared" si="17"/>
        <v>0</v>
      </c>
      <c r="L50" s="37">
        <f t="shared" si="17"/>
        <v>0</v>
      </c>
      <c r="M50" s="37">
        <f t="shared" si="17"/>
        <v>0</v>
      </c>
      <c r="N50" s="37">
        <f t="shared" si="17"/>
        <v>0</v>
      </c>
      <c r="O50" s="37">
        <f t="shared" ref="O50:O53" si="20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HLOOKUP($D$1,概算表!$E$12:$DA$78,38,FALSE)</f>
        <v>0</v>
      </c>
      <c r="E51" s="114" t="s">
        <v>202</v>
      </c>
      <c r="F51" s="37">
        <f t="shared" si="18"/>
        <v>0</v>
      </c>
      <c r="G51" s="37">
        <f t="shared" si="19"/>
        <v>0</v>
      </c>
      <c r="H51" s="37">
        <f t="shared" si="17"/>
        <v>0</v>
      </c>
      <c r="I51" s="37">
        <f t="shared" si="17"/>
        <v>0</v>
      </c>
      <c r="J51" s="37">
        <f t="shared" si="17"/>
        <v>0</v>
      </c>
      <c r="K51" s="37">
        <f t="shared" si="17"/>
        <v>0</v>
      </c>
      <c r="L51" s="37">
        <f t="shared" si="17"/>
        <v>0</v>
      </c>
      <c r="M51" s="37">
        <f t="shared" si="17"/>
        <v>0</v>
      </c>
      <c r="N51" s="37">
        <f t="shared" si="17"/>
        <v>0</v>
      </c>
      <c r="O51" s="37">
        <f t="shared" si="20"/>
        <v>0</v>
      </c>
      <c r="P51" s="37"/>
      <c r="Q51" s="37"/>
      <c r="R51" s="37">
        <f t="shared" si="13"/>
        <v>0</v>
      </c>
    </row>
    <row r="52" spans="1:18" ht="32.4">
      <c r="A52" s="270"/>
      <c r="B52" s="19" t="s">
        <v>152</v>
      </c>
      <c r="C52" s="15">
        <v>114</v>
      </c>
      <c r="D52" s="37">
        <f>HLOOKUP($D$1,概算表!$E$12:$DA$78,39,FALSE)</f>
        <v>0</v>
      </c>
      <c r="E52" s="114" t="s">
        <v>202</v>
      </c>
      <c r="F52" s="37">
        <f t="shared" si="18"/>
        <v>0</v>
      </c>
      <c r="G52" s="37">
        <f t="shared" si="19"/>
        <v>0</v>
      </c>
      <c r="H52" s="37">
        <f t="shared" si="17"/>
        <v>0</v>
      </c>
      <c r="I52" s="37">
        <f t="shared" si="17"/>
        <v>0</v>
      </c>
      <c r="J52" s="37">
        <f t="shared" si="17"/>
        <v>0</v>
      </c>
      <c r="K52" s="37">
        <f t="shared" si="17"/>
        <v>0</v>
      </c>
      <c r="L52" s="37">
        <f t="shared" si="17"/>
        <v>0</v>
      </c>
      <c r="M52" s="37">
        <f t="shared" si="17"/>
        <v>0</v>
      </c>
      <c r="N52" s="37">
        <f t="shared" si="17"/>
        <v>0</v>
      </c>
      <c r="O52" s="37">
        <f t="shared" si="20"/>
        <v>0</v>
      </c>
      <c r="P52" s="37"/>
      <c r="Q52" s="37"/>
      <c r="R52" s="37">
        <f t="shared" si="13"/>
        <v>0</v>
      </c>
    </row>
    <row r="53" spans="1:18" ht="32.4">
      <c r="A53" s="270"/>
      <c r="B53" s="19" t="s">
        <v>153</v>
      </c>
      <c r="C53" s="15">
        <v>114</v>
      </c>
      <c r="D53" s="37">
        <f>HLOOKUP($D$1,概算表!$E$12:$DA$78,40,FALSE)</f>
        <v>0</v>
      </c>
      <c r="E53" s="114" t="s">
        <v>202</v>
      </c>
      <c r="F53" s="37">
        <f t="shared" si="18"/>
        <v>0</v>
      </c>
      <c r="G53" s="37">
        <f t="shared" si="19"/>
        <v>0</v>
      </c>
      <c r="H53" s="37">
        <f t="shared" si="17"/>
        <v>0</v>
      </c>
      <c r="I53" s="37">
        <f t="shared" si="17"/>
        <v>0</v>
      </c>
      <c r="J53" s="37">
        <f t="shared" si="17"/>
        <v>0</v>
      </c>
      <c r="K53" s="37">
        <f t="shared" si="17"/>
        <v>0</v>
      </c>
      <c r="L53" s="37">
        <f t="shared" si="17"/>
        <v>0</v>
      </c>
      <c r="M53" s="37">
        <f t="shared" si="17"/>
        <v>0</v>
      </c>
      <c r="N53" s="37">
        <f t="shared" si="17"/>
        <v>0</v>
      </c>
      <c r="O53" s="37">
        <f t="shared" si="20"/>
        <v>0</v>
      </c>
      <c r="P53" s="37"/>
      <c r="Q53" s="37"/>
      <c r="R53" s="37">
        <f t="shared" si="13"/>
        <v>0</v>
      </c>
    </row>
    <row r="54" spans="1:18" ht="32.4">
      <c r="A54" s="270"/>
      <c r="B54" s="19" t="s">
        <v>154</v>
      </c>
      <c r="C54" s="15">
        <v>124</v>
      </c>
      <c r="D54" s="37">
        <f>HLOOKUP($D$1,概算表!$E$12:$DA$78,41,FALSE)</f>
        <v>26000</v>
      </c>
      <c r="E54" s="37" t="s">
        <v>525</v>
      </c>
      <c r="F54" s="37">
        <f t="shared" ref="F54:P61" si="21">ROUND($D54/12,0)</f>
        <v>2167</v>
      </c>
      <c r="G54" s="37">
        <f t="shared" si="21"/>
        <v>2167</v>
      </c>
      <c r="H54" s="37">
        <f t="shared" si="21"/>
        <v>2167</v>
      </c>
      <c r="I54" s="37">
        <f t="shared" si="21"/>
        <v>2167</v>
      </c>
      <c r="J54" s="37">
        <f t="shared" si="21"/>
        <v>2167</v>
      </c>
      <c r="K54" s="37">
        <f t="shared" si="21"/>
        <v>2167</v>
      </c>
      <c r="L54" s="37">
        <f t="shared" si="21"/>
        <v>2167</v>
      </c>
      <c r="M54" s="37">
        <f t="shared" si="21"/>
        <v>2167</v>
      </c>
      <c r="N54" s="37">
        <f t="shared" si="21"/>
        <v>2167</v>
      </c>
      <c r="O54" s="37">
        <f t="shared" si="21"/>
        <v>2167</v>
      </c>
      <c r="P54" s="37">
        <f t="shared" si="21"/>
        <v>2167</v>
      </c>
      <c r="Q54" s="37">
        <f t="shared" ref="Q54:Q61" si="22">D54-SUM(F54:P54)</f>
        <v>2163</v>
      </c>
      <c r="R54" s="37">
        <f t="shared" si="13"/>
        <v>0</v>
      </c>
    </row>
    <row r="55" spans="1:18">
      <c r="A55" s="270"/>
      <c r="B55" s="19" t="s">
        <v>155</v>
      </c>
      <c r="C55" s="15">
        <v>124</v>
      </c>
      <c r="D55" s="37">
        <f>HLOOKUP($D$1,概算表!$E$12:$DA$78,42,FALSE)</f>
        <v>0</v>
      </c>
      <c r="E55" s="37" t="s">
        <v>525</v>
      </c>
      <c r="F55" s="37">
        <f t="shared" si="21"/>
        <v>0</v>
      </c>
      <c r="G55" s="37">
        <f t="shared" si="21"/>
        <v>0</v>
      </c>
      <c r="H55" s="37">
        <f t="shared" si="21"/>
        <v>0</v>
      </c>
      <c r="I55" s="37">
        <f t="shared" si="21"/>
        <v>0</v>
      </c>
      <c r="J55" s="37">
        <f t="shared" si="21"/>
        <v>0</v>
      </c>
      <c r="K55" s="37">
        <f t="shared" si="21"/>
        <v>0</v>
      </c>
      <c r="L55" s="37">
        <f t="shared" si="21"/>
        <v>0</v>
      </c>
      <c r="M55" s="37">
        <f t="shared" si="21"/>
        <v>0</v>
      </c>
      <c r="N55" s="37">
        <f t="shared" si="21"/>
        <v>0</v>
      </c>
      <c r="O55" s="37">
        <f t="shared" si="21"/>
        <v>0</v>
      </c>
      <c r="P55" s="37">
        <f t="shared" si="21"/>
        <v>0</v>
      </c>
      <c r="Q55" s="37">
        <f t="shared" si="22"/>
        <v>0</v>
      </c>
      <c r="R55" s="37">
        <f t="shared" si="13"/>
        <v>0</v>
      </c>
    </row>
    <row r="56" spans="1:18">
      <c r="A56" s="270"/>
      <c r="B56" s="19" t="s">
        <v>156</v>
      </c>
      <c r="C56" s="15">
        <v>124</v>
      </c>
      <c r="D56" s="37">
        <f>HLOOKUP($D$1,概算表!$E$12:$DA$78,43,FALSE)</f>
        <v>0</v>
      </c>
      <c r="E56" s="37" t="s">
        <v>525</v>
      </c>
      <c r="F56" s="37">
        <f t="shared" si="21"/>
        <v>0</v>
      </c>
      <c r="G56" s="37">
        <f t="shared" si="21"/>
        <v>0</v>
      </c>
      <c r="H56" s="37">
        <f t="shared" si="21"/>
        <v>0</v>
      </c>
      <c r="I56" s="37">
        <f t="shared" si="21"/>
        <v>0</v>
      </c>
      <c r="J56" s="37">
        <f t="shared" si="21"/>
        <v>0</v>
      </c>
      <c r="K56" s="37">
        <f t="shared" si="21"/>
        <v>0</v>
      </c>
      <c r="L56" s="37">
        <f t="shared" si="21"/>
        <v>0</v>
      </c>
      <c r="M56" s="37">
        <f t="shared" si="21"/>
        <v>0</v>
      </c>
      <c r="N56" s="37">
        <f t="shared" si="21"/>
        <v>0</v>
      </c>
      <c r="O56" s="37">
        <f t="shared" si="21"/>
        <v>0</v>
      </c>
      <c r="P56" s="37">
        <f t="shared" si="21"/>
        <v>0</v>
      </c>
      <c r="Q56" s="37">
        <f t="shared" si="22"/>
        <v>0</v>
      </c>
      <c r="R56" s="37">
        <f t="shared" si="13"/>
        <v>0</v>
      </c>
    </row>
    <row r="57" spans="1:18">
      <c r="A57" s="270"/>
      <c r="B57" s="19" t="s">
        <v>157</v>
      </c>
      <c r="C57" s="15">
        <v>124</v>
      </c>
      <c r="D57" s="37">
        <f>HLOOKUP($D$1,概算表!$E$12:$DA$78,44,FALSE)</f>
        <v>0</v>
      </c>
      <c r="E57" s="37" t="s">
        <v>525</v>
      </c>
      <c r="F57" s="37">
        <f t="shared" si="21"/>
        <v>0</v>
      </c>
      <c r="G57" s="37">
        <f t="shared" si="21"/>
        <v>0</v>
      </c>
      <c r="H57" s="37">
        <f t="shared" si="21"/>
        <v>0</v>
      </c>
      <c r="I57" s="37">
        <f t="shared" si="21"/>
        <v>0</v>
      </c>
      <c r="J57" s="37">
        <f t="shared" si="21"/>
        <v>0</v>
      </c>
      <c r="K57" s="37">
        <f t="shared" si="21"/>
        <v>0</v>
      </c>
      <c r="L57" s="37">
        <f t="shared" si="21"/>
        <v>0</v>
      </c>
      <c r="M57" s="37">
        <f t="shared" si="21"/>
        <v>0</v>
      </c>
      <c r="N57" s="37">
        <f t="shared" si="21"/>
        <v>0</v>
      </c>
      <c r="O57" s="37">
        <f t="shared" si="21"/>
        <v>0</v>
      </c>
      <c r="P57" s="37">
        <f t="shared" si="21"/>
        <v>0</v>
      </c>
      <c r="Q57" s="37">
        <f t="shared" si="22"/>
        <v>0</v>
      </c>
      <c r="R57" s="37">
        <f t="shared" si="13"/>
        <v>0</v>
      </c>
    </row>
    <row r="58" spans="1:18">
      <c r="A58" s="270"/>
      <c r="B58" s="19" t="s">
        <v>158</v>
      </c>
      <c r="C58" s="15">
        <v>124</v>
      </c>
      <c r="D58" s="37">
        <f>HLOOKUP($D$1,概算表!$E$12:$DA$78,45,FALSE)</f>
        <v>0</v>
      </c>
      <c r="E58" s="37" t="s">
        <v>525</v>
      </c>
      <c r="F58" s="37">
        <f t="shared" si="21"/>
        <v>0</v>
      </c>
      <c r="G58" s="37">
        <f t="shared" si="21"/>
        <v>0</v>
      </c>
      <c r="H58" s="37">
        <f t="shared" si="21"/>
        <v>0</v>
      </c>
      <c r="I58" s="37">
        <f t="shared" si="21"/>
        <v>0</v>
      </c>
      <c r="J58" s="37">
        <f t="shared" si="21"/>
        <v>0</v>
      </c>
      <c r="K58" s="37">
        <f t="shared" si="21"/>
        <v>0</v>
      </c>
      <c r="L58" s="37">
        <f t="shared" si="21"/>
        <v>0</v>
      </c>
      <c r="M58" s="37">
        <f t="shared" si="21"/>
        <v>0</v>
      </c>
      <c r="N58" s="37">
        <f t="shared" si="21"/>
        <v>0</v>
      </c>
      <c r="O58" s="37">
        <f t="shared" si="21"/>
        <v>0</v>
      </c>
      <c r="P58" s="37">
        <f t="shared" si="21"/>
        <v>0</v>
      </c>
      <c r="Q58" s="37">
        <f t="shared" si="22"/>
        <v>0</v>
      </c>
      <c r="R58" s="37">
        <f t="shared" si="13"/>
        <v>0</v>
      </c>
    </row>
    <row r="59" spans="1:18" ht="32.4">
      <c r="A59" s="270"/>
      <c r="B59" s="19" t="s">
        <v>159</v>
      </c>
      <c r="C59" s="15">
        <v>131</v>
      </c>
      <c r="D59" s="37">
        <f>HLOOKUP($D$1,概算表!$E$12:$DA$78,46,FALSE)</f>
        <v>24000</v>
      </c>
      <c r="E59" s="37" t="s">
        <v>525</v>
      </c>
      <c r="F59" s="37">
        <f t="shared" si="21"/>
        <v>2000</v>
      </c>
      <c r="G59" s="37">
        <f t="shared" si="21"/>
        <v>2000</v>
      </c>
      <c r="H59" s="37">
        <f t="shared" si="21"/>
        <v>2000</v>
      </c>
      <c r="I59" s="37">
        <f t="shared" si="21"/>
        <v>2000</v>
      </c>
      <c r="J59" s="37">
        <f t="shared" si="21"/>
        <v>2000</v>
      </c>
      <c r="K59" s="37">
        <f t="shared" si="21"/>
        <v>2000</v>
      </c>
      <c r="L59" s="37">
        <f t="shared" si="21"/>
        <v>2000</v>
      </c>
      <c r="M59" s="37">
        <f t="shared" si="21"/>
        <v>2000</v>
      </c>
      <c r="N59" s="37">
        <f t="shared" si="21"/>
        <v>2000</v>
      </c>
      <c r="O59" s="37">
        <f t="shared" si="21"/>
        <v>2000</v>
      </c>
      <c r="P59" s="37">
        <f t="shared" si="21"/>
        <v>2000</v>
      </c>
      <c r="Q59" s="37">
        <f t="shared" si="22"/>
        <v>2000</v>
      </c>
      <c r="R59" s="37">
        <f t="shared" si="13"/>
        <v>0</v>
      </c>
    </row>
    <row r="60" spans="1:18">
      <c r="A60" s="270"/>
      <c r="B60" s="19" t="s">
        <v>685</v>
      </c>
      <c r="C60" s="15">
        <v>131</v>
      </c>
      <c r="D60" s="37">
        <f>HLOOKUP($D$1,概算表!$E$12:$DA$78,47,FALSE)</f>
        <v>189000</v>
      </c>
      <c r="E60" s="37" t="s">
        <v>195</v>
      </c>
      <c r="F60" s="37">
        <f>D60</f>
        <v>189000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3"/>
        <v>0</v>
      </c>
    </row>
    <row r="61" spans="1:18">
      <c r="A61" s="270"/>
      <c r="B61" s="19" t="s">
        <v>160</v>
      </c>
      <c r="C61" s="15">
        <v>132</v>
      </c>
      <c r="D61" s="37">
        <f>HLOOKUP($D$1,概算表!$E$12:$DA$78,48,FALSE)</f>
        <v>0</v>
      </c>
      <c r="E61" s="37" t="s">
        <v>525</v>
      </c>
      <c r="F61" s="37">
        <f t="shared" si="21"/>
        <v>0</v>
      </c>
      <c r="G61" s="37">
        <f t="shared" si="21"/>
        <v>0</v>
      </c>
      <c r="H61" s="37">
        <f t="shared" si="21"/>
        <v>0</v>
      </c>
      <c r="I61" s="37">
        <f t="shared" si="21"/>
        <v>0</v>
      </c>
      <c r="J61" s="37">
        <f t="shared" si="21"/>
        <v>0</v>
      </c>
      <c r="K61" s="37">
        <f t="shared" si="21"/>
        <v>0</v>
      </c>
      <c r="L61" s="37">
        <f t="shared" si="21"/>
        <v>0</v>
      </c>
      <c r="M61" s="37">
        <f t="shared" si="21"/>
        <v>0</v>
      </c>
      <c r="N61" s="37">
        <f t="shared" si="21"/>
        <v>0</v>
      </c>
      <c r="O61" s="37">
        <f t="shared" si="21"/>
        <v>0</v>
      </c>
      <c r="P61" s="37">
        <f t="shared" si="21"/>
        <v>0</v>
      </c>
      <c r="Q61" s="37">
        <f t="shared" si="22"/>
        <v>0</v>
      </c>
      <c r="R61" s="37">
        <f t="shared" si="13"/>
        <v>0</v>
      </c>
    </row>
    <row r="62" spans="1:18">
      <c r="A62" s="270"/>
      <c r="B62" s="19" t="s">
        <v>161</v>
      </c>
      <c r="C62" s="15">
        <v>151</v>
      </c>
      <c r="D62" s="37">
        <f>HLOOKUP($D$1,概算表!$E$12:$DA$78,49,FALSE)</f>
        <v>896000</v>
      </c>
      <c r="E62" s="37" t="s">
        <v>197</v>
      </c>
      <c r="F62" s="37"/>
      <c r="G62" s="37"/>
      <c r="H62" s="37"/>
      <c r="I62" s="37">
        <f>ROUND($D62/5,-3)</f>
        <v>179000</v>
      </c>
      <c r="J62" s="37"/>
      <c r="K62" s="37"/>
      <c r="L62" s="37"/>
      <c r="M62" s="37"/>
      <c r="N62" s="37">
        <f>D62-I62</f>
        <v>717000</v>
      </c>
      <c r="O62" s="37"/>
      <c r="P62" s="37"/>
      <c r="Q62" s="37"/>
      <c r="R62" s="37">
        <f t="shared" si="13"/>
        <v>0</v>
      </c>
    </row>
    <row r="63" spans="1:18">
      <c r="A63" s="270"/>
      <c r="B63" s="19" t="s">
        <v>162</v>
      </c>
      <c r="C63" s="15">
        <v>152</v>
      </c>
      <c r="D63" s="37">
        <f>HLOOKUP($D$1,概算表!$E$12:$DA$78,50,FALSE)</f>
        <v>1368000</v>
      </c>
      <c r="E63" s="37" t="s">
        <v>195</v>
      </c>
      <c r="F63" s="37">
        <f>D63</f>
        <v>1368000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3"/>
        <v>0</v>
      </c>
    </row>
    <row r="64" spans="1:18" ht="32.4">
      <c r="A64" s="270"/>
      <c r="B64" s="19" t="s">
        <v>163</v>
      </c>
      <c r="C64" s="15">
        <v>161</v>
      </c>
      <c r="D64" s="37">
        <f>HLOOKUP($D$1,概算表!$E$12:$DA$78,51,FALSE)</f>
        <v>1056000</v>
      </c>
      <c r="E64" s="114" t="s">
        <v>202</v>
      </c>
      <c r="F64" s="37">
        <f>ROUND($D64/12*3,-3)</f>
        <v>264000</v>
      </c>
      <c r="G64" s="37">
        <f>ROUND($D64/12,-3)</f>
        <v>88000</v>
      </c>
      <c r="H64" s="37">
        <f t="shared" ref="H64:N66" si="23">ROUND($D64/12,-3)</f>
        <v>88000</v>
      </c>
      <c r="I64" s="37">
        <f t="shared" si="23"/>
        <v>88000</v>
      </c>
      <c r="J64" s="37">
        <f t="shared" si="23"/>
        <v>88000</v>
      </c>
      <c r="K64" s="37">
        <f t="shared" si="23"/>
        <v>88000</v>
      </c>
      <c r="L64" s="37">
        <f t="shared" si="23"/>
        <v>88000</v>
      </c>
      <c r="M64" s="37">
        <f t="shared" si="23"/>
        <v>88000</v>
      </c>
      <c r="N64" s="37">
        <f t="shared" si="23"/>
        <v>88000</v>
      </c>
      <c r="O64" s="37">
        <f>D64-SUM(F64:N64)</f>
        <v>88000</v>
      </c>
      <c r="P64" s="37"/>
      <c r="Q64" s="37"/>
      <c r="R64" s="37">
        <f t="shared" si="13"/>
        <v>0</v>
      </c>
    </row>
    <row r="65" spans="1:18" ht="32.4">
      <c r="A65" s="270"/>
      <c r="B65" s="19" t="s">
        <v>164</v>
      </c>
      <c r="C65" s="15">
        <v>181</v>
      </c>
      <c r="D65" s="37">
        <f>HLOOKUP($D$1,概算表!$E$12:$DA$78,52,FALSE)</f>
        <v>192000</v>
      </c>
      <c r="E65" s="114" t="s">
        <v>202</v>
      </c>
      <c r="F65" s="37">
        <f t="shared" ref="F65:F66" si="24">ROUND($D65/12*3,-3)</f>
        <v>48000</v>
      </c>
      <c r="G65" s="37">
        <f t="shared" ref="G65:G66" si="25">ROUND($D65/12,-3)</f>
        <v>16000</v>
      </c>
      <c r="H65" s="37">
        <f t="shared" si="23"/>
        <v>16000</v>
      </c>
      <c r="I65" s="37">
        <f t="shared" si="23"/>
        <v>16000</v>
      </c>
      <c r="J65" s="37">
        <f t="shared" si="23"/>
        <v>16000</v>
      </c>
      <c r="K65" s="37">
        <f t="shared" si="23"/>
        <v>16000</v>
      </c>
      <c r="L65" s="37">
        <f t="shared" si="23"/>
        <v>16000</v>
      </c>
      <c r="M65" s="37">
        <f t="shared" si="23"/>
        <v>16000</v>
      </c>
      <c r="N65" s="37">
        <f t="shared" si="23"/>
        <v>16000</v>
      </c>
      <c r="O65" s="37">
        <f t="shared" ref="O65:O66" si="26">D65-SUM(F65:N65)</f>
        <v>16000</v>
      </c>
      <c r="P65" s="37"/>
      <c r="Q65" s="37"/>
      <c r="R65" s="37">
        <f t="shared" si="13"/>
        <v>0</v>
      </c>
    </row>
    <row r="66" spans="1:18" ht="32.4">
      <c r="A66" s="270"/>
      <c r="B66" s="19" t="s">
        <v>165</v>
      </c>
      <c r="C66" s="15">
        <v>181</v>
      </c>
      <c r="D66" s="37">
        <f>HLOOKUP($D$1,概算表!$E$12:$DA$78,53,FALSE)</f>
        <v>1062000</v>
      </c>
      <c r="E66" s="114" t="s">
        <v>202</v>
      </c>
      <c r="F66" s="37">
        <f t="shared" si="24"/>
        <v>266000</v>
      </c>
      <c r="G66" s="37">
        <f t="shared" si="25"/>
        <v>89000</v>
      </c>
      <c r="H66" s="37">
        <f t="shared" si="23"/>
        <v>89000</v>
      </c>
      <c r="I66" s="37">
        <f t="shared" si="23"/>
        <v>89000</v>
      </c>
      <c r="J66" s="37">
        <f t="shared" si="23"/>
        <v>89000</v>
      </c>
      <c r="K66" s="37">
        <f t="shared" si="23"/>
        <v>89000</v>
      </c>
      <c r="L66" s="37">
        <f t="shared" si="23"/>
        <v>89000</v>
      </c>
      <c r="M66" s="37">
        <f t="shared" si="23"/>
        <v>89000</v>
      </c>
      <c r="N66" s="37">
        <f t="shared" si="23"/>
        <v>89000</v>
      </c>
      <c r="O66" s="37">
        <f t="shared" si="26"/>
        <v>84000</v>
      </c>
      <c r="P66" s="37"/>
      <c r="Q66" s="37"/>
      <c r="R66" s="37">
        <f t="shared" si="13"/>
        <v>0</v>
      </c>
    </row>
    <row r="67" spans="1:18">
      <c r="A67" s="270"/>
      <c r="B67" s="19" t="s">
        <v>168</v>
      </c>
      <c r="C67" s="15">
        <v>183</v>
      </c>
      <c r="D67" s="37">
        <f>HLOOKUP($D$1,概算表!$E$12:$DA$78,54,FALSE)</f>
        <v>9000</v>
      </c>
      <c r="E67" s="37" t="s">
        <v>196</v>
      </c>
      <c r="F67" s="37"/>
      <c r="G67" s="37"/>
      <c r="H67" s="37">
        <f>D67</f>
        <v>9000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3"/>
        <v>0</v>
      </c>
    </row>
    <row r="68" spans="1:18">
      <c r="A68" s="270"/>
      <c r="B68" s="19" t="s">
        <v>166</v>
      </c>
      <c r="C68" s="15" t="s">
        <v>167</v>
      </c>
      <c r="D68" s="37">
        <f>HLOOKUP($D$1,概算表!$E$12:$DA$78,55,FALSE)</f>
        <v>102000</v>
      </c>
      <c r="E68" s="37" t="s">
        <v>195</v>
      </c>
      <c r="F68" s="37">
        <f>D68</f>
        <v>102000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3"/>
        <v>0</v>
      </c>
    </row>
    <row r="69" spans="1:18">
      <c r="A69" s="270"/>
      <c r="B69" s="20" t="s">
        <v>169</v>
      </c>
      <c r="C69" s="15" t="s">
        <v>146</v>
      </c>
      <c r="D69" s="37">
        <f>HLOOKUP($D$1,概算表!$E$12:$DA$78,56,FALSE)</f>
        <v>4000</v>
      </c>
      <c r="E69" s="37" t="s">
        <v>193</v>
      </c>
      <c r="F69" s="37">
        <f>ROUND($D69/2,-3)</f>
        <v>2000</v>
      </c>
      <c r="G69" s="37"/>
      <c r="H69" s="37"/>
      <c r="I69" s="37"/>
      <c r="J69" s="37"/>
      <c r="K69" s="37"/>
      <c r="L69" s="37">
        <f>D69-F69</f>
        <v>2000</v>
      </c>
      <c r="M69" s="37"/>
      <c r="N69" s="37"/>
      <c r="O69" s="37"/>
      <c r="P69" s="37"/>
      <c r="Q69" s="37"/>
      <c r="R69" s="37">
        <f t="shared" si="13"/>
        <v>0</v>
      </c>
    </row>
    <row r="70" spans="1:18">
      <c r="A70" s="270"/>
      <c r="B70" s="29" t="s">
        <v>177</v>
      </c>
      <c r="C70" s="29"/>
      <c r="D70" s="108">
        <f>SUM(D49:D69)</f>
        <v>17015000</v>
      </c>
      <c r="E70" s="108"/>
      <c r="F70" s="108">
        <f t="shared" ref="F70:P70" si="27">ROUND(SUM(F49:F69),-3)</f>
        <v>5265000</v>
      </c>
      <c r="G70" s="108">
        <f t="shared" si="27"/>
        <v>1204000</v>
      </c>
      <c r="H70" s="108">
        <f t="shared" si="27"/>
        <v>1213000</v>
      </c>
      <c r="I70" s="108">
        <f t="shared" si="27"/>
        <v>1383000</v>
      </c>
      <c r="J70" s="108">
        <f t="shared" si="27"/>
        <v>1204000</v>
      </c>
      <c r="K70" s="108">
        <f t="shared" si="27"/>
        <v>1204000</v>
      </c>
      <c r="L70" s="108">
        <f t="shared" si="27"/>
        <v>1206000</v>
      </c>
      <c r="M70" s="108">
        <f t="shared" si="27"/>
        <v>1204000</v>
      </c>
      <c r="N70" s="108">
        <f t="shared" si="27"/>
        <v>1921000</v>
      </c>
      <c r="O70" s="108">
        <f t="shared" si="27"/>
        <v>1201000</v>
      </c>
      <c r="P70" s="108">
        <f t="shared" si="27"/>
        <v>4000</v>
      </c>
      <c r="Q70" s="108">
        <f>D70-SUM(F70:P70)</f>
        <v>6000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3"/>
        <v>0</v>
      </c>
    </row>
    <row r="72" spans="1:18" ht="32.4">
      <c r="A72" s="271"/>
      <c r="B72" s="16" t="s">
        <v>172</v>
      </c>
      <c r="C72" s="14">
        <v>161</v>
      </c>
      <c r="D72" s="37">
        <f>HLOOKUP($D$1,概算表!$E$12:$DA$78,59,FALSE)</f>
        <v>1980000</v>
      </c>
      <c r="E72" s="114" t="s">
        <v>202</v>
      </c>
      <c r="F72" s="37">
        <f>ROUND($D72/12*3,-3)</f>
        <v>495000</v>
      </c>
      <c r="G72" s="37">
        <f>ROUND($D72/12,-3)</f>
        <v>165000</v>
      </c>
      <c r="H72" s="37">
        <f t="shared" ref="H72:N75" si="28">ROUND($D72/12,-3)</f>
        <v>165000</v>
      </c>
      <c r="I72" s="37">
        <f t="shared" si="28"/>
        <v>165000</v>
      </c>
      <c r="J72" s="37">
        <f t="shared" si="28"/>
        <v>165000</v>
      </c>
      <c r="K72" s="37">
        <f t="shared" si="28"/>
        <v>165000</v>
      </c>
      <c r="L72" s="37">
        <f t="shared" si="28"/>
        <v>165000</v>
      </c>
      <c r="M72" s="37">
        <f t="shared" si="28"/>
        <v>165000</v>
      </c>
      <c r="N72" s="37">
        <f t="shared" si="28"/>
        <v>165000</v>
      </c>
      <c r="O72" s="37">
        <f>D72-SUM(F72:N72)</f>
        <v>165000</v>
      </c>
      <c r="P72" s="37"/>
      <c r="Q72" s="37"/>
      <c r="R72" s="37">
        <f t="shared" si="13"/>
        <v>0</v>
      </c>
    </row>
    <row r="73" spans="1:18" ht="32.4">
      <c r="A73" s="271"/>
      <c r="B73" s="16" t="s">
        <v>173</v>
      </c>
      <c r="C73" s="14">
        <v>162</v>
      </c>
      <c r="D73" s="37">
        <f>HLOOKUP($D$1,概算表!$E$12:$DA$78,60,FALSE)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8"/>
        <v>0</v>
      </c>
      <c r="I73" s="37">
        <f t="shared" si="28"/>
        <v>0</v>
      </c>
      <c r="J73" s="37">
        <f t="shared" si="28"/>
        <v>0</v>
      </c>
      <c r="K73" s="37">
        <f t="shared" si="28"/>
        <v>0</v>
      </c>
      <c r="L73" s="37">
        <f t="shared" si="28"/>
        <v>0</v>
      </c>
      <c r="M73" s="37">
        <f t="shared" si="28"/>
        <v>0</v>
      </c>
      <c r="N73" s="37">
        <f t="shared" si="28"/>
        <v>0</v>
      </c>
      <c r="O73" s="37">
        <f>D73-SUM(F73:N73)</f>
        <v>0</v>
      </c>
      <c r="P73" s="37"/>
      <c r="Q73" s="37"/>
      <c r="R73" s="37">
        <f t="shared" si="13"/>
        <v>0</v>
      </c>
    </row>
    <row r="74" spans="1:18" ht="32.4">
      <c r="A74" s="271"/>
      <c r="B74" s="16" t="s">
        <v>490</v>
      </c>
      <c r="C74" s="14">
        <v>163</v>
      </c>
      <c r="D74" s="37">
        <f>HLOOKUP($D$1,概算表!$E$12:$DA$78,61,FALSE)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8"/>
        <v>0</v>
      </c>
      <c r="I74" s="37">
        <f t="shared" si="28"/>
        <v>0</v>
      </c>
      <c r="J74" s="37">
        <f t="shared" si="28"/>
        <v>0</v>
      </c>
      <c r="K74" s="37">
        <f t="shared" si="28"/>
        <v>0</v>
      </c>
      <c r="L74" s="37">
        <f t="shared" si="28"/>
        <v>0</v>
      </c>
      <c r="M74" s="37">
        <f t="shared" si="28"/>
        <v>0</v>
      </c>
      <c r="N74" s="37">
        <f t="shared" si="28"/>
        <v>0</v>
      </c>
      <c r="O74" s="37">
        <f>D74-SUM(F74:N74)</f>
        <v>0</v>
      </c>
      <c r="P74" s="37"/>
      <c r="Q74" s="37"/>
      <c r="R74" s="37">
        <f t="shared" si="13"/>
        <v>0</v>
      </c>
    </row>
    <row r="75" spans="1:18" ht="32.4">
      <c r="A75" s="271"/>
      <c r="B75" s="16" t="s">
        <v>175</v>
      </c>
      <c r="C75" s="14">
        <v>163</v>
      </c>
      <c r="D75" s="37">
        <f>HLOOKUP($D$1,概算表!$E$12:$DA$78,62,FALSE)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8"/>
        <v>0</v>
      </c>
      <c r="I75" s="37">
        <f t="shared" si="28"/>
        <v>0</v>
      </c>
      <c r="J75" s="37">
        <f t="shared" si="28"/>
        <v>0</v>
      </c>
      <c r="K75" s="37">
        <f t="shared" si="28"/>
        <v>0</v>
      </c>
      <c r="L75" s="37">
        <f t="shared" si="28"/>
        <v>0</v>
      </c>
      <c r="M75" s="37">
        <f t="shared" si="28"/>
        <v>0</v>
      </c>
      <c r="N75" s="37">
        <f t="shared" si="28"/>
        <v>0</v>
      </c>
      <c r="O75" s="37">
        <f>D75-SUM(F75:N75)</f>
        <v>0</v>
      </c>
      <c r="P75" s="37"/>
      <c r="Q75" s="37"/>
      <c r="R75" s="37">
        <f t="shared" si="13"/>
        <v>0</v>
      </c>
    </row>
    <row r="76" spans="1:18">
      <c r="A76" s="271"/>
      <c r="B76" s="16" t="s">
        <v>177</v>
      </c>
      <c r="C76" s="14"/>
      <c r="D76" s="226">
        <f>SUM(D71:D75)</f>
        <v>1980000</v>
      </c>
      <c r="E76" s="108"/>
      <c r="F76" s="108">
        <f>ROUND(SUM(F71:F75),-3)</f>
        <v>495000</v>
      </c>
      <c r="G76" s="108">
        <f t="shared" ref="G76:N76" si="29">ROUND(SUM(G71:G75),-3)</f>
        <v>165000</v>
      </c>
      <c r="H76" s="108">
        <f t="shared" si="29"/>
        <v>165000</v>
      </c>
      <c r="I76" s="108">
        <f t="shared" si="29"/>
        <v>165000</v>
      </c>
      <c r="J76" s="108">
        <f t="shared" si="29"/>
        <v>165000</v>
      </c>
      <c r="K76" s="108">
        <f t="shared" si="29"/>
        <v>165000</v>
      </c>
      <c r="L76" s="108">
        <f t="shared" si="29"/>
        <v>165000</v>
      </c>
      <c r="M76" s="108">
        <f t="shared" si="29"/>
        <v>165000</v>
      </c>
      <c r="N76" s="108">
        <f t="shared" si="29"/>
        <v>165000</v>
      </c>
      <c r="O76" s="108">
        <f>D76-SUM(F76:N76)</f>
        <v>165000</v>
      </c>
      <c r="P76" s="108">
        <f>SUM(P71:P75)</f>
        <v>0</v>
      </c>
      <c r="Q76" s="108">
        <f>SUM(Q71:Q75)</f>
        <v>0</v>
      </c>
      <c r="R76" s="108">
        <f t="shared" ref="R76:R83" si="30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HLOOKUP($D$1,概算表!$E$12:$DA$78,64,FALSE)</f>
        <v>35000</v>
      </c>
      <c r="E77" s="37" t="s">
        <v>681</v>
      </c>
      <c r="F77" s="224"/>
      <c r="G77" s="224"/>
      <c r="H77" s="224">
        <f>ROUND($D77/2,-3)</f>
        <v>18000</v>
      </c>
      <c r="I77" s="224"/>
      <c r="J77" s="224"/>
      <c r="K77" s="224"/>
      <c r="L77" s="224"/>
      <c r="M77" s="224"/>
      <c r="N77" s="224">
        <f>D77-H77</f>
        <v>17000</v>
      </c>
      <c r="O77" s="224"/>
      <c r="P77" s="224"/>
      <c r="Q77" s="224"/>
      <c r="R77" s="224">
        <f t="shared" si="30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19030000</v>
      </c>
      <c r="E78" s="227"/>
      <c r="F78" s="227">
        <f>F76+F70+F77</f>
        <v>5760000</v>
      </c>
      <c r="G78" s="227">
        <f t="shared" ref="G78:Q78" si="31">G76+G70+G77</f>
        <v>1369000</v>
      </c>
      <c r="H78" s="227">
        <f t="shared" si="31"/>
        <v>1396000</v>
      </c>
      <c r="I78" s="227">
        <f t="shared" si="31"/>
        <v>1548000</v>
      </c>
      <c r="J78" s="227">
        <f t="shared" si="31"/>
        <v>1369000</v>
      </c>
      <c r="K78" s="227">
        <f t="shared" si="31"/>
        <v>1369000</v>
      </c>
      <c r="L78" s="227">
        <f t="shared" si="31"/>
        <v>1371000</v>
      </c>
      <c r="M78" s="227">
        <f t="shared" si="31"/>
        <v>1369000</v>
      </c>
      <c r="N78" s="227">
        <f t="shared" si="31"/>
        <v>2103000</v>
      </c>
      <c r="O78" s="227">
        <f t="shared" si="31"/>
        <v>1366000</v>
      </c>
      <c r="P78" s="227">
        <f t="shared" si="31"/>
        <v>4000</v>
      </c>
      <c r="Q78" s="227">
        <f t="shared" si="31"/>
        <v>6000</v>
      </c>
      <c r="R78" s="227">
        <f t="shared" si="30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(HLOOKUP(D1,場租收支對列及移用留存數!3:9,7,FALSE)+HLOOKUP(D1,場租收支對列及移用留存數!14:20,4,FALSE))*1000</f>
        <v>0</v>
      </c>
      <c r="E79" s="108" t="s">
        <v>683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30"/>
        <v>0</v>
      </c>
    </row>
    <row r="80" spans="1:18">
      <c r="A80" s="268"/>
      <c r="B80" s="18" t="s">
        <v>214</v>
      </c>
      <c r="C80" s="17"/>
      <c r="D80" s="108">
        <f>(HLOOKUP(D1,場租收支對列及移用留存數!3:9,5,FALSE)+HLOOKUP(D1,場租收支對列及移用留存數!14:20,5,FALSE))*1000</f>
        <v>0</v>
      </c>
      <c r="E80" s="108" t="s">
        <v>683</v>
      </c>
      <c r="F80" s="108">
        <f t="shared" ref="F80:F82" si="32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30"/>
        <v>0</v>
      </c>
    </row>
    <row r="81" spans="1:18">
      <c r="A81" s="268"/>
      <c r="B81" s="18" t="s">
        <v>215</v>
      </c>
      <c r="C81" s="17"/>
      <c r="D81" s="108">
        <f>(HLOOKUP(D1,場租收支對列及移用留存數!14:20,6,FALSE))*1000</f>
        <v>0</v>
      </c>
      <c r="E81" s="108" t="s">
        <v>683</v>
      </c>
      <c r="F81" s="108">
        <f t="shared" si="32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30"/>
        <v>0</v>
      </c>
    </row>
    <row r="82" spans="1:18">
      <c r="A82" s="268"/>
      <c r="B82" s="18" t="s">
        <v>216</v>
      </c>
      <c r="C82" s="17"/>
      <c r="D82" s="108">
        <f>(HLOOKUP(D1,場租收支對列及移用留存數!3:9,6,FALSE)+HLOOKUP(D1,場租收支對列及移用留存數!14:20,7,FALSE))*1000</f>
        <v>0</v>
      </c>
      <c r="E82" s="108" t="s">
        <v>683</v>
      </c>
      <c r="F82" s="108">
        <f t="shared" si="32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30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3">SUM(G79:G82)</f>
        <v>0</v>
      </c>
      <c r="H83" s="116">
        <f t="shared" si="33"/>
        <v>0</v>
      </c>
      <c r="I83" s="116">
        <f t="shared" si="33"/>
        <v>0</v>
      </c>
      <c r="J83" s="116">
        <f t="shared" si="33"/>
        <v>0</v>
      </c>
      <c r="K83" s="116">
        <f t="shared" si="33"/>
        <v>0</v>
      </c>
      <c r="L83" s="116">
        <f t="shared" si="33"/>
        <v>0</v>
      </c>
      <c r="M83" s="116">
        <f t="shared" si="33"/>
        <v>0</v>
      </c>
      <c r="N83" s="116">
        <f t="shared" si="33"/>
        <v>0</v>
      </c>
      <c r="O83" s="116">
        <f t="shared" si="33"/>
        <v>0</v>
      </c>
      <c r="P83" s="116">
        <f t="shared" si="33"/>
        <v>0</v>
      </c>
      <c r="Q83" s="116">
        <f t="shared" si="33"/>
        <v>0</v>
      </c>
      <c r="R83" s="116">
        <f t="shared" si="30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20555000</v>
      </c>
      <c r="E87" s="37"/>
      <c r="F87" s="37">
        <f>F88+F89+F90+F91</f>
        <v>6043000</v>
      </c>
      <c r="G87" s="37">
        <f t="shared" ref="G87:Q87" si="34">G88+G89+G90+G91</f>
        <v>1479000</v>
      </c>
      <c r="H87" s="37">
        <f t="shared" si="34"/>
        <v>1513000</v>
      </c>
      <c r="I87" s="37">
        <f t="shared" si="34"/>
        <v>1677000</v>
      </c>
      <c r="J87" s="37">
        <f t="shared" si="34"/>
        <v>1486000</v>
      </c>
      <c r="K87" s="37">
        <f t="shared" si="34"/>
        <v>1486000</v>
      </c>
      <c r="L87" s="37">
        <f t="shared" si="34"/>
        <v>1533000</v>
      </c>
      <c r="M87" s="37">
        <f t="shared" si="34"/>
        <v>1486000</v>
      </c>
      <c r="N87" s="37">
        <f t="shared" si="34"/>
        <v>2220000</v>
      </c>
      <c r="O87" s="37">
        <f t="shared" si="34"/>
        <v>1481000</v>
      </c>
      <c r="P87" s="37">
        <f t="shared" si="34"/>
        <v>78000</v>
      </c>
      <c r="Q87" s="37">
        <f t="shared" si="34"/>
        <v>73000</v>
      </c>
      <c r="R87" s="37">
        <f t="shared" ref="R87:R94" si="35">SUM(F87:Q87)-D87</f>
        <v>0</v>
      </c>
    </row>
    <row r="88" spans="1:18">
      <c r="B88" s="7" t="s">
        <v>223</v>
      </c>
      <c r="C88" s="7"/>
      <c r="D88" s="108">
        <f>HLOOKUP(D1,基金來源明細表!B:CX,2,FALSE)</f>
        <v>54000</v>
      </c>
      <c r="E88" s="108" t="s">
        <v>193</v>
      </c>
      <c r="F88" s="108">
        <f>ROUND($D88/2,-3)</f>
        <v>27000</v>
      </c>
      <c r="G88" s="108"/>
      <c r="H88" s="108"/>
      <c r="I88" s="108"/>
      <c r="J88" s="108"/>
      <c r="K88" s="108"/>
      <c r="L88" s="108">
        <f>D88-F88</f>
        <v>27000</v>
      </c>
      <c r="M88" s="108"/>
      <c r="N88" s="108"/>
      <c r="O88" s="108"/>
      <c r="P88" s="108"/>
      <c r="Q88" s="108"/>
      <c r="R88" s="108">
        <f t="shared" si="35"/>
        <v>0</v>
      </c>
    </row>
    <row r="89" spans="1:18">
      <c r="B89" s="7" t="s">
        <v>488</v>
      </c>
      <c r="C89" s="7"/>
      <c r="D89" s="108">
        <f>HLOOKUP(D1,基金來源明細表!B:CX,3,FALSE)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5"/>
        <v>0</v>
      </c>
    </row>
    <row r="90" spans="1:18">
      <c r="B90" s="7" t="s">
        <v>224</v>
      </c>
      <c r="C90" s="7"/>
      <c r="D90" s="108">
        <f>HLOOKUP(D1,基金來源明細表!B:CX,4,FALSE)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5"/>
        <v>0</v>
      </c>
    </row>
    <row r="91" spans="1:18">
      <c r="B91" s="7" t="s">
        <v>225</v>
      </c>
      <c r="C91" s="7"/>
      <c r="D91" s="108">
        <f>HLOOKUP(D1,基金來源明細表!B:CX,5,FALSE)</f>
        <v>20500000</v>
      </c>
      <c r="E91" s="108"/>
      <c r="F91" s="108">
        <f>F92+F93+F94+F95</f>
        <v>6016000</v>
      </c>
      <c r="G91" s="108">
        <f t="shared" ref="G91:Q91" si="36">G92+G93+G94+G95</f>
        <v>1479000</v>
      </c>
      <c r="H91" s="108">
        <f t="shared" si="36"/>
        <v>1513000</v>
      </c>
      <c r="I91" s="108">
        <f t="shared" si="36"/>
        <v>1677000</v>
      </c>
      <c r="J91" s="108">
        <f t="shared" si="36"/>
        <v>1486000</v>
      </c>
      <c r="K91" s="108">
        <f t="shared" si="36"/>
        <v>1486000</v>
      </c>
      <c r="L91" s="108">
        <f t="shared" si="36"/>
        <v>1506000</v>
      </c>
      <c r="M91" s="108">
        <f t="shared" si="36"/>
        <v>1486000</v>
      </c>
      <c r="N91" s="108">
        <f t="shared" si="36"/>
        <v>2220000</v>
      </c>
      <c r="O91" s="108">
        <f t="shared" si="36"/>
        <v>1481000</v>
      </c>
      <c r="P91" s="108">
        <f t="shared" si="36"/>
        <v>78000</v>
      </c>
      <c r="Q91" s="108">
        <f t="shared" si="36"/>
        <v>72000</v>
      </c>
      <c r="R91" s="108">
        <f t="shared" si="35"/>
        <v>0</v>
      </c>
    </row>
    <row r="92" spans="1:18" ht="32.4">
      <c r="B92" s="73" t="s">
        <v>486</v>
      </c>
      <c r="C92" s="7"/>
      <c r="D92" s="37">
        <f>D97+D98+D99+D100+D101+D103+D105</f>
        <v>1300000</v>
      </c>
      <c r="E92" s="114" t="s">
        <v>537</v>
      </c>
      <c r="F92" s="37">
        <f>ROUND($D92/12*5,-3)</f>
        <v>542000</v>
      </c>
      <c r="G92" s="37">
        <f>ROUND($D92/12,-3)</f>
        <v>108000</v>
      </c>
      <c r="H92" s="37">
        <f t="shared" ref="H92:L92" si="37">ROUND($D92/12,-3)</f>
        <v>108000</v>
      </c>
      <c r="I92" s="37">
        <f t="shared" si="37"/>
        <v>108000</v>
      </c>
      <c r="J92" s="37">
        <f t="shared" si="37"/>
        <v>108000</v>
      </c>
      <c r="K92" s="37">
        <f t="shared" si="37"/>
        <v>108000</v>
      </c>
      <c r="L92" s="37">
        <f t="shared" si="37"/>
        <v>108000</v>
      </c>
      <c r="M92" s="37">
        <f>D92-SUM(F92:L92)</f>
        <v>110000</v>
      </c>
      <c r="N92" s="37">
        <f>D92-SUM(F92:M92)</f>
        <v>0</v>
      </c>
      <c r="O92" s="37"/>
      <c r="P92" s="37"/>
      <c r="Q92" s="37"/>
      <c r="R92" s="37">
        <f t="shared" si="35"/>
        <v>0</v>
      </c>
    </row>
    <row r="93" spans="1:18" ht="32.4">
      <c r="B93" s="74" t="s">
        <v>487</v>
      </c>
      <c r="C93" s="7"/>
      <c r="D93" s="37">
        <f>D102+D106</f>
        <v>77000</v>
      </c>
      <c r="E93" s="109" t="s">
        <v>227</v>
      </c>
      <c r="F93" s="37">
        <f>ROUND($D93/12,-3)</f>
        <v>6000</v>
      </c>
      <c r="G93" s="37">
        <f t="shared" ref="G93:P93" si="38">ROUND($D93/12,-3)</f>
        <v>6000</v>
      </c>
      <c r="H93" s="37">
        <f t="shared" si="38"/>
        <v>6000</v>
      </c>
      <c r="I93" s="37">
        <f t="shared" si="38"/>
        <v>6000</v>
      </c>
      <c r="J93" s="37">
        <f t="shared" si="38"/>
        <v>6000</v>
      </c>
      <c r="K93" s="37">
        <f t="shared" si="38"/>
        <v>6000</v>
      </c>
      <c r="L93" s="37">
        <f t="shared" si="38"/>
        <v>6000</v>
      </c>
      <c r="M93" s="37">
        <f t="shared" si="38"/>
        <v>6000</v>
      </c>
      <c r="N93" s="37">
        <f t="shared" si="38"/>
        <v>6000</v>
      </c>
      <c r="O93" s="37">
        <f t="shared" si="38"/>
        <v>6000</v>
      </c>
      <c r="P93" s="37">
        <f t="shared" si="38"/>
        <v>6000</v>
      </c>
      <c r="Q93" s="37">
        <f>D93-SUM(F93:P93)</f>
        <v>11000</v>
      </c>
      <c r="R93" s="37">
        <f t="shared" si="35"/>
        <v>0</v>
      </c>
    </row>
    <row r="94" spans="1:18" ht="48.6">
      <c r="B94" s="75" t="s">
        <v>228</v>
      </c>
      <c r="C94" s="7"/>
      <c r="D94" s="37">
        <f>D104</f>
        <v>0</v>
      </c>
      <c r="E94" s="11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5"/>
        <v>0</v>
      </c>
    </row>
    <row r="95" spans="1:18">
      <c r="B95" s="111" t="s">
        <v>232</v>
      </c>
      <c r="C95" s="7"/>
      <c r="D95" s="37">
        <f>D107</f>
        <v>19123000</v>
      </c>
      <c r="E95" s="37"/>
      <c r="F95" s="37">
        <f>F2+F86-F88-F89-F90-F92-F93-F94</f>
        <v>5468000</v>
      </c>
      <c r="G95" s="37">
        <f t="shared" ref="G95:Q95" si="39">G2-G88-G89-G90-G92-G93-G94</f>
        <v>1365000</v>
      </c>
      <c r="H95" s="37">
        <f t="shared" si="39"/>
        <v>1399000</v>
      </c>
      <c r="I95" s="37">
        <f t="shared" si="39"/>
        <v>1563000</v>
      </c>
      <c r="J95" s="37">
        <f t="shared" si="39"/>
        <v>1372000</v>
      </c>
      <c r="K95" s="37">
        <f t="shared" si="39"/>
        <v>1372000</v>
      </c>
      <c r="L95" s="37">
        <f t="shared" si="39"/>
        <v>1392000</v>
      </c>
      <c r="M95" s="37">
        <f t="shared" si="39"/>
        <v>1370000</v>
      </c>
      <c r="N95" s="37">
        <f t="shared" si="39"/>
        <v>2214000</v>
      </c>
      <c r="O95" s="37">
        <f t="shared" si="39"/>
        <v>1475000</v>
      </c>
      <c r="P95" s="37">
        <f t="shared" si="39"/>
        <v>72000</v>
      </c>
      <c r="Q95" s="37">
        <f t="shared" si="39"/>
        <v>61000</v>
      </c>
      <c r="R95" s="37">
        <f>SUM(F95:Q95)-D95</f>
        <v>0</v>
      </c>
    </row>
    <row r="97" spans="2:17" ht="33" customHeight="1">
      <c r="B97" s="72" t="s">
        <v>233</v>
      </c>
      <c r="D97" s="30">
        <f>HLOOKUP(D1,縣庫撥款收入明細表!H:DD,3,FALSE)</f>
        <v>0</v>
      </c>
    </row>
    <row r="98" spans="2:17" ht="33" customHeight="1">
      <c r="B98" s="72" t="s">
        <v>234</v>
      </c>
      <c r="D98" s="30">
        <f>HLOOKUP(D1,縣庫撥款收入明細表!H:DD,4,FALSE)</f>
        <v>0</v>
      </c>
    </row>
    <row r="99" spans="2:17" ht="32.4">
      <c r="B99" s="72" t="s">
        <v>235</v>
      </c>
      <c r="D99" s="30">
        <f>HLOOKUP(D1,縣庫撥款收入明細表!H:DD,5,FALSE)</f>
        <v>0</v>
      </c>
    </row>
    <row r="100" spans="2:17" ht="32.4">
      <c r="B100" s="72" t="s">
        <v>236</v>
      </c>
      <c r="D100" s="30">
        <f>HLOOKUP(D1,縣庫撥款收入明細表!H:DD,6,FALSE)</f>
        <v>0</v>
      </c>
    </row>
    <row r="101" spans="2:17" ht="32.4">
      <c r="B101" s="72" t="s">
        <v>237</v>
      </c>
      <c r="D101" s="30">
        <f>HLOOKUP(D1,縣庫撥款收入明細表!H:DD,15,FALSE)</f>
        <v>0</v>
      </c>
    </row>
    <row r="102" spans="2:17" ht="32.4">
      <c r="B102" s="71" t="s">
        <v>238</v>
      </c>
      <c r="D102" s="30">
        <f>HLOOKUP(D1,縣庫撥款收入明細表!H:DD,16,FALSE)</f>
        <v>72000</v>
      </c>
    </row>
    <row r="103" spans="2:17" ht="32.4">
      <c r="B103" s="72" t="s">
        <v>239</v>
      </c>
      <c r="D103" s="30">
        <f>HLOOKUP(D1,縣庫撥款收入明細表!H:DD,17,FALSE)</f>
        <v>650000</v>
      </c>
    </row>
    <row r="104" spans="2:17" ht="32.4">
      <c r="B104" s="76" t="s">
        <v>240</v>
      </c>
      <c r="D104" s="30">
        <f>HLOOKUP(D1,縣庫撥款收入明細表!H:DD,18,FALSE)</f>
        <v>0</v>
      </c>
    </row>
    <row r="105" spans="2:17" ht="32.4">
      <c r="B105" s="72" t="s">
        <v>380</v>
      </c>
      <c r="D105" s="30">
        <f>HLOOKUP(D1,縣庫撥款收入明細表!H:DD,19,FALSE)</f>
        <v>650000</v>
      </c>
    </row>
    <row r="106" spans="2:17" ht="32.4">
      <c r="B106" s="71" t="s">
        <v>241</v>
      </c>
      <c r="D106" s="30">
        <f>HLOOKUP(D1,縣庫撥款收入明細表!H:DD,20,FALSE)</f>
        <v>5000</v>
      </c>
    </row>
    <row r="107" spans="2:17" ht="32.4">
      <c r="B107" s="77" t="s">
        <v>242</v>
      </c>
      <c r="D107" s="30">
        <f>HLOOKUP(D1,縣庫撥款收入明細表!H:DD,21,FALSE)</f>
        <v>19123000</v>
      </c>
    </row>
    <row r="108" spans="2:17" ht="16.5" customHeight="1"/>
    <row r="109" spans="2:17" ht="16.5" customHeight="1">
      <c r="B109" s="4" t="s">
        <v>682</v>
      </c>
      <c r="D109" s="30">
        <f>D91-D76</f>
        <v>18520000</v>
      </c>
      <c r="F109" s="30">
        <f>F91-F76</f>
        <v>5521000</v>
      </c>
      <c r="G109" s="30">
        <f t="shared" ref="G109:Q109" si="40">G91-G76</f>
        <v>1314000</v>
      </c>
      <c r="H109" s="30">
        <f t="shared" si="40"/>
        <v>1348000</v>
      </c>
      <c r="I109" s="30">
        <f t="shared" si="40"/>
        <v>1512000</v>
      </c>
      <c r="J109" s="30">
        <f t="shared" si="40"/>
        <v>1321000</v>
      </c>
      <c r="K109" s="30">
        <f t="shared" si="40"/>
        <v>1321000</v>
      </c>
      <c r="L109" s="30">
        <f t="shared" si="40"/>
        <v>1341000</v>
      </c>
      <c r="M109" s="30">
        <f t="shared" si="40"/>
        <v>1321000</v>
      </c>
      <c r="N109" s="30">
        <f t="shared" si="40"/>
        <v>2055000</v>
      </c>
      <c r="O109" s="30">
        <f t="shared" si="40"/>
        <v>1316000</v>
      </c>
      <c r="P109" s="30">
        <f t="shared" si="40"/>
        <v>78000</v>
      </c>
      <c r="Q109" s="30">
        <f t="shared" si="40"/>
        <v>72000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79:A83"/>
    <mergeCell ref="A1:B1"/>
    <mergeCell ref="A2:B2"/>
    <mergeCell ref="A3:A48"/>
    <mergeCell ref="A49:A70"/>
    <mergeCell ref="A71:A76"/>
    <mergeCell ref="A78:C78"/>
  </mergeCells>
  <phoneticPr fontId="3" type="noConversion"/>
  <conditionalFormatting sqref="F95:Q95">
    <cfRule type="cellIs" dxfId="204" priority="1" operator="lessThan">
      <formula>0</formula>
    </cfRule>
  </conditionalFormatting>
  <pageMargins left="0.7" right="0.7" top="0.75" bottom="0.75" header="0.3" footer="0.3"/>
  <pageSetup paperSize="9" orientation="portrait" r:id="rId1"/>
  <ignoredErrors>
    <ignoredError sqref="F47 K47 N47 F15 L15" formula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675</v>
      </c>
      <c r="D1" s="28" t="str">
        <f>VLOOKUP(C1,[1]學校編號!A:B,2,FALSE)</f>
        <v>675東里國小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21018000</v>
      </c>
      <c r="E2" s="37"/>
      <c r="F2" s="37">
        <f>F48+F70+F76+F77+F83</f>
        <v>6013000</v>
      </c>
      <c r="G2" s="37">
        <f t="shared" ref="G2:Q2" si="0">G48+G70+G76+G77+G83</f>
        <v>1487000</v>
      </c>
      <c r="H2" s="37">
        <f t="shared" si="0"/>
        <v>1610000</v>
      </c>
      <c r="I2" s="37">
        <f t="shared" si="0"/>
        <v>1729000</v>
      </c>
      <c r="J2" s="37">
        <f t="shared" si="0"/>
        <v>1487000</v>
      </c>
      <c r="K2" s="37">
        <f t="shared" si="0"/>
        <v>1489000</v>
      </c>
      <c r="L2" s="37">
        <f t="shared" si="0"/>
        <v>1506000</v>
      </c>
      <c r="M2" s="37">
        <f t="shared" si="0"/>
        <v>1487000</v>
      </c>
      <c r="N2" s="37">
        <f t="shared" si="0"/>
        <v>2565000</v>
      </c>
      <c r="O2" s="37">
        <f t="shared" si="0"/>
        <v>1487000</v>
      </c>
      <c r="P2" s="37">
        <f t="shared" si="0"/>
        <v>80000</v>
      </c>
      <c r="Q2" s="37">
        <f t="shared" si="0"/>
        <v>78000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153000</v>
      </c>
      <c r="E3" s="37" t="s">
        <v>525</v>
      </c>
      <c r="F3" s="37">
        <f t="shared" ref="F3:P17" si="1">ROUND($D3/12,0)</f>
        <v>12750</v>
      </c>
      <c r="G3" s="37">
        <f t="shared" si="1"/>
        <v>12750</v>
      </c>
      <c r="H3" s="37">
        <f t="shared" si="1"/>
        <v>12750</v>
      </c>
      <c r="I3" s="37">
        <f t="shared" si="1"/>
        <v>12750</v>
      </c>
      <c r="J3" s="37">
        <f t="shared" si="1"/>
        <v>12750</v>
      </c>
      <c r="K3" s="37">
        <f t="shared" si="1"/>
        <v>12750</v>
      </c>
      <c r="L3" s="37">
        <f t="shared" si="1"/>
        <v>12750</v>
      </c>
      <c r="M3" s="37">
        <f t="shared" si="1"/>
        <v>12750</v>
      </c>
      <c r="N3" s="37">
        <f t="shared" si="1"/>
        <v>12750</v>
      </c>
      <c r="O3" s="37">
        <f t="shared" si="1"/>
        <v>12750</v>
      </c>
      <c r="P3" s="37">
        <f t="shared" si="1"/>
        <v>12750</v>
      </c>
      <c r="Q3" s="37">
        <f t="shared" ref="Q3:Q10" si="2">D3-SUM(F3:P3)</f>
        <v>12750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66000</v>
      </c>
      <c r="E4" s="37" t="s">
        <v>525</v>
      </c>
      <c r="F4" s="37">
        <f t="shared" si="1"/>
        <v>5500</v>
      </c>
      <c r="G4" s="37">
        <f t="shared" si="1"/>
        <v>5500</v>
      </c>
      <c r="H4" s="37">
        <f t="shared" si="1"/>
        <v>5500</v>
      </c>
      <c r="I4" s="37">
        <f t="shared" si="1"/>
        <v>5500</v>
      </c>
      <c r="J4" s="37">
        <f t="shared" si="1"/>
        <v>5500</v>
      </c>
      <c r="K4" s="37">
        <f t="shared" si="1"/>
        <v>5500</v>
      </c>
      <c r="L4" s="37">
        <f t="shared" si="1"/>
        <v>5500</v>
      </c>
      <c r="M4" s="37">
        <f t="shared" si="1"/>
        <v>5500</v>
      </c>
      <c r="N4" s="37">
        <f t="shared" si="1"/>
        <v>5500</v>
      </c>
      <c r="O4" s="37">
        <f t="shared" si="1"/>
        <v>5500</v>
      </c>
      <c r="P4" s="37">
        <f t="shared" si="1"/>
        <v>5500</v>
      </c>
      <c r="Q4" s="37">
        <f t="shared" si="2"/>
        <v>5500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30000</v>
      </c>
      <c r="E8" s="37" t="s">
        <v>525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3000</v>
      </c>
      <c r="E9" s="37" t="s">
        <v>525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164000</v>
      </c>
      <c r="E13" s="37" t="s">
        <v>525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80000</v>
      </c>
      <c r="E14" s="37" t="s">
        <v>525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34000</v>
      </c>
      <c r="E15" s="37" t="s">
        <v>193</v>
      </c>
      <c r="F15" s="37">
        <f>ROUND($D15/2,-3)</f>
        <v>17000</v>
      </c>
      <c r="G15" s="37"/>
      <c r="H15" s="37"/>
      <c r="I15" s="37"/>
      <c r="J15" s="37"/>
      <c r="K15" s="37"/>
      <c r="L15" s="37">
        <f>D15-F15</f>
        <v>17000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0</v>
      </c>
      <c r="E16" s="37" t="s">
        <v>525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44000</v>
      </c>
      <c r="E17" s="37" t="s">
        <v>525</v>
      </c>
      <c r="F17" s="37">
        <f>ROUND($D17/12,0)</f>
        <v>3667</v>
      </c>
      <c r="G17" s="37">
        <f t="shared" si="1"/>
        <v>3667</v>
      </c>
      <c r="H17" s="37">
        <f t="shared" si="1"/>
        <v>3667</v>
      </c>
      <c r="I17" s="37">
        <f t="shared" si="1"/>
        <v>3667</v>
      </c>
      <c r="J17" s="37">
        <f t="shared" si="1"/>
        <v>3667</v>
      </c>
      <c r="K17" s="37">
        <f t="shared" si="1"/>
        <v>3667</v>
      </c>
      <c r="L17" s="37">
        <f t="shared" si="1"/>
        <v>3667</v>
      </c>
      <c r="M17" s="37">
        <f t="shared" si="1"/>
        <v>3667</v>
      </c>
      <c r="N17" s="37">
        <f t="shared" si="1"/>
        <v>3667</v>
      </c>
      <c r="O17" s="37">
        <f t="shared" si="1"/>
        <v>3667</v>
      </c>
      <c r="P17" s="37">
        <f t="shared" si="1"/>
        <v>3667</v>
      </c>
      <c r="Q17" s="37">
        <f>D17-SUM(F17:P17)</f>
        <v>3663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4000</v>
      </c>
      <c r="E24" s="37" t="s">
        <v>193</v>
      </c>
      <c r="F24" s="37">
        <f>ROUND($D24/2,-3)</f>
        <v>2000</v>
      </c>
      <c r="G24" s="37"/>
      <c r="H24" s="37"/>
      <c r="I24" s="37"/>
      <c r="J24" s="37"/>
      <c r="K24" s="37"/>
      <c r="L24" s="37">
        <f>D24-F24</f>
        <v>2000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642000</v>
      </c>
      <c r="E25" s="108"/>
      <c r="F25" s="108">
        <f>ROUND(SUM(F3:F24),-3)</f>
        <v>69000</v>
      </c>
      <c r="G25" s="108">
        <f t="shared" ref="G25:P25" si="5">ROUND(SUM(G3:G24),-3)</f>
        <v>50000</v>
      </c>
      <c r="H25" s="108">
        <f t="shared" si="5"/>
        <v>50000</v>
      </c>
      <c r="I25" s="108">
        <f t="shared" si="5"/>
        <v>50000</v>
      </c>
      <c r="J25" s="108">
        <f t="shared" si="5"/>
        <v>50000</v>
      </c>
      <c r="K25" s="108">
        <f t="shared" si="5"/>
        <v>50000</v>
      </c>
      <c r="L25" s="108">
        <f t="shared" si="5"/>
        <v>69000</v>
      </c>
      <c r="M25" s="108">
        <f t="shared" si="5"/>
        <v>50000</v>
      </c>
      <c r="N25" s="108">
        <f t="shared" si="5"/>
        <v>50000</v>
      </c>
      <c r="O25" s="108">
        <f t="shared" si="5"/>
        <v>50000</v>
      </c>
      <c r="P25" s="108">
        <f t="shared" si="5"/>
        <v>50000</v>
      </c>
      <c r="Q25" s="108">
        <f t="shared" ref="Q25:Q33" si="6">D25-SUM(F25:P25)</f>
        <v>54000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253000</v>
      </c>
      <c r="E27" s="37" t="s">
        <v>525</v>
      </c>
      <c r="F27" s="37">
        <f t="shared" ref="F27:P33" si="8">ROUND($D27/12,0)</f>
        <v>21083</v>
      </c>
      <c r="G27" s="37">
        <f t="shared" si="8"/>
        <v>21083</v>
      </c>
      <c r="H27" s="37">
        <f t="shared" si="8"/>
        <v>21083</v>
      </c>
      <c r="I27" s="37">
        <f t="shared" si="8"/>
        <v>21083</v>
      </c>
      <c r="J27" s="37">
        <f t="shared" si="8"/>
        <v>21083</v>
      </c>
      <c r="K27" s="37">
        <f t="shared" si="8"/>
        <v>21083</v>
      </c>
      <c r="L27" s="37">
        <f t="shared" si="8"/>
        <v>21083</v>
      </c>
      <c r="M27" s="37">
        <f t="shared" si="8"/>
        <v>21083</v>
      </c>
      <c r="N27" s="37">
        <f t="shared" si="8"/>
        <v>21083</v>
      </c>
      <c r="O27" s="37">
        <f t="shared" si="8"/>
        <v>21083</v>
      </c>
      <c r="P27" s="37">
        <f t="shared" si="8"/>
        <v>21083</v>
      </c>
      <c r="Q27" s="37">
        <f t="shared" si="6"/>
        <v>21087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20000</v>
      </c>
      <c r="E29" s="37" t="s">
        <v>525</v>
      </c>
      <c r="F29" s="37">
        <f t="shared" si="8"/>
        <v>1667</v>
      </c>
      <c r="G29" s="37">
        <f t="shared" si="8"/>
        <v>1667</v>
      </c>
      <c r="H29" s="37">
        <f t="shared" si="8"/>
        <v>1667</v>
      </c>
      <c r="I29" s="37">
        <f t="shared" si="8"/>
        <v>1667</v>
      </c>
      <c r="J29" s="37">
        <f t="shared" si="8"/>
        <v>1667</v>
      </c>
      <c r="K29" s="37">
        <f t="shared" si="8"/>
        <v>1667</v>
      </c>
      <c r="L29" s="37">
        <f t="shared" si="8"/>
        <v>1667</v>
      </c>
      <c r="M29" s="37">
        <f t="shared" si="8"/>
        <v>1667</v>
      </c>
      <c r="N29" s="37">
        <f t="shared" si="8"/>
        <v>1667</v>
      </c>
      <c r="O29" s="37">
        <f t="shared" si="8"/>
        <v>1667</v>
      </c>
      <c r="P29" s="37">
        <f t="shared" si="8"/>
        <v>1667</v>
      </c>
      <c r="Q29" s="37">
        <f t="shared" si="6"/>
        <v>1663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15000</v>
      </c>
      <c r="E30" s="37" t="s">
        <v>525</v>
      </c>
      <c r="F30" s="37">
        <f t="shared" si="8"/>
        <v>1250</v>
      </c>
      <c r="G30" s="37">
        <f t="shared" si="8"/>
        <v>1250</v>
      </c>
      <c r="H30" s="37">
        <f t="shared" si="8"/>
        <v>1250</v>
      </c>
      <c r="I30" s="37">
        <f t="shared" si="8"/>
        <v>1250</v>
      </c>
      <c r="J30" s="37">
        <f t="shared" si="8"/>
        <v>1250</v>
      </c>
      <c r="K30" s="37">
        <f t="shared" si="8"/>
        <v>1250</v>
      </c>
      <c r="L30" s="37">
        <f t="shared" si="8"/>
        <v>1250</v>
      </c>
      <c r="M30" s="37">
        <f t="shared" si="8"/>
        <v>1250</v>
      </c>
      <c r="N30" s="37">
        <f t="shared" si="8"/>
        <v>1250</v>
      </c>
      <c r="O30" s="37">
        <f t="shared" si="8"/>
        <v>1250</v>
      </c>
      <c r="P30" s="37">
        <f t="shared" si="8"/>
        <v>1250</v>
      </c>
      <c r="Q30" s="37">
        <f t="shared" si="6"/>
        <v>1250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7000</v>
      </c>
      <c r="E31" s="37" t="s">
        <v>525</v>
      </c>
      <c r="F31" s="37">
        <f t="shared" si="8"/>
        <v>583</v>
      </c>
      <c r="G31" s="37">
        <f t="shared" si="8"/>
        <v>583</v>
      </c>
      <c r="H31" s="37">
        <f t="shared" si="8"/>
        <v>583</v>
      </c>
      <c r="I31" s="37">
        <f t="shared" si="8"/>
        <v>583</v>
      </c>
      <c r="J31" s="37">
        <f t="shared" si="8"/>
        <v>583</v>
      </c>
      <c r="K31" s="37">
        <f t="shared" si="8"/>
        <v>583</v>
      </c>
      <c r="L31" s="37">
        <f t="shared" si="8"/>
        <v>583</v>
      </c>
      <c r="M31" s="37">
        <f t="shared" si="8"/>
        <v>583</v>
      </c>
      <c r="N31" s="37">
        <f t="shared" si="8"/>
        <v>583</v>
      </c>
      <c r="O31" s="37">
        <f t="shared" si="8"/>
        <v>583</v>
      </c>
      <c r="P31" s="37">
        <f t="shared" si="8"/>
        <v>583</v>
      </c>
      <c r="Q31" s="37">
        <f t="shared" si="6"/>
        <v>587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295000</v>
      </c>
      <c r="E37" s="108"/>
      <c r="F37" s="108">
        <f t="shared" ref="F37:P37" si="9">ROUND(SUM(F26:F36),-3)</f>
        <v>25000</v>
      </c>
      <c r="G37" s="108">
        <f t="shared" si="9"/>
        <v>25000</v>
      </c>
      <c r="H37" s="108">
        <f t="shared" si="9"/>
        <v>25000</v>
      </c>
      <c r="I37" s="108">
        <f t="shared" si="9"/>
        <v>25000</v>
      </c>
      <c r="J37" s="108">
        <f t="shared" si="9"/>
        <v>25000</v>
      </c>
      <c r="K37" s="108">
        <f t="shared" si="9"/>
        <v>25000</v>
      </c>
      <c r="L37" s="108">
        <f t="shared" si="9"/>
        <v>25000</v>
      </c>
      <c r="M37" s="108">
        <f t="shared" si="9"/>
        <v>25000</v>
      </c>
      <c r="N37" s="108">
        <f t="shared" si="9"/>
        <v>25000</v>
      </c>
      <c r="O37" s="108">
        <f t="shared" si="9"/>
        <v>25000</v>
      </c>
      <c r="P37" s="108">
        <f t="shared" si="9"/>
        <v>25000</v>
      </c>
      <c r="Q37" s="108">
        <f>D37-SUM(F37:P37)</f>
        <v>20000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943000</v>
      </c>
      <c r="E48" s="37"/>
      <c r="F48" s="115">
        <f>F25+F37+F45+F47</f>
        <v>96000</v>
      </c>
      <c r="G48" s="115">
        <f t="shared" ref="G48:R48" si="14">G25+G37+G45+G47</f>
        <v>75000</v>
      </c>
      <c r="H48" s="115">
        <f t="shared" si="14"/>
        <v>75000</v>
      </c>
      <c r="I48" s="115">
        <f t="shared" si="14"/>
        <v>75000</v>
      </c>
      <c r="J48" s="115">
        <f t="shared" si="14"/>
        <v>75000</v>
      </c>
      <c r="K48" s="115">
        <f t="shared" si="14"/>
        <v>77000</v>
      </c>
      <c r="L48" s="115">
        <f t="shared" si="14"/>
        <v>94000</v>
      </c>
      <c r="M48" s="115">
        <f t="shared" si="14"/>
        <v>75000</v>
      </c>
      <c r="N48" s="115">
        <f t="shared" si="14"/>
        <v>77000</v>
      </c>
      <c r="O48" s="115">
        <f t="shared" si="14"/>
        <v>75000</v>
      </c>
      <c r="P48" s="115">
        <f t="shared" si="14"/>
        <v>75000</v>
      </c>
      <c r="Q48" s="115">
        <f t="shared" si="14"/>
        <v>74000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11730000</v>
      </c>
      <c r="E49" s="114" t="s">
        <v>202</v>
      </c>
      <c r="F49" s="37">
        <f>ROUND($D49/12*3,-3)</f>
        <v>2933000</v>
      </c>
      <c r="G49" s="37">
        <f>ROUND($D49/12,-3)</f>
        <v>978000</v>
      </c>
      <c r="H49" s="37">
        <f t="shared" ref="H49:N53" si="15">ROUND($D49/12,-3)</f>
        <v>978000</v>
      </c>
      <c r="I49" s="37">
        <f t="shared" si="15"/>
        <v>978000</v>
      </c>
      <c r="J49" s="37">
        <f t="shared" si="15"/>
        <v>978000</v>
      </c>
      <c r="K49" s="37">
        <f t="shared" si="15"/>
        <v>978000</v>
      </c>
      <c r="L49" s="37">
        <f t="shared" si="15"/>
        <v>978000</v>
      </c>
      <c r="M49" s="37">
        <f t="shared" si="15"/>
        <v>978000</v>
      </c>
      <c r="N49" s="37">
        <f t="shared" si="15"/>
        <v>978000</v>
      </c>
      <c r="O49" s="37">
        <f>D49-SUM(F49:N49)</f>
        <v>973000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1349000</v>
      </c>
      <c r="E51" s="114" t="s">
        <v>202</v>
      </c>
      <c r="F51" s="37">
        <f t="shared" si="16"/>
        <v>337000</v>
      </c>
      <c r="G51" s="37">
        <f t="shared" si="17"/>
        <v>112000</v>
      </c>
      <c r="H51" s="37">
        <f t="shared" si="15"/>
        <v>112000</v>
      </c>
      <c r="I51" s="37">
        <f t="shared" si="15"/>
        <v>112000</v>
      </c>
      <c r="J51" s="37">
        <f t="shared" si="15"/>
        <v>112000</v>
      </c>
      <c r="K51" s="37">
        <f t="shared" si="15"/>
        <v>112000</v>
      </c>
      <c r="L51" s="37">
        <f t="shared" si="15"/>
        <v>112000</v>
      </c>
      <c r="M51" s="37">
        <f t="shared" si="15"/>
        <v>112000</v>
      </c>
      <c r="N51" s="37">
        <f t="shared" si="15"/>
        <v>112000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35000</v>
      </c>
      <c r="E54" s="37" t="s">
        <v>525</v>
      </c>
      <c r="F54" s="37">
        <f t="shared" ref="F54:P61" si="19">ROUND($D54/12,0)</f>
        <v>2917</v>
      </c>
      <c r="G54" s="37">
        <f t="shared" si="19"/>
        <v>2917</v>
      </c>
      <c r="H54" s="37">
        <f t="shared" si="19"/>
        <v>2917</v>
      </c>
      <c r="I54" s="37">
        <f t="shared" si="19"/>
        <v>2917</v>
      </c>
      <c r="J54" s="37">
        <f t="shared" si="19"/>
        <v>2917</v>
      </c>
      <c r="K54" s="37">
        <f t="shared" si="19"/>
        <v>2917</v>
      </c>
      <c r="L54" s="37">
        <f t="shared" si="19"/>
        <v>2917</v>
      </c>
      <c r="M54" s="37">
        <f t="shared" si="19"/>
        <v>2917</v>
      </c>
      <c r="N54" s="37">
        <f t="shared" si="19"/>
        <v>2917</v>
      </c>
      <c r="O54" s="37">
        <f t="shared" si="19"/>
        <v>2917</v>
      </c>
      <c r="P54" s="37">
        <f t="shared" si="19"/>
        <v>2917</v>
      </c>
      <c r="Q54" s="37">
        <f t="shared" ref="Q54:Q61" si="20">D54-SUM(F54:P54)</f>
        <v>2913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340000</v>
      </c>
      <c r="E60" s="37" t="s">
        <v>195</v>
      </c>
      <c r="F60" s="37">
        <f>D60</f>
        <v>340000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1208000</v>
      </c>
      <c r="E62" s="37" t="s">
        <v>197</v>
      </c>
      <c r="F62" s="37"/>
      <c r="G62" s="37"/>
      <c r="H62" s="37"/>
      <c r="I62" s="37">
        <f>ROUND($D62/5,-3)</f>
        <v>242000</v>
      </c>
      <c r="J62" s="37"/>
      <c r="K62" s="37"/>
      <c r="L62" s="37"/>
      <c r="M62" s="37"/>
      <c r="N62" s="37">
        <f>D62-I62</f>
        <v>966000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1238000</v>
      </c>
      <c r="E63" s="37" t="s">
        <v>195</v>
      </c>
      <c r="F63" s="37">
        <f>D63</f>
        <v>1238000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1157000</v>
      </c>
      <c r="E64" s="114" t="s">
        <v>202</v>
      </c>
      <c r="F64" s="37">
        <f>ROUND($D64/12*3,-3)</f>
        <v>289000</v>
      </c>
      <c r="G64" s="37">
        <f>ROUND($D64/12,-3)</f>
        <v>96000</v>
      </c>
      <c r="H64" s="37">
        <f t="shared" ref="H64:N66" si="21">ROUND($D64/12,-3)</f>
        <v>96000</v>
      </c>
      <c r="I64" s="37">
        <f t="shared" si="21"/>
        <v>96000</v>
      </c>
      <c r="J64" s="37">
        <f t="shared" si="21"/>
        <v>96000</v>
      </c>
      <c r="K64" s="37">
        <f t="shared" si="21"/>
        <v>96000</v>
      </c>
      <c r="L64" s="37">
        <f t="shared" si="21"/>
        <v>96000</v>
      </c>
      <c r="M64" s="37">
        <f t="shared" si="21"/>
        <v>96000</v>
      </c>
      <c r="N64" s="37">
        <f t="shared" si="21"/>
        <v>96000</v>
      </c>
      <c r="O64" s="37">
        <f>D64-SUM(F64:N64)</f>
        <v>100000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275000</v>
      </c>
      <c r="E65" s="114" t="s">
        <v>202</v>
      </c>
      <c r="F65" s="37">
        <f t="shared" ref="F65:F66" si="22">ROUND($D65/12*3,-3)</f>
        <v>69000</v>
      </c>
      <c r="G65" s="37">
        <f t="shared" ref="G65:G66" si="23">ROUND($D65/12,-3)</f>
        <v>23000</v>
      </c>
      <c r="H65" s="37">
        <f t="shared" si="21"/>
        <v>23000</v>
      </c>
      <c r="I65" s="37">
        <f t="shared" si="21"/>
        <v>23000</v>
      </c>
      <c r="J65" s="37">
        <f t="shared" si="21"/>
        <v>23000</v>
      </c>
      <c r="K65" s="37">
        <f t="shared" si="21"/>
        <v>23000</v>
      </c>
      <c r="L65" s="37">
        <f t="shared" si="21"/>
        <v>23000</v>
      </c>
      <c r="M65" s="37">
        <f t="shared" si="21"/>
        <v>23000</v>
      </c>
      <c r="N65" s="37">
        <f t="shared" si="21"/>
        <v>23000</v>
      </c>
      <c r="O65" s="37">
        <f t="shared" ref="O65:O66" si="24">D65-SUM(F65:N65)</f>
        <v>22000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823000</v>
      </c>
      <c r="E66" s="114" t="s">
        <v>202</v>
      </c>
      <c r="F66" s="37">
        <f t="shared" si="22"/>
        <v>206000</v>
      </c>
      <c r="G66" s="37">
        <f t="shared" si="23"/>
        <v>69000</v>
      </c>
      <c r="H66" s="37">
        <f t="shared" si="21"/>
        <v>69000</v>
      </c>
      <c r="I66" s="37">
        <f t="shared" si="21"/>
        <v>69000</v>
      </c>
      <c r="J66" s="37">
        <f t="shared" si="21"/>
        <v>69000</v>
      </c>
      <c r="K66" s="37">
        <f t="shared" si="21"/>
        <v>69000</v>
      </c>
      <c r="L66" s="37">
        <f t="shared" si="21"/>
        <v>69000</v>
      </c>
      <c r="M66" s="37">
        <f t="shared" si="21"/>
        <v>69000</v>
      </c>
      <c r="N66" s="37">
        <f t="shared" si="21"/>
        <v>69000</v>
      </c>
      <c r="O66" s="37">
        <f t="shared" si="24"/>
        <v>65000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13000</v>
      </c>
      <c r="E67" s="37" t="s">
        <v>196</v>
      </c>
      <c r="F67" s="37"/>
      <c r="G67" s="37"/>
      <c r="H67" s="37">
        <f>D67</f>
        <v>13000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112000</v>
      </c>
      <c r="E68" s="37" t="s">
        <v>195</v>
      </c>
      <c r="F68" s="37">
        <f>D68</f>
        <v>112000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18569000</v>
      </c>
      <c r="E70" s="108"/>
      <c r="F70" s="108">
        <f t="shared" ref="F70:P70" si="25">ROUND(SUM(F49:F69),-3)</f>
        <v>5595000</v>
      </c>
      <c r="G70" s="108">
        <f t="shared" si="25"/>
        <v>1305000</v>
      </c>
      <c r="H70" s="108">
        <f t="shared" si="25"/>
        <v>1318000</v>
      </c>
      <c r="I70" s="108">
        <f t="shared" si="25"/>
        <v>1547000</v>
      </c>
      <c r="J70" s="108">
        <f t="shared" si="25"/>
        <v>1305000</v>
      </c>
      <c r="K70" s="108">
        <f t="shared" si="25"/>
        <v>1305000</v>
      </c>
      <c r="L70" s="108">
        <f t="shared" si="25"/>
        <v>1305000</v>
      </c>
      <c r="M70" s="108">
        <f t="shared" si="25"/>
        <v>1305000</v>
      </c>
      <c r="N70" s="108">
        <f t="shared" si="25"/>
        <v>2271000</v>
      </c>
      <c r="O70" s="108">
        <f t="shared" si="25"/>
        <v>1304000</v>
      </c>
      <c r="P70" s="108">
        <f t="shared" si="25"/>
        <v>5000</v>
      </c>
      <c r="Q70" s="108">
        <f>D70-SUM(F70:P70)</f>
        <v>4000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839000</v>
      </c>
      <c r="E72" s="114" t="s">
        <v>202</v>
      </c>
      <c r="F72" s="37">
        <f>ROUND($D72/12*3,-3)</f>
        <v>210000</v>
      </c>
      <c r="G72" s="37">
        <f>ROUND($D72/12,-3)</f>
        <v>70000</v>
      </c>
      <c r="H72" s="37">
        <f t="shared" ref="H72:N75" si="26">ROUND($D72/12,-3)</f>
        <v>70000</v>
      </c>
      <c r="I72" s="37">
        <f t="shared" si="26"/>
        <v>70000</v>
      </c>
      <c r="J72" s="37">
        <f t="shared" si="26"/>
        <v>70000</v>
      </c>
      <c r="K72" s="37">
        <f t="shared" si="26"/>
        <v>70000</v>
      </c>
      <c r="L72" s="37">
        <f t="shared" si="26"/>
        <v>70000</v>
      </c>
      <c r="M72" s="37">
        <f t="shared" si="26"/>
        <v>70000</v>
      </c>
      <c r="N72" s="37">
        <f t="shared" si="26"/>
        <v>70000</v>
      </c>
      <c r="O72" s="37">
        <f>D72-SUM(F72:N72)</f>
        <v>69000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447000</v>
      </c>
      <c r="E75" s="114" t="s">
        <v>202</v>
      </c>
      <c r="F75" s="37">
        <f>ROUND($D75/12*3,-3)</f>
        <v>112000</v>
      </c>
      <c r="G75" s="37">
        <f>ROUND($D75/12,-3)</f>
        <v>37000</v>
      </c>
      <c r="H75" s="37">
        <f t="shared" si="26"/>
        <v>37000</v>
      </c>
      <c r="I75" s="37">
        <f t="shared" si="26"/>
        <v>37000</v>
      </c>
      <c r="J75" s="37">
        <f t="shared" si="26"/>
        <v>37000</v>
      </c>
      <c r="K75" s="37">
        <f t="shared" si="26"/>
        <v>37000</v>
      </c>
      <c r="L75" s="37">
        <f t="shared" si="26"/>
        <v>37000</v>
      </c>
      <c r="M75" s="37">
        <f t="shared" si="26"/>
        <v>37000</v>
      </c>
      <c r="N75" s="37">
        <f t="shared" si="26"/>
        <v>37000</v>
      </c>
      <c r="O75" s="37">
        <f>D75-SUM(F75:N75)</f>
        <v>39000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1286000</v>
      </c>
      <c r="E76" s="108"/>
      <c r="F76" s="108">
        <f>ROUND(SUM(F71:F75),-3)</f>
        <v>322000</v>
      </c>
      <c r="G76" s="108">
        <f t="shared" ref="G76:N76" si="27">ROUND(SUM(G71:G75),-3)</f>
        <v>107000</v>
      </c>
      <c r="H76" s="108">
        <f t="shared" si="27"/>
        <v>107000</v>
      </c>
      <c r="I76" s="108">
        <f t="shared" si="27"/>
        <v>107000</v>
      </c>
      <c r="J76" s="108">
        <f t="shared" si="27"/>
        <v>107000</v>
      </c>
      <c r="K76" s="108">
        <f t="shared" si="27"/>
        <v>107000</v>
      </c>
      <c r="L76" s="108">
        <f t="shared" si="27"/>
        <v>107000</v>
      </c>
      <c r="M76" s="108">
        <f t="shared" si="27"/>
        <v>107000</v>
      </c>
      <c r="N76" s="108">
        <f t="shared" si="27"/>
        <v>107000</v>
      </c>
      <c r="O76" s="108">
        <f>D76-SUM(F76:N76)</f>
        <v>108000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220000</v>
      </c>
      <c r="E77" s="37" t="s">
        <v>681</v>
      </c>
      <c r="F77" s="224"/>
      <c r="G77" s="224"/>
      <c r="H77" s="224">
        <f>ROUND($D77/2,-3)</f>
        <v>110000</v>
      </c>
      <c r="I77" s="224"/>
      <c r="J77" s="224"/>
      <c r="K77" s="224"/>
      <c r="L77" s="224"/>
      <c r="M77" s="224"/>
      <c r="N77" s="224">
        <f>D77-H77</f>
        <v>110000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20075000</v>
      </c>
      <c r="E78" s="227"/>
      <c r="F78" s="227">
        <f>F76+F70+F77</f>
        <v>5917000</v>
      </c>
      <c r="G78" s="227">
        <f t="shared" ref="G78:Q78" si="29">G76+G70+G77</f>
        <v>1412000</v>
      </c>
      <c r="H78" s="227">
        <f t="shared" si="29"/>
        <v>1535000</v>
      </c>
      <c r="I78" s="227">
        <f t="shared" si="29"/>
        <v>1654000</v>
      </c>
      <c r="J78" s="227">
        <f t="shared" si="29"/>
        <v>1412000</v>
      </c>
      <c r="K78" s="227">
        <f t="shared" si="29"/>
        <v>1412000</v>
      </c>
      <c r="L78" s="227">
        <f t="shared" si="29"/>
        <v>1412000</v>
      </c>
      <c r="M78" s="227">
        <f t="shared" si="29"/>
        <v>1412000</v>
      </c>
      <c r="N78" s="227">
        <f t="shared" si="29"/>
        <v>2488000</v>
      </c>
      <c r="O78" s="227">
        <f t="shared" si="29"/>
        <v>1412000</v>
      </c>
      <c r="P78" s="227">
        <f t="shared" si="29"/>
        <v>5000</v>
      </c>
      <c r="Q78" s="227">
        <f t="shared" si="29"/>
        <v>4000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21018000</v>
      </c>
      <c r="E87" s="37"/>
      <c r="F87" s="37">
        <f>F88+F89+F90+F91</f>
        <v>6013000</v>
      </c>
      <c r="G87" s="37">
        <f t="shared" ref="G87:Q87" si="32">G88+G89+G90+G91</f>
        <v>1487000</v>
      </c>
      <c r="H87" s="37">
        <f t="shared" si="32"/>
        <v>1610000</v>
      </c>
      <c r="I87" s="37">
        <f t="shared" si="32"/>
        <v>1729000</v>
      </c>
      <c r="J87" s="37">
        <f t="shared" si="32"/>
        <v>1487000</v>
      </c>
      <c r="K87" s="37">
        <f t="shared" si="32"/>
        <v>1489000</v>
      </c>
      <c r="L87" s="37">
        <f t="shared" si="32"/>
        <v>1506000</v>
      </c>
      <c r="M87" s="37">
        <f t="shared" si="32"/>
        <v>1487000</v>
      </c>
      <c r="N87" s="37">
        <f t="shared" si="32"/>
        <v>2565000</v>
      </c>
      <c r="O87" s="37">
        <f t="shared" si="32"/>
        <v>1487000</v>
      </c>
      <c r="P87" s="37">
        <f t="shared" si="32"/>
        <v>80000</v>
      </c>
      <c r="Q87" s="37">
        <f t="shared" si="32"/>
        <v>78000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4000</v>
      </c>
      <c r="E88" s="108" t="s">
        <v>193</v>
      </c>
      <c r="F88" s="108">
        <f>ROUND($D88/2,-3)</f>
        <v>2000</v>
      </c>
      <c r="G88" s="108"/>
      <c r="H88" s="108"/>
      <c r="I88" s="108"/>
      <c r="J88" s="108"/>
      <c r="K88" s="108"/>
      <c r="L88" s="108">
        <f>D88-F88</f>
        <v>2000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21013000</v>
      </c>
      <c r="E91" s="108"/>
      <c r="F91" s="108">
        <f>F92+F93+F94+F95</f>
        <v>6011000</v>
      </c>
      <c r="G91" s="108">
        <f t="shared" ref="G91:Q91" si="34">G92+G93+G94+G95</f>
        <v>1487000</v>
      </c>
      <c r="H91" s="108">
        <f t="shared" si="34"/>
        <v>1610000</v>
      </c>
      <c r="I91" s="108">
        <f t="shared" si="34"/>
        <v>1729000</v>
      </c>
      <c r="J91" s="108">
        <f t="shared" si="34"/>
        <v>1487000</v>
      </c>
      <c r="K91" s="108">
        <f t="shared" si="34"/>
        <v>1489000</v>
      </c>
      <c r="L91" s="108">
        <f t="shared" si="34"/>
        <v>1504000</v>
      </c>
      <c r="M91" s="108">
        <f t="shared" si="34"/>
        <v>1487000</v>
      </c>
      <c r="N91" s="108">
        <f t="shared" si="34"/>
        <v>2565000</v>
      </c>
      <c r="O91" s="108">
        <f t="shared" si="34"/>
        <v>1487000</v>
      </c>
      <c r="P91" s="108">
        <f t="shared" si="34"/>
        <v>80000</v>
      </c>
      <c r="Q91" s="108">
        <f t="shared" si="34"/>
        <v>77000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4215000</v>
      </c>
      <c r="E92" s="114" t="s">
        <v>537</v>
      </c>
      <c r="F92" s="37">
        <f>ROUND($D92/12*5,-3)</f>
        <v>1756000</v>
      </c>
      <c r="G92" s="37">
        <f>ROUND($D92/12,-3)</f>
        <v>351000</v>
      </c>
      <c r="H92" s="37">
        <f t="shared" ref="H92:L92" si="35">ROUND($D92/12,-3)</f>
        <v>351000</v>
      </c>
      <c r="I92" s="37">
        <f t="shared" si="35"/>
        <v>351000</v>
      </c>
      <c r="J92" s="37">
        <f t="shared" si="35"/>
        <v>351000</v>
      </c>
      <c r="K92" s="37">
        <f t="shared" si="35"/>
        <v>351000</v>
      </c>
      <c r="L92" s="37">
        <f t="shared" si="35"/>
        <v>351000</v>
      </c>
      <c r="M92" s="37">
        <f>D92-SUM(F92:L92)</f>
        <v>353000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103000</v>
      </c>
      <c r="E93" s="189" t="s">
        <v>227</v>
      </c>
      <c r="F93" s="37">
        <f>ROUND($D93/12,-3)</f>
        <v>9000</v>
      </c>
      <c r="G93" s="37">
        <f t="shared" ref="G93:P93" si="36">ROUND($D93/12,-3)</f>
        <v>9000</v>
      </c>
      <c r="H93" s="37">
        <f t="shared" si="36"/>
        <v>9000</v>
      </c>
      <c r="I93" s="37">
        <f t="shared" si="36"/>
        <v>9000</v>
      </c>
      <c r="J93" s="37">
        <f t="shared" si="36"/>
        <v>9000</v>
      </c>
      <c r="K93" s="37">
        <f t="shared" si="36"/>
        <v>9000</v>
      </c>
      <c r="L93" s="37">
        <f t="shared" si="36"/>
        <v>9000</v>
      </c>
      <c r="M93" s="37">
        <f t="shared" si="36"/>
        <v>9000</v>
      </c>
      <c r="N93" s="37">
        <f t="shared" si="36"/>
        <v>9000</v>
      </c>
      <c r="O93" s="37">
        <f t="shared" si="36"/>
        <v>9000</v>
      </c>
      <c r="P93" s="37">
        <f t="shared" si="36"/>
        <v>9000</v>
      </c>
      <c r="Q93" s="37">
        <f>D93-SUM(F93:P93)</f>
        <v>4000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112000</v>
      </c>
      <c r="E94" s="190" t="s">
        <v>229</v>
      </c>
      <c r="F94" s="37"/>
      <c r="G94" s="37"/>
      <c r="H94" s="37">
        <f>ROUND($D94/2,-3)</f>
        <v>56000</v>
      </c>
      <c r="I94" s="37"/>
      <c r="J94" s="37"/>
      <c r="K94" s="37"/>
      <c r="L94" s="37"/>
      <c r="M94" s="37"/>
      <c r="N94" s="37"/>
      <c r="O94" s="37">
        <f>D94-H94</f>
        <v>56000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16583000</v>
      </c>
      <c r="E95" s="37"/>
      <c r="F95" s="37">
        <f>F2+F86-F88-F89-F90-F92-F93-F94</f>
        <v>4246000</v>
      </c>
      <c r="G95" s="37">
        <f t="shared" ref="G95:Q95" si="37">G2-G88-G89-G90-G92-G93-G94</f>
        <v>1127000</v>
      </c>
      <c r="H95" s="37">
        <f t="shared" si="37"/>
        <v>1194000</v>
      </c>
      <c r="I95" s="37">
        <f t="shared" si="37"/>
        <v>1369000</v>
      </c>
      <c r="J95" s="37">
        <f t="shared" si="37"/>
        <v>1127000</v>
      </c>
      <c r="K95" s="37">
        <f t="shared" si="37"/>
        <v>1129000</v>
      </c>
      <c r="L95" s="37">
        <f t="shared" si="37"/>
        <v>1144000</v>
      </c>
      <c r="M95" s="37">
        <f t="shared" si="37"/>
        <v>1125000</v>
      </c>
      <c r="N95" s="37">
        <f t="shared" si="37"/>
        <v>2556000</v>
      </c>
      <c r="O95" s="37">
        <f t="shared" si="37"/>
        <v>1422000</v>
      </c>
      <c r="P95" s="37">
        <f t="shared" si="37"/>
        <v>71000</v>
      </c>
      <c r="Q95" s="37">
        <f t="shared" si="37"/>
        <v>73000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1900000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96000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112000</v>
      </c>
    </row>
    <row r="105" spans="2:17" ht="32.4">
      <c r="B105" s="72" t="s">
        <v>380</v>
      </c>
      <c r="D105" s="30">
        <f>HLOOKUP(D1,[1]縣庫撥款收入明細表!H:DD,19,FALSE)</f>
        <v>650000</v>
      </c>
    </row>
    <row r="106" spans="2:17" ht="32.4">
      <c r="B106" s="71" t="s">
        <v>241</v>
      </c>
      <c r="D106" s="30">
        <f>HLOOKUP(D1,[1]縣庫撥款收入明細表!H:DD,20,FALSE)</f>
        <v>7000</v>
      </c>
    </row>
    <row r="107" spans="2:17" ht="32.4">
      <c r="B107" s="77" t="s">
        <v>242</v>
      </c>
      <c r="D107" s="30">
        <f>HLOOKUP(D1,[1]縣庫撥款收入明細表!H:DD,21,FALSE)</f>
        <v>16583000</v>
      </c>
    </row>
    <row r="108" spans="2:17" ht="16.5" customHeight="1"/>
    <row r="109" spans="2:17" ht="16.5" customHeight="1">
      <c r="B109" s="4" t="s">
        <v>682</v>
      </c>
      <c r="D109" s="30">
        <f>D91-D76</f>
        <v>19727000</v>
      </c>
      <c r="F109" s="30">
        <f>F91-F76</f>
        <v>5689000</v>
      </c>
      <c r="G109" s="30">
        <f t="shared" ref="G109:Q109" si="38">G91-G76</f>
        <v>1380000</v>
      </c>
      <c r="H109" s="30">
        <f t="shared" si="38"/>
        <v>1503000</v>
      </c>
      <c r="I109" s="30">
        <f t="shared" si="38"/>
        <v>1622000</v>
      </c>
      <c r="J109" s="30">
        <f t="shared" si="38"/>
        <v>1380000</v>
      </c>
      <c r="K109" s="30">
        <f t="shared" si="38"/>
        <v>1382000</v>
      </c>
      <c r="L109" s="30">
        <f t="shared" si="38"/>
        <v>1397000</v>
      </c>
      <c r="M109" s="30">
        <f t="shared" si="38"/>
        <v>1380000</v>
      </c>
      <c r="N109" s="30">
        <f t="shared" si="38"/>
        <v>2458000</v>
      </c>
      <c r="O109" s="30">
        <f t="shared" si="38"/>
        <v>1379000</v>
      </c>
      <c r="P109" s="30">
        <f t="shared" si="38"/>
        <v>80000</v>
      </c>
      <c r="Q109" s="30">
        <f t="shared" si="38"/>
        <v>77000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62" priority="1" operator="lessThan">
      <formula>0</formula>
    </cfRule>
  </conditionalFormatting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676</v>
      </c>
      <c r="D1" s="28" t="str">
        <f>VLOOKUP(C1,[1]學校編號!A:B,2,FALSE)</f>
        <v>676明里國小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23867000</v>
      </c>
      <c r="E2" s="37"/>
      <c r="F2" s="37">
        <f>F48+F70+F76+F77+F83</f>
        <v>6868000</v>
      </c>
      <c r="G2" s="37">
        <f t="shared" ref="G2:Q2" si="0">G48+G70+G76+G77+G83</f>
        <v>1741000</v>
      </c>
      <c r="H2" s="37">
        <f t="shared" si="0"/>
        <v>1882000</v>
      </c>
      <c r="I2" s="37">
        <f t="shared" si="0"/>
        <v>1928000</v>
      </c>
      <c r="J2" s="37">
        <f t="shared" si="0"/>
        <v>1741000</v>
      </c>
      <c r="K2" s="37">
        <f t="shared" si="0"/>
        <v>1743000</v>
      </c>
      <c r="L2" s="37">
        <f t="shared" si="0"/>
        <v>1756000</v>
      </c>
      <c r="M2" s="37">
        <f t="shared" si="0"/>
        <v>1741000</v>
      </c>
      <c r="N2" s="37">
        <f t="shared" si="0"/>
        <v>2617000</v>
      </c>
      <c r="O2" s="37">
        <f t="shared" si="0"/>
        <v>1718000</v>
      </c>
      <c r="P2" s="37">
        <f t="shared" si="0"/>
        <v>64000</v>
      </c>
      <c r="Q2" s="37">
        <f t="shared" si="0"/>
        <v>68000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0</v>
      </c>
      <c r="E13" s="37" t="s">
        <v>525</v>
      </c>
      <c r="F13" s="37">
        <f>ROUND($D13/12,0)</f>
        <v>0</v>
      </c>
      <c r="G13" s="37">
        <f t="shared" si="1"/>
        <v>0</v>
      </c>
      <c r="H13" s="37">
        <f t="shared" si="1"/>
        <v>0</v>
      </c>
      <c r="I13" s="37">
        <f t="shared" si="1"/>
        <v>0</v>
      </c>
      <c r="J13" s="37">
        <f t="shared" si="1"/>
        <v>0</v>
      </c>
      <c r="K13" s="37">
        <f t="shared" si="1"/>
        <v>0</v>
      </c>
      <c r="L13" s="37">
        <f t="shared" si="1"/>
        <v>0</v>
      </c>
      <c r="M13" s="37">
        <f t="shared" si="1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>D13-SUM(F13:P13)</f>
        <v>0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30000</v>
      </c>
      <c r="E15" s="37" t="s">
        <v>193</v>
      </c>
      <c r="F15" s="37">
        <f>ROUND($D15/2,-3)</f>
        <v>15000</v>
      </c>
      <c r="G15" s="37"/>
      <c r="H15" s="37"/>
      <c r="I15" s="37"/>
      <c r="J15" s="37"/>
      <c r="K15" s="37"/>
      <c r="L15" s="37">
        <f>D15-F15</f>
        <v>15000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0</v>
      </c>
      <c r="E16" s="37" t="s">
        <v>525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332000</v>
      </c>
      <c r="E25" s="108"/>
      <c r="F25" s="108">
        <f>ROUND(SUM(F3:F24),-3)</f>
        <v>40000</v>
      </c>
      <c r="G25" s="108">
        <f t="shared" ref="G25:P25" si="5">ROUND(SUM(G3:G24),-3)</f>
        <v>25000</v>
      </c>
      <c r="H25" s="108">
        <f t="shared" si="5"/>
        <v>25000</v>
      </c>
      <c r="I25" s="108">
        <f t="shared" si="5"/>
        <v>25000</v>
      </c>
      <c r="J25" s="108">
        <f t="shared" si="5"/>
        <v>25000</v>
      </c>
      <c r="K25" s="108">
        <f t="shared" si="5"/>
        <v>25000</v>
      </c>
      <c r="L25" s="108">
        <f t="shared" si="5"/>
        <v>40000</v>
      </c>
      <c r="M25" s="108">
        <f t="shared" si="5"/>
        <v>25000</v>
      </c>
      <c r="N25" s="108">
        <f t="shared" si="5"/>
        <v>25000</v>
      </c>
      <c r="O25" s="108">
        <f t="shared" si="5"/>
        <v>25000</v>
      </c>
      <c r="P25" s="108">
        <f t="shared" si="5"/>
        <v>25000</v>
      </c>
      <c r="Q25" s="108">
        <f t="shared" ref="Q25:Q33" si="6">D25-SUM(F25:P25)</f>
        <v>27000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20000</v>
      </c>
      <c r="E29" s="37" t="s">
        <v>525</v>
      </c>
      <c r="F29" s="37">
        <f t="shared" si="8"/>
        <v>1667</v>
      </c>
      <c r="G29" s="37">
        <f t="shared" si="8"/>
        <v>1667</v>
      </c>
      <c r="H29" s="37">
        <f t="shared" si="8"/>
        <v>1667</v>
      </c>
      <c r="I29" s="37">
        <f t="shared" si="8"/>
        <v>1667</v>
      </c>
      <c r="J29" s="37">
        <f t="shared" si="8"/>
        <v>1667</v>
      </c>
      <c r="K29" s="37">
        <f t="shared" si="8"/>
        <v>1667</v>
      </c>
      <c r="L29" s="37">
        <f t="shared" si="8"/>
        <v>1667</v>
      </c>
      <c r="M29" s="37">
        <f t="shared" si="8"/>
        <v>1667</v>
      </c>
      <c r="N29" s="37">
        <f t="shared" si="8"/>
        <v>1667</v>
      </c>
      <c r="O29" s="37">
        <f t="shared" si="8"/>
        <v>1667</v>
      </c>
      <c r="P29" s="37">
        <f t="shared" si="8"/>
        <v>1667</v>
      </c>
      <c r="Q29" s="37">
        <f t="shared" si="6"/>
        <v>1663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5000</v>
      </c>
      <c r="E30" s="37" t="s">
        <v>525</v>
      </c>
      <c r="F30" s="37">
        <f t="shared" si="8"/>
        <v>417</v>
      </c>
      <c r="G30" s="37">
        <f t="shared" si="8"/>
        <v>417</v>
      </c>
      <c r="H30" s="37">
        <f t="shared" si="8"/>
        <v>417</v>
      </c>
      <c r="I30" s="37">
        <f t="shared" si="8"/>
        <v>417</v>
      </c>
      <c r="J30" s="37">
        <f t="shared" si="8"/>
        <v>417</v>
      </c>
      <c r="K30" s="37">
        <f t="shared" si="8"/>
        <v>417</v>
      </c>
      <c r="L30" s="37">
        <f t="shared" si="8"/>
        <v>417</v>
      </c>
      <c r="M30" s="37">
        <f t="shared" si="8"/>
        <v>417</v>
      </c>
      <c r="N30" s="37">
        <f t="shared" si="8"/>
        <v>417</v>
      </c>
      <c r="O30" s="37">
        <f t="shared" si="8"/>
        <v>417</v>
      </c>
      <c r="P30" s="37">
        <f t="shared" si="8"/>
        <v>417</v>
      </c>
      <c r="Q30" s="37">
        <f t="shared" si="6"/>
        <v>413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3000</v>
      </c>
      <c r="E31" s="37" t="s">
        <v>525</v>
      </c>
      <c r="F31" s="37">
        <f t="shared" si="8"/>
        <v>250</v>
      </c>
      <c r="G31" s="37">
        <f t="shared" si="8"/>
        <v>250</v>
      </c>
      <c r="H31" s="37">
        <f t="shared" si="8"/>
        <v>250</v>
      </c>
      <c r="I31" s="37">
        <f t="shared" si="8"/>
        <v>250</v>
      </c>
      <c r="J31" s="37">
        <f t="shared" si="8"/>
        <v>250</v>
      </c>
      <c r="K31" s="37">
        <f t="shared" si="8"/>
        <v>250</v>
      </c>
      <c r="L31" s="37">
        <f t="shared" si="8"/>
        <v>250</v>
      </c>
      <c r="M31" s="37">
        <f t="shared" si="8"/>
        <v>250</v>
      </c>
      <c r="N31" s="37">
        <f t="shared" si="8"/>
        <v>250</v>
      </c>
      <c r="O31" s="37">
        <f t="shared" si="8"/>
        <v>250</v>
      </c>
      <c r="P31" s="37">
        <f t="shared" si="8"/>
        <v>250</v>
      </c>
      <c r="Q31" s="37">
        <f t="shared" si="6"/>
        <v>250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275000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22000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613000</v>
      </c>
      <c r="E48" s="37"/>
      <c r="F48" s="115">
        <f>F25+F37+F45+F47</f>
        <v>65000</v>
      </c>
      <c r="G48" s="115">
        <f t="shared" ref="G48:R48" si="14">G25+G37+G45+G47</f>
        <v>48000</v>
      </c>
      <c r="H48" s="115">
        <f t="shared" si="14"/>
        <v>48000</v>
      </c>
      <c r="I48" s="115">
        <f t="shared" si="14"/>
        <v>48000</v>
      </c>
      <c r="J48" s="115">
        <f t="shared" si="14"/>
        <v>48000</v>
      </c>
      <c r="K48" s="115">
        <f t="shared" si="14"/>
        <v>50000</v>
      </c>
      <c r="L48" s="115">
        <f t="shared" si="14"/>
        <v>63000</v>
      </c>
      <c r="M48" s="115">
        <f t="shared" si="14"/>
        <v>48000</v>
      </c>
      <c r="N48" s="115">
        <f t="shared" si="14"/>
        <v>50000</v>
      </c>
      <c r="O48" s="115">
        <f t="shared" si="14"/>
        <v>48000</v>
      </c>
      <c r="P48" s="115">
        <f t="shared" si="14"/>
        <v>48000</v>
      </c>
      <c r="Q48" s="115">
        <f t="shared" si="14"/>
        <v>49000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10590000</v>
      </c>
      <c r="E49" s="114" t="s">
        <v>202</v>
      </c>
      <c r="F49" s="37">
        <f>ROUND($D49/12*3,-3)</f>
        <v>2648000</v>
      </c>
      <c r="G49" s="37">
        <f>ROUND($D49/12,-3)</f>
        <v>883000</v>
      </c>
      <c r="H49" s="37">
        <f t="shared" ref="H49:N53" si="15">ROUND($D49/12,-3)</f>
        <v>883000</v>
      </c>
      <c r="I49" s="37">
        <f t="shared" si="15"/>
        <v>883000</v>
      </c>
      <c r="J49" s="37">
        <f t="shared" si="15"/>
        <v>883000</v>
      </c>
      <c r="K49" s="37">
        <f t="shared" si="15"/>
        <v>883000</v>
      </c>
      <c r="L49" s="37">
        <f t="shared" si="15"/>
        <v>883000</v>
      </c>
      <c r="M49" s="37">
        <f t="shared" si="15"/>
        <v>883000</v>
      </c>
      <c r="N49" s="37">
        <f t="shared" si="15"/>
        <v>883000</v>
      </c>
      <c r="O49" s="37">
        <f>D49-SUM(F49:N49)</f>
        <v>878000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406000</v>
      </c>
      <c r="E50" s="114" t="s">
        <v>202</v>
      </c>
      <c r="F50" s="37">
        <f t="shared" ref="F50:F53" si="16">ROUND($D50/12*3,-3)</f>
        <v>102000</v>
      </c>
      <c r="G50" s="37">
        <f t="shared" ref="G50:G53" si="17">ROUND($D50/12,-3)</f>
        <v>34000</v>
      </c>
      <c r="H50" s="37">
        <f t="shared" si="15"/>
        <v>34000</v>
      </c>
      <c r="I50" s="37">
        <f t="shared" si="15"/>
        <v>34000</v>
      </c>
      <c r="J50" s="37">
        <f t="shared" si="15"/>
        <v>34000</v>
      </c>
      <c r="K50" s="37">
        <f t="shared" si="15"/>
        <v>34000</v>
      </c>
      <c r="L50" s="37">
        <f t="shared" si="15"/>
        <v>34000</v>
      </c>
      <c r="M50" s="37">
        <f t="shared" si="15"/>
        <v>34000</v>
      </c>
      <c r="N50" s="37">
        <f t="shared" si="15"/>
        <v>34000</v>
      </c>
      <c r="O50" s="37">
        <f t="shared" ref="O50:O53" si="18">D50-SUM(F50:N50)</f>
        <v>32000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738000</v>
      </c>
      <c r="E51" s="114" t="s">
        <v>202</v>
      </c>
      <c r="F51" s="37">
        <f t="shared" si="16"/>
        <v>185000</v>
      </c>
      <c r="G51" s="37">
        <f t="shared" si="17"/>
        <v>62000</v>
      </c>
      <c r="H51" s="37">
        <f t="shared" si="15"/>
        <v>62000</v>
      </c>
      <c r="I51" s="37">
        <f t="shared" si="15"/>
        <v>62000</v>
      </c>
      <c r="J51" s="37">
        <f t="shared" si="15"/>
        <v>62000</v>
      </c>
      <c r="K51" s="37">
        <f t="shared" si="15"/>
        <v>62000</v>
      </c>
      <c r="L51" s="37">
        <f t="shared" si="15"/>
        <v>62000</v>
      </c>
      <c r="M51" s="37">
        <f t="shared" si="15"/>
        <v>62000</v>
      </c>
      <c r="N51" s="37">
        <f t="shared" si="15"/>
        <v>62000</v>
      </c>
      <c r="O51" s="37">
        <f t="shared" si="18"/>
        <v>57000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0</v>
      </c>
      <c r="E59" s="37" t="s">
        <v>525</v>
      </c>
      <c r="F59" s="37">
        <f t="shared" si="19"/>
        <v>0</v>
      </c>
      <c r="G59" s="37">
        <f t="shared" si="19"/>
        <v>0</v>
      </c>
      <c r="H59" s="37">
        <f t="shared" si="19"/>
        <v>0</v>
      </c>
      <c r="I59" s="37">
        <f t="shared" si="19"/>
        <v>0</v>
      </c>
      <c r="J59" s="37">
        <f t="shared" si="19"/>
        <v>0</v>
      </c>
      <c r="K59" s="37">
        <f t="shared" si="19"/>
        <v>0</v>
      </c>
      <c r="L59" s="37">
        <f t="shared" si="19"/>
        <v>0</v>
      </c>
      <c r="M59" s="37">
        <f t="shared" si="19"/>
        <v>0</v>
      </c>
      <c r="N59" s="37">
        <f t="shared" si="19"/>
        <v>0</v>
      </c>
      <c r="O59" s="37">
        <f t="shared" si="19"/>
        <v>0</v>
      </c>
      <c r="P59" s="37">
        <f t="shared" si="19"/>
        <v>0</v>
      </c>
      <c r="Q59" s="37">
        <f t="shared" si="20"/>
        <v>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286000</v>
      </c>
      <c r="E60" s="37" t="s">
        <v>195</v>
      </c>
      <c r="F60" s="37">
        <f>D60</f>
        <v>286000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164000</v>
      </c>
      <c r="E61" s="37" t="s">
        <v>525</v>
      </c>
      <c r="F61" s="37">
        <f t="shared" si="19"/>
        <v>13667</v>
      </c>
      <c r="G61" s="37">
        <f t="shared" si="19"/>
        <v>13667</v>
      </c>
      <c r="H61" s="37">
        <f t="shared" si="19"/>
        <v>13667</v>
      </c>
      <c r="I61" s="37">
        <f t="shared" si="19"/>
        <v>13667</v>
      </c>
      <c r="J61" s="37">
        <f t="shared" si="19"/>
        <v>13667</v>
      </c>
      <c r="K61" s="37">
        <f t="shared" si="19"/>
        <v>13667</v>
      </c>
      <c r="L61" s="37">
        <f t="shared" si="19"/>
        <v>13667</v>
      </c>
      <c r="M61" s="37">
        <f t="shared" si="19"/>
        <v>13667</v>
      </c>
      <c r="N61" s="37">
        <f t="shared" si="19"/>
        <v>13667</v>
      </c>
      <c r="O61" s="37">
        <f t="shared" si="19"/>
        <v>13667</v>
      </c>
      <c r="P61" s="37">
        <f t="shared" si="19"/>
        <v>13667</v>
      </c>
      <c r="Q61" s="37">
        <f t="shared" si="20"/>
        <v>13663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935000</v>
      </c>
      <c r="E62" s="37" t="s">
        <v>197</v>
      </c>
      <c r="F62" s="37"/>
      <c r="G62" s="37"/>
      <c r="H62" s="37"/>
      <c r="I62" s="37">
        <f>ROUND($D62/5,-3)</f>
        <v>187000</v>
      </c>
      <c r="J62" s="37"/>
      <c r="K62" s="37"/>
      <c r="L62" s="37"/>
      <c r="M62" s="37"/>
      <c r="N62" s="37">
        <f>D62-I62</f>
        <v>748000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1359000</v>
      </c>
      <c r="E63" s="37" t="s">
        <v>195</v>
      </c>
      <c r="F63" s="37">
        <f>D63</f>
        <v>1359000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1041000</v>
      </c>
      <c r="E64" s="114" t="s">
        <v>202</v>
      </c>
      <c r="F64" s="37">
        <f>ROUND($D64/12*3,-3)</f>
        <v>260000</v>
      </c>
      <c r="G64" s="37">
        <f>ROUND($D64/12,-3)</f>
        <v>87000</v>
      </c>
      <c r="H64" s="37">
        <f t="shared" ref="H64:N66" si="21">ROUND($D64/12,-3)</f>
        <v>87000</v>
      </c>
      <c r="I64" s="37">
        <f t="shared" si="21"/>
        <v>87000</v>
      </c>
      <c r="J64" s="37">
        <f t="shared" si="21"/>
        <v>87000</v>
      </c>
      <c r="K64" s="37">
        <f t="shared" si="21"/>
        <v>87000</v>
      </c>
      <c r="L64" s="37">
        <f t="shared" si="21"/>
        <v>87000</v>
      </c>
      <c r="M64" s="37">
        <f t="shared" si="21"/>
        <v>87000</v>
      </c>
      <c r="N64" s="37">
        <f t="shared" si="21"/>
        <v>87000</v>
      </c>
      <c r="O64" s="37">
        <f>D64-SUM(F64:N64)</f>
        <v>85000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214000</v>
      </c>
      <c r="E65" s="114" t="s">
        <v>202</v>
      </c>
      <c r="F65" s="37">
        <f t="shared" ref="F65:F66" si="22">ROUND($D65/12*3,-3)</f>
        <v>54000</v>
      </c>
      <c r="G65" s="37">
        <f t="shared" ref="G65:G66" si="23">ROUND($D65/12,-3)</f>
        <v>18000</v>
      </c>
      <c r="H65" s="37">
        <f t="shared" si="21"/>
        <v>18000</v>
      </c>
      <c r="I65" s="37">
        <f t="shared" si="21"/>
        <v>18000</v>
      </c>
      <c r="J65" s="37">
        <f t="shared" si="21"/>
        <v>18000</v>
      </c>
      <c r="K65" s="37">
        <f t="shared" si="21"/>
        <v>18000</v>
      </c>
      <c r="L65" s="37">
        <f t="shared" si="21"/>
        <v>18000</v>
      </c>
      <c r="M65" s="37">
        <f t="shared" si="21"/>
        <v>18000</v>
      </c>
      <c r="N65" s="37">
        <f t="shared" si="21"/>
        <v>18000</v>
      </c>
      <c r="O65" s="37">
        <f t="shared" ref="O65:O66" si="24">D65-SUM(F65:N65)</f>
        <v>16000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942000</v>
      </c>
      <c r="E66" s="114" t="s">
        <v>202</v>
      </c>
      <c r="F66" s="37">
        <f t="shared" si="22"/>
        <v>236000</v>
      </c>
      <c r="G66" s="37">
        <f t="shared" si="23"/>
        <v>79000</v>
      </c>
      <c r="H66" s="37">
        <f t="shared" si="21"/>
        <v>79000</v>
      </c>
      <c r="I66" s="37">
        <f t="shared" si="21"/>
        <v>79000</v>
      </c>
      <c r="J66" s="37">
        <f t="shared" si="21"/>
        <v>79000</v>
      </c>
      <c r="K66" s="37">
        <f t="shared" si="21"/>
        <v>79000</v>
      </c>
      <c r="L66" s="37">
        <f t="shared" si="21"/>
        <v>79000</v>
      </c>
      <c r="M66" s="37">
        <f t="shared" si="21"/>
        <v>79000</v>
      </c>
      <c r="N66" s="37">
        <f t="shared" si="21"/>
        <v>79000</v>
      </c>
      <c r="O66" s="37">
        <f t="shared" si="24"/>
        <v>74000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14000</v>
      </c>
      <c r="E67" s="37" t="s">
        <v>196</v>
      </c>
      <c r="F67" s="37"/>
      <c r="G67" s="37"/>
      <c r="H67" s="37">
        <f>D67</f>
        <v>14000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115000</v>
      </c>
      <c r="E68" s="37" t="s">
        <v>195</v>
      </c>
      <c r="F68" s="37">
        <f>D68</f>
        <v>115000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17100000</v>
      </c>
      <c r="E70" s="108"/>
      <c r="F70" s="108">
        <f t="shared" ref="F70:P70" si="25">ROUND(SUM(F49:F69),-3)</f>
        <v>5327000</v>
      </c>
      <c r="G70" s="108">
        <f t="shared" si="25"/>
        <v>1201000</v>
      </c>
      <c r="H70" s="108">
        <f t="shared" si="25"/>
        <v>1215000</v>
      </c>
      <c r="I70" s="108">
        <f t="shared" si="25"/>
        <v>1388000</v>
      </c>
      <c r="J70" s="108">
        <f t="shared" si="25"/>
        <v>1201000</v>
      </c>
      <c r="K70" s="108">
        <f t="shared" si="25"/>
        <v>1201000</v>
      </c>
      <c r="L70" s="108">
        <f t="shared" si="25"/>
        <v>1201000</v>
      </c>
      <c r="M70" s="108">
        <f t="shared" si="25"/>
        <v>1201000</v>
      </c>
      <c r="N70" s="108">
        <f t="shared" si="25"/>
        <v>1949000</v>
      </c>
      <c r="O70" s="108">
        <f t="shared" si="25"/>
        <v>1181000</v>
      </c>
      <c r="P70" s="108">
        <f t="shared" si="25"/>
        <v>16000</v>
      </c>
      <c r="Q70" s="108">
        <f>D70-SUM(F70:P70)</f>
        <v>19000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5875000</v>
      </c>
      <c r="E72" s="114" t="s">
        <v>202</v>
      </c>
      <c r="F72" s="37">
        <f>ROUND($D72/12*3,-3)</f>
        <v>1469000</v>
      </c>
      <c r="G72" s="37">
        <f>ROUND($D72/12,-3)</f>
        <v>490000</v>
      </c>
      <c r="H72" s="37">
        <f t="shared" ref="H72:N75" si="26">ROUND($D72/12,-3)</f>
        <v>490000</v>
      </c>
      <c r="I72" s="37">
        <f t="shared" si="26"/>
        <v>490000</v>
      </c>
      <c r="J72" s="37">
        <f t="shared" si="26"/>
        <v>490000</v>
      </c>
      <c r="K72" s="37">
        <f t="shared" si="26"/>
        <v>490000</v>
      </c>
      <c r="L72" s="37">
        <f t="shared" si="26"/>
        <v>490000</v>
      </c>
      <c r="M72" s="37">
        <f t="shared" si="26"/>
        <v>490000</v>
      </c>
      <c r="N72" s="37">
        <f t="shared" si="26"/>
        <v>490000</v>
      </c>
      <c r="O72" s="37">
        <f>D72-SUM(F72:N72)</f>
        <v>486000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26000</v>
      </c>
      <c r="E73" s="114" t="s">
        <v>202</v>
      </c>
      <c r="F73" s="37">
        <f>ROUND($D73/12*3,-3)</f>
        <v>7000</v>
      </c>
      <c r="G73" s="37">
        <f>ROUND($D73/12,-3)</f>
        <v>2000</v>
      </c>
      <c r="H73" s="37">
        <f t="shared" si="26"/>
        <v>2000</v>
      </c>
      <c r="I73" s="37">
        <f t="shared" si="26"/>
        <v>2000</v>
      </c>
      <c r="J73" s="37">
        <f t="shared" si="26"/>
        <v>2000</v>
      </c>
      <c r="K73" s="37">
        <f t="shared" si="26"/>
        <v>2000</v>
      </c>
      <c r="L73" s="37">
        <f t="shared" si="26"/>
        <v>2000</v>
      </c>
      <c r="M73" s="37">
        <f t="shared" si="26"/>
        <v>2000</v>
      </c>
      <c r="N73" s="37">
        <f t="shared" si="26"/>
        <v>2000</v>
      </c>
      <c r="O73" s="37">
        <f>D73-SUM(F73:N73)</f>
        <v>3000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5901000</v>
      </c>
      <c r="E76" s="108"/>
      <c r="F76" s="108">
        <f>ROUND(SUM(F71:F75),-3)</f>
        <v>1476000</v>
      </c>
      <c r="G76" s="108">
        <f t="shared" ref="G76:N76" si="27">ROUND(SUM(G71:G75),-3)</f>
        <v>492000</v>
      </c>
      <c r="H76" s="108">
        <f t="shared" si="27"/>
        <v>492000</v>
      </c>
      <c r="I76" s="108">
        <f t="shared" si="27"/>
        <v>492000</v>
      </c>
      <c r="J76" s="108">
        <f t="shared" si="27"/>
        <v>492000</v>
      </c>
      <c r="K76" s="108">
        <f t="shared" si="27"/>
        <v>492000</v>
      </c>
      <c r="L76" s="108">
        <f t="shared" si="27"/>
        <v>492000</v>
      </c>
      <c r="M76" s="108">
        <f t="shared" si="27"/>
        <v>492000</v>
      </c>
      <c r="N76" s="108">
        <f t="shared" si="27"/>
        <v>492000</v>
      </c>
      <c r="O76" s="108">
        <f>D76-SUM(F76:N76)</f>
        <v>489000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253000</v>
      </c>
      <c r="E77" s="37" t="s">
        <v>681</v>
      </c>
      <c r="F77" s="224"/>
      <c r="G77" s="224"/>
      <c r="H77" s="224">
        <f>ROUND($D77/2,-3)</f>
        <v>127000</v>
      </c>
      <c r="I77" s="224"/>
      <c r="J77" s="224"/>
      <c r="K77" s="224"/>
      <c r="L77" s="224"/>
      <c r="M77" s="224"/>
      <c r="N77" s="224">
        <f>D77-H77</f>
        <v>126000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23254000</v>
      </c>
      <c r="E78" s="227"/>
      <c r="F78" s="227">
        <f>F76+F70+F77</f>
        <v>6803000</v>
      </c>
      <c r="G78" s="227">
        <f t="shared" ref="G78:Q78" si="29">G76+G70+G77</f>
        <v>1693000</v>
      </c>
      <c r="H78" s="227">
        <f t="shared" si="29"/>
        <v>1834000</v>
      </c>
      <c r="I78" s="227">
        <f t="shared" si="29"/>
        <v>1880000</v>
      </c>
      <c r="J78" s="227">
        <f t="shared" si="29"/>
        <v>1693000</v>
      </c>
      <c r="K78" s="227">
        <f t="shared" si="29"/>
        <v>1693000</v>
      </c>
      <c r="L78" s="227">
        <f t="shared" si="29"/>
        <v>1693000</v>
      </c>
      <c r="M78" s="227">
        <f t="shared" si="29"/>
        <v>1693000</v>
      </c>
      <c r="N78" s="227">
        <f t="shared" si="29"/>
        <v>2567000</v>
      </c>
      <c r="O78" s="227">
        <f t="shared" si="29"/>
        <v>1670000</v>
      </c>
      <c r="P78" s="227">
        <f t="shared" si="29"/>
        <v>16000</v>
      </c>
      <c r="Q78" s="227">
        <f t="shared" si="29"/>
        <v>19000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23867000</v>
      </c>
      <c r="E87" s="37"/>
      <c r="F87" s="37">
        <f>F88+F89+F90+F91</f>
        <v>6868000</v>
      </c>
      <c r="G87" s="37">
        <f t="shared" ref="G87:Q87" si="32">G88+G89+G90+G91</f>
        <v>1741000</v>
      </c>
      <c r="H87" s="37">
        <f t="shared" si="32"/>
        <v>1882000</v>
      </c>
      <c r="I87" s="37">
        <f t="shared" si="32"/>
        <v>1928000</v>
      </c>
      <c r="J87" s="37">
        <f t="shared" si="32"/>
        <v>1741000</v>
      </c>
      <c r="K87" s="37">
        <f t="shared" si="32"/>
        <v>1743000</v>
      </c>
      <c r="L87" s="37">
        <f t="shared" si="32"/>
        <v>1756000</v>
      </c>
      <c r="M87" s="37">
        <f t="shared" si="32"/>
        <v>1741000</v>
      </c>
      <c r="N87" s="37">
        <f t="shared" si="32"/>
        <v>2617000</v>
      </c>
      <c r="O87" s="37">
        <f t="shared" si="32"/>
        <v>1718000</v>
      </c>
      <c r="P87" s="37">
        <f t="shared" si="32"/>
        <v>64000</v>
      </c>
      <c r="Q87" s="37">
        <f t="shared" si="32"/>
        <v>68000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0</v>
      </c>
      <c r="E88" s="108" t="s">
        <v>193</v>
      </c>
      <c r="F88" s="108">
        <f>ROUND($D88/2,-3)</f>
        <v>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23866000</v>
      </c>
      <c r="E91" s="108"/>
      <c r="F91" s="108">
        <f>F92+F93+F94+F95</f>
        <v>6868000</v>
      </c>
      <c r="G91" s="108">
        <f t="shared" ref="G91:Q91" si="34">G92+G93+G94+G95</f>
        <v>1741000</v>
      </c>
      <c r="H91" s="108">
        <f t="shared" si="34"/>
        <v>1882000</v>
      </c>
      <c r="I91" s="108">
        <f t="shared" si="34"/>
        <v>1928000</v>
      </c>
      <c r="J91" s="108">
        <f t="shared" si="34"/>
        <v>1741000</v>
      </c>
      <c r="K91" s="108">
        <f t="shared" si="34"/>
        <v>1743000</v>
      </c>
      <c r="L91" s="108">
        <f t="shared" si="34"/>
        <v>1756000</v>
      </c>
      <c r="M91" s="108">
        <f t="shared" si="34"/>
        <v>1741000</v>
      </c>
      <c r="N91" s="108">
        <f t="shared" si="34"/>
        <v>2617000</v>
      </c>
      <c r="O91" s="108">
        <f t="shared" si="34"/>
        <v>1718000</v>
      </c>
      <c r="P91" s="108">
        <f t="shared" si="34"/>
        <v>64000</v>
      </c>
      <c r="Q91" s="108">
        <f t="shared" si="34"/>
        <v>67000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2454000</v>
      </c>
      <c r="E92" s="114" t="s">
        <v>537</v>
      </c>
      <c r="F92" s="37">
        <f>ROUND($D92/12*5,-3)</f>
        <v>1023000</v>
      </c>
      <c r="G92" s="37">
        <f>ROUND($D92/12,-3)</f>
        <v>205000</v>
      </c>
      <c r="H92" s="37">
        <f t="shared" ref="H92:L92" si="35">ROUND($D92/12,-3)</f>
        <v>205000</v>
      </c>
      <c r="I92" s="37">
        <f t="shared" si="35"/>
        <v>205000</v>
      </c>
      <c r="J92" s="37">
        <f t="shared" si="35"/>
        <v>205000</v>
      </c>
      <c r="K92" s="37">
        <f t="shared" si="35"/>
        <v>205000</v>
      </c>
      <c r="L92" s="37">
        <f t="shared" si="35"/>
        <v>205000</v>
      </c>
      <c r="M92" s="37">
        <f>D92-SUM(F92:L92)</f>
        <v>201000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21322000</v>
      </c>
      <c r="E95" s="37"/>
      <c r="F95" s="37">
        <f>F2+F86-F88-F89-F90-F92-F93-F94</f>
        <v>5837000</v>
      </c>
      <c r="G95" s="37">
        <f t="shared" ref="G95:Q95" si="37">G2-G88-G89-G90-G92-G93-G94</f>
        <v>1528000</v>
      </c>
      <c r="H95" s="37">
        <f t="shared" si="37"/>
        <v>1669000</v>
      </c>
      <c r="I95" s="37">
        <f t="shared" si="37"/>
        <v>1715000</v>
      </c>
      <c r="J95" s="37">
        <f t="shared" si="37"/>
        <v>1528000</v>
      </c>
      <c r="K95" s="37">
        <f t="shared" si="37"/>
        <v>1530000</v>
      </c>
      <c r="L95" s="37">
        <f t="shared" si="37"/>
        <v>1543000</v>
      </c>
      <c r="M95" s="37">
        <f t="shared" si="37"/>
        <v>1532000</v>
      </c>
      <c r="N95" s="37">
        <f t="shared" si="37"/>
        <v>2609000</v>
      </c>
      <c r="O95" s="37">
        <f t="shared" si="37"/>
        <v>1710000</v>
      </c>
      <c r="P95" s="37">
        <f t="shared" si="37"/>
        <v>56000</v>
      </c>
      <c r="Q95" s="37">
        <f t="shared" si="37"/>
        <v>65000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800000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1004000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21322000</v>
      </c>
    </row>
    <row r="108" spans="2:17" ht="16.5" customHeight="1"/>
    <row r="109" spans="2:17" ht="16.5" customHeight="1">
      <c r="B109" s="4" t="s">
        <v>682</v>
      </c>
      <c r="D109" s="30">
        <f>D91-D76</f>
        <v>17965000</v>
      </c>
      <c r="F109" s="30">
        <f>F91-F76</f>
        <v>5392000</v>
      </c>
      <c r="G109" s="30">
        <f t="shared" ref="G109:Q109" si="38">G91-G76</f>
        <v>1249000</v>
      </c>
      <c r="H109" s="30">
        <f t="shared" si="38"/>
        <v>1390000</v>
      </c>
      <c r="I109" s="30">
        <f t="shared" si="38"/>
        <v>1436000</v>
      </c>
      <c r="J109" s="30">
        <f t="shared" si="38"/>
        <v>1249000</v>
      </c>
      <c r="K109" s="30">
        <f t="shared" si="38"/>
        <v>1251000</v>
      </c>
      <c r="L109" s="30">
        <f t="shared" si="38"/>
        <v>1264000</v>
      </c>
      <c r="M109" s="30">
        <f t="shared" si="38"/>
        <v>1249000</v>
      </c>
      <c r="N109" s="30">
        <f t="shared" si="38"/>
        <v>2125000</v>
      </c>
      <c r="O109" s="30">
        <f t="shared" si="38"/>
        <v>1229000</v>
      </c>
      <c r="P109" s="30">
        <f t="shared" si="38"/>
        <v>64000</v>
      </c>
      <c r="Q109" s="30">
        <f t="shared" si="38"/>
        <v>67000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60" priority="1" operator="lessThan">
      <formula>0</formula>
    </cfRule>
  </conditionalFormatting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678</v>
      </c>
      <c r="D1" s="28" t="str">
        <f>VLOOKUP(C1,[1]學校編號!A:B,2,FALSE)</f>
        <v>678吳江國小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18733000</v>
      </c>
      <c r="E2" s="37"/>
      <c r="F2" s="37">
        <f>F48+F70+F76+F77+F83</f>
        <v>5624000</v>
      </c>
      <c r="G2" s="37">
        <f t="shared" ref="G2:Q2" si="0">G48+G70+G76+G77+G83</f>
        <v>1282000</v>
      </c>
      <c r="H2" s="37">
        <f t="shared" si="0"/>
        <v>1327000</v>
      </c>
      <c r="I2" s="37">
        <f t="shared" si="0"/>
        <v>1550000</v>
      </c>
      <c r="J2" s="37">
        <f t="shared" si="0"/>
        <v>1289000</v>
      </c>
      <c r="K2" s="37">
        <f t="shared" si="0"/>
        <v>1289000</v>
      </c>
      <c r="L2" s="37">
        <f t="shared" si="0"/>
        <v>1302000</v>
      </c>
      <c r="M2" s="37">
        <f t="shared" si="0"/>
        <v>1289000</v>
      </c>
      <c r="N2" s="37">
        <f t="shared" si="0"/>
        <v>2335000</v>
      </c>
      <c r="O2" s="37">
        <f t="shared" si="0"/>
        <v>1287000</v>
      </c>
      <c r="P2" s="37">
        <f t="shared" si="0"/>
        <v>81000</v>
      </c>
      <c r="Q2" s="37">
        <f t="shared" si="0"/>
        <v>78000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120000</v>
      </c>
      <c r="E3" s="37" t="s">
        <v>525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51000</v>
      </c>
      <c r="E4" s="37" t="s">
        <v>525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63000</v>
      </c>
      <c r="E7" s="37" t="s">
        <v>525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30000</v>
      </c>
      <c r="E8" s="37" t="s">
        <v>525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6000</v>
      </c>
      <c r="E9" s="37" t="s">
        <v>525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34000</v>
      </c>
      <c r="E10" s="37" t="s">
        <v>525</v>
      </c>
      <c r="F10" s="37">
        <f t="shared" si="1"/>
        <v>2833</v>
      </c>
      <c r="G10" s="37">
        <f t="shared" si="1"/>
        <v>2833</v>
      </c>
      <c r="H10" s="37">
        <f t="shared" si="1"/>
        <v>2833</v>
      </c>
      <c r="I10" s="37">
        <f t="shared" si="1"/>
        <v>2833</v>
      </c>
      <c r="J10" s="37">
        <f t="shared" si="1"/>
        <v>2833</v>
      </c>
      <c r="K10" s="37">
        <f t="shared" si="1"/>
        <v>2833</v>
      </c>
      <c r="L10" s="37">
        <f t="shared" si="1"/>
        <v>2833</v>
      </c>
      <c r="M10" s="37">
        <f t="shared" si="1"/>
        <v>2833</v>
      </c>
      <c r="N10" s="37">
        <f t="shared" si="1"/>
        <v>2833</v>
      </c>
      <c r="O10" s="37">
        <f t="shared" si="1"/>
        <v>2833</v>
      </c>
      <c r="P10" s="37">
        <f t="shared" si="1"/>
        <v>2833</v>
      </c>
      <c r="Q10" s="37">
        <f t="shared" si="2"/>
        <v>2837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23000</v>
      </c>
      <c r="E11" s="37" t="s">
        <v>195</v>
      </c>
      <c r="F11" s="37">
        <f>D11</f>
        <v>23000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515000</v>
      </c>
      <c r="E12" s="113" t="s">
        <v>202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42000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0</v>
      </c>
      <c r="E13" s="37" t="s">
        <v>525</v>
      </c>
      <c r="F13" s="37">
        <f>ROUND($D13/12,0)</f>
        <v>0</v>
      </c>
      <c r="G13" s="37">
        <f t="shared" si="1"/>
        <v>0</v>
      </c>
      <c r="H13" s="37">
        <f t="shared" si="1"/>
        <v>0</v>
      </c>
      <c r="I13" s="37">
        <f t="shared" si="1"/>
        <v>0</v>
      </c>
      <c r="J13" s="37">
        <f t="shared" si="1"/>
        <v>0</v>
      </c>
      <c r="K13" s="37">
        <f t="shared" si="1"/>
        <v>0</v>
      </c>
      <c r="L13" s="37">
        <f t="shared" si="1"/>
        <v>0</v>
      </c>
      <c r="M13" s="37">
        <f t="shared" si="1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>D13-SUM(F13:P13)</f>
        <v>0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30000</v>
      </c>
      <c r="E15" s="37" t="s">
        <v>193</v>
      </c>
      <c r="F15" s="37">
        <f>ROUND($D15/2,-3)</f>
        <v>15000</v>
      </c>
      <c r="G15" s="37"/>
      <c r="H15" s="37"/>
      <c r="I15" s="37"/>
      <c r="J15" s="37"/>
      <c r="K15" s="37"/>
      <c r="L15" s="37">
        <f>D15-F15</f>
        <v>15000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164000</v>
      </c>
      <c r="E16" s="37" t="s">
        <v>525</v>
      </c>
      <c r="F16" s="37">
        <f>ROUND($D16/12,0)</f>
        <v>13667</v>
      </c>
      <c r="G16" s="37">
        <f t="shared" si="1"/>
        <v>13667</v>
      </c>
      <c r="H16" s="37">
        <f t="shared" si="1"/>
        <v>13667</v>
      </c>
      <c r="I16" s="37">
        <f t="shared" si="1"/>
        <v>13667</v>
      </c>
      <c r="J16" s="37">
        <f t="shared" si="1"/>
        <v>13667</v>
      </c>
      <c r="K16" s="37">
        <f t="shared" si="1"/>
        <v>13667</v>
      </c>
      <c r="L16" s="37">
        <f t="shared" si="1"/>
        <v>13667</v>
      </c>
      <c r="M16" s="37">
        <f t="shared" si="1"/>
        <v>13667</v>
      </c>
      <c r="N16" s="37">
        <f t="shared" si="1"/>
        <v>13667</v>
      </c>
      <c r="O16" s="37">
        <f t="shared" si="1"/>
        <v>13667</v>
      </c>
      <c r="P16" s="37">
        <f t="shared" si="1"/>
        <v>13667</v>
      </c>
      <c r="Q16" s="37">
        <f>D16-SUM(F16:P16)</f>
        <v>13663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42000</v>
      </c>
      <c r="E17" s="37" t="s">
        <v>525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1138000</v>
      </c>
      <c r="E25" s="108"/>
      <c r="F25" s="108">
        <f>ROUND(SUM(F3:F24),-3)</f>
        <v>215000</v>
      </c>
      <c r="G25" s="108">
        <f t="shared" ref="G25:P25" si="5">ROUND(SUM(G3:G24),-3)</f>
        <v>91000</v>
      </c>
      <c r="H25" s="108">
        <f t="shared" si="5"/>
        <v>91000</v>
      </c>
      <c r="I25" s="108">
        <f t="shared" si="5"/>
        <v>91000</v>
      </c>
      <c r="J25" s="108">
        <f t="shared" si="5"/>
        <v>91000</v>
      </c>
      <c r="K25" s="108">
        <f t="shared" si="5"/>
        <v>91000</v>
      </c>
      <c r="L25" s="108">
        <f t="shared" si="5"/>
        <v>106000</v>
      </c>
      <c r="M25" s="108">
        <f t="shared" si="5"/>
        <v>91000</v>
      </c>
      <c r="N25" s="108">
        <f t="shared" si="5"/>
        <v>91000</v>
      </c>
      <c r="O25" s="108">
        <f t="shared" si="5"/>
        <v>90000</v>
      </c>
      <c r="P25" s="108">
        <f t="shared" si="5"/>
        <v>48000</v>
      </c>
      <c r="Q25" s="108">
        <f t="shared" ref="Q25:Q33" si="6">D25-SUM(F25:P25)</f>
        <v>42000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65000</v>
      </c>
      <c r="E26" s="114" t="s">
        <v>204</v>
      </c>
      <c r="F26" s="37">
        <f>ROUND($D26/10,-3)</f>
        <v>7000</v>
      </c>
      <c r="G26" s="37"/>
      <c r="H26" s="37">
        <f>ROUND($D26/10,-3)</f>
        <v>7000</v>
      </c>
      <c r="I26" s="37">
        <f>ROUND($D26/10,-3)</f>
        <v>7000</v>
      </c>
      <c r="J26" s="37">
        <f>ROUND($D26/10,-3)</f>
        <v>7000</v>
      </c>
      <c r="K26" s="37">
        <f>ROUND($D26/10,-3)</f>
        <v>7000</v>
      </c>
      <c r="L26" s="37"/>
      <c r="M26" s="37">
        <f>ROUND($D26/10,-3)</f>
        <v>7000</v>
      </c>
      <c r="N26" s="37">
        <f>ROUND($D26/10,-3)</f>
        <v>7000</v>
      </c>
      <c r="O26" s="37">
        <f>ROUND($D26/10,-3)</f>
        <v>7000</v>
      </c>
      <c r="P26" s="37">
        <f>ROUND($D26/10,-3)</f>
        <v>7000</v>
      </c>
      <c r="Q26" s="37">
        <f t="shared" si="6"/>
        <v>2000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241000</v>
      </c>
      <c r="E27" s="37" t="s">
        <v>525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18000</v>
      </c>
      <c r="E29" s="37" t="s">
        <v>525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7000</v>
      </c>
      <c r="E30" s="37" t="s">
        <v>525</v>
      </c>
      <c r="F30" s="37">
        <f t="shared" si="8"/>
        <v>583</v>
      </c>
      <c r="G30" s="37">
        <f t="shared" si="8"/>
        <v>583</v>
      </c>
      <c r="H30" s="37">
        <f t="shared" si="8"/>
        <v>583</v>
      </c>
      <c r="I30" s="37">
        <f t="shared" si="8"/>
        <v>583</v>
      </c>
      <c r="J30" s="37">
        <f t="shared" si="8"/>
        <v>583</v>
      </c>
      <c r="K30" s="37">
        <f t="shared" si="8"/>
        <v>583</v>
      </c>
      <c r="L30" s="37">
        <f t="shared" si="8"/>
        <v>583</v>
      </c>
      <c r="M30" s="37">
        <f t="shared" si="8"/>
        <v>583</v>
      </c>
      <c r="N30" s="37">
        <f t="shared" si="8"/>
        <v>583</v>
      </c>
      <c r="O30" s="37">
        <f t="shared" si="8"/>
        <v>583</v>
      </c>
      <c r="P30" s="37">
        <f t="shared" si="8"/>
        <v>583</v>
      </c>
      <c r="Q30" s="37">
        <f t="shared" si="6"/>
        <v>587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4000</v>
      </c>
      <c r="E31" s="37" t="s">
        <v>525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335000</v>
      </c>
      <c r="E37" s="108"/>
      <c r="F37" s="108">
        <f t="shared" ref="F37:P37" si="9">ROUND(SUM(F26:F36),-3)</f>
        <v>29000</v>
      </c>
      <c r="G37" s="108">
        <f t="shared" si="9"/>
        <v>22000</v>
      </c>
      <c r="H37" s="108">
        <f t="shared" si="9"/>
        <v>29000</v>
      </c>
      <c r="I37" s="108">
        <f t="shared" si="9"/>
        <v>29000</v>
      </c>
      <c r="J37" s="108">
        <f t="shared" si="9"/>
        <v>29000</v>
      </c>
      <c r="K37" s="108">
        <f t="shared" si="9"/>
        <v>29000</v>
      </c>
      <c r="L37" s="108">
        <f t="shared" si="9"/>
        <v>22000</v>
      </c>
      <c r="M37" s="108">
        <f t="shared" si="9"/>
        <v>29000</v>
      </c>
      <c r="N37" s="108">
        <f t="shared" si="9"/>
        <v>29000</v>
      </c>
      <c r="O37" s="108">
        <f t="shared" si="9"/>
        <v>29000</v>
      </c>
      <c r="P37" s="108">
        <f t="shared" si="9"/>
        <v>29000</v>
      </c>
      <c r="Q37" s="108">
        <f>D37-SUM(F37:P37)</f>
        <v>30000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5000</v>
      </c>
      <c r="E42" s="37" t="s">
        <v>199</v>
      </c>
      <c r="F42" s="37"/>
      <c r="G42" s="37"/>
      <c r="H42" s="37"/>
      <c r="I42" s="37">
        <f>D42</f>
        <v>5000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5000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5000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11000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5000</v>
      </c>
      <c r="J45" s="108">
        <f t="shared" si="12"/>
        <v>0</v>
      </c>
      <c r="K45" s="108">
        <f t="shared" si="12"/>
        <v>0</v>
      </c>
      <c r="L45" s="108">
        <f t="shared" si="12"/>
        <v>5000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1484000</v>
      </c>
      <c r="E48" s="37"/>
      <c r="F48" s="115">
        <f>F25+F37+F45+F47</f>
        <v>245000</v>
      </c>
      <c r="G48" s="115">
        <f t="shared" ref="G48:R48" si="14">G25+G37+G45+G47</f>
        <v>113000</v>
      </c>
      <c r="H48" s="115">
        <f t="shared" si="14"/>
        <v>120000</v>
      </c>
      <c r="I48" s="115">
        <f t="shared" si="14"/>
        <v>125000</v>
      </c>
      <c r="J48" s="115">
        <f t="shared" si="14"/>
        <v>120000</v>
      </c>
      <c r="K48" s="115">
        <f t="shared" si="14"/>
        <v>120000</v>
      </c>
      <c r="L48" s="115">
        <f t="shared" si="14"/>
        <v>133000</v>
      </c>
      <c r="M48" s="115">
        <f t="shared" si="14"/>
        <v>120000</v>
      </c>
      <c r="N48" s="115">
        <f t="shared" si="14"/>
        <v>120000</v>
      </c>
      <c r="O48" s="115">
        <f t="shared" si="14"/>
        <v>119000</v>
      </c>
      <c r="P48" s="115">
        <f t="shared" si="14"/>
        <v>77000</v>
      </c>
      <c r="Q48" s="115">
        <f t="shared" si="14"/>
        <v>72000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10522000</v>
      </c>
      <c r="E49" s="114" t="s">
        <v>202</v>
      </c>
      <c r="F49" s="37">
        <f>ROUND($D49/12*3,-3)</f>
        <v>2631000</v>
      </c>
      <c r="G49" s="37">
        <f>ROUND($D49/12,-3)</f>
        <v>877000</v>
      </c>
      <c r="H49" s="37">
        <f t="shared" ref="H49:N53" si="15">ROUND($D49/12,-3)</f>
        <v>877000</v>
      </c>
      <c r="I49" s="37">
        <f t="shared" si="15"/>
        <v>877000</v>
      </c>
      <c r="J49" s="37">
        <f t="shared" si="15"/>
        <v>877000</v>
      </c>
      <c r="K49" s="37">
        <f t="shared" si="15"/>
        <v>877000</v>
      </c>
      <c r="L49" s="37">
        <f t="shared" si="15"/>
        <v>877000</v>
      </c>
      <c r="M49" s="37">
        <f t="shared" si="15"/>
        <v>877000</v>
      </c>
      <c r="N49" s="37">
        <f t="shared" si="15"/>
        <v>877000</v>
      </c>
      <c r="O49" s="37">
        <f>D49-SUM(F49:N49)</f>
        <v>875000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0</v>
      </c>
      <c r="E51" s="114" t="s">
        <v>202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5"/>
        <v>0</v>
      </c>
      <c r="N51" s="37">
        <f t="shared" si="15"/>
        <v>0</v>
      </c>
      <c r="O51" s="37">
        <f t="shared" si="18"/>
        <v>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0</v>
      </c>
      <c r="E52" s="114" t="s">
        <v>202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5"/>
        <v>0</v>
      </c>
      <c r="N52" s="37">
        <f t="shared" si="15"/>
        <v>0</v>
      </c>
      <c r="O52" s="37">
        <f t="shared" si="18"/>
        <v>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26000</v>
      </c>
      <c r="E54" s="37" t="s">
        <v>525</v>
      </c>
      <c r="F54" s="37">
        <f t="shared" ref="F54:P61" si="19">ROUND($D54/12,0)</f>
        <v>2167</v>
      </c>
      <c r="G54" s="37">
        <f t="shared" si="19"/>
        <v>2167</v>
      </c>
      <c r="H54" s="37">
        <f t="shared" si="19"/>
        <v>2167</v>
      </c>
      <c r="I54" s="37">
        <f t="shared" si="19"/>
        <v>2167</v>
      </c>
      <c r="J54" s="37">
        <f t="shared" si="19"/>
        <v>2167</v>
      </c>
      <c r="K54" s="37">
        <f t="shared" si="19"/>
        <v>2167</v>
      </c>
      <c r="L54" s="37">
        <f t="shared" si="19"/>
        <v>2167</v>
      </c>
      <c r="M54" s="37">
        <f t="shared" si="19"/>
        <v>2167</v>
      </c>
      <c r="N54" s="37">
        <f t="shared" si="19"/>
        <v>2167</v>
      </c>
      <c r="O54" s="37">
        <f t="shared" si="19"/>
        <v>2167</v>
      </c>
      <c r="P54" s="37">
        <f t="shared" si="19"/>
        <v>2167</v>
      </c>
      <c r="Q54" s="37">
        <f t="shared" ref="Q54:Q61" si="20">D54-SUM(F54:P54)</f>
        <v>2163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378000</v>
      </c>
      <c r="E60" s="37" t="s">
        <v>195</v>
      </c>
      <c r="F60" s="37">
        <f>D60</f>
        <v>378000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1282000</v>
      </c>
      <c r="E62" s="37" t="s">
        <v>197</v>
      </c>
      <c r="F62" s="37"/>
      <c r="G62" s="37"/>
      <c r="H62" s="37"/>
      <c r="I62" s="37">
        <f>ROUND($D62/5,-3)</f>
        <v>256000</v>
      </c>
      <c r="J62" s="37"/>
      <c r="K62" s="37"/>
      <c r="L62" s="37"/>
      <c r="M62" s="37"/>
      <c r="N62" s="37">
        <f>D62-I62</f>
        <v>1026000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1305000</v>
      </c>
      <c r="E63" s="37" t="s">
        <v>195</v>
      </c>
      <c r="F63" s="37">
        <f>D63</f>
        <v>1305000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1063000</v>
      </c>
      <c r="E64" s="114" t="s">
        <v>202</v>
      </c>
      <c r="F64" s="37">
        <f>ROUND($D64/12*3,-3)</f>
        <v>266000</v>
      </c>
      <c r="G64" s="37">
        <f>ROUND($D64/12,-3)</f>
        <v>89000</v>
      </c>
      <c r="H64" s="37">
        <f t="shared" ref="H64:N66" si="21">ROUND($D64/12,-3)</f>
        <v>89000</v>
      </c>
      <c r="I64" s="37">
        <f t="shared" si="21"/>
        <v>89000</v>
      </c>
      <c r="J64" s="37">
        <f t="shared" si="21"/>
        <v>89000</v>
      </c>
      <c r="K64" s="37">
        <f t="shared" si="21"/>
        <v>89000</v>
      </c>
      <c r="L64" s="37">
        <f t="shared" si="21"/>
        <v>89000</v>
      </c>
      <c r="M64" s="37">
        <f t="shared" si="21"/>
        <v>89000</v>
      </c>
      <c r="N64" s="37">
        <f t="shared" si="21"/>
        <v>89000</v>
      </c>
      <c r="O64" s="37">
        <f>D64-SUM(F64:N64)</f>
        <v>85000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229000</v>
      </c>
      <c r="E65" s="114" t="s">
        <v>202</v>
      </c>
      <c r="F65" s="37">
        <f t="shared" ref="F65:F66" si="22">ROUND($D65/12*3,-3)</f>
        <v>57000</v>
      </c>
      <c r="G65" s="37">
        <f t="shared" ref="G65:G66" si="23">ROUND($D65/12,-3)</f>
        <v>19000</v>
      </c>
      <c r="H65" s="37">
        <f t="shared" si="21"/>
        <v>19000</v>
      </c>
      <c r="I65" s="37">
        <f t="shared" si="21"/>
        <v>19000</v>
      </c>
      <c r="J65" s="37">
        <f t="shared" si="21"/>
        <v>19000</v>
      </c>
      <c r="K65" s="37">
        <f t="shared" si="21"/>
        <v>19000</v>
      </c>
      <c r="L65" s="37">
        <f t="shared" si="21"/>
        <v>19000</v>
      </c>
      <c r="M65" s="37">
        <f t="shared" si="21"/>
        <v>19000</v>
      </c>
      <c r="N65" s="37">
        <f t="shared" si="21"/>
        <v>19000</v>
      </c>
      <c r="O65" s="37">
        <f t="shared" ref="O65:O66" si="24">D65-SUM(F65:N65)</f>
        <v>20000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843000</v>
      </c>
      <c r="E66" s="114" t="s">
        <v>202</v>
      </c>
      <c r="F66" s="37">
        <f t="shared" si="22"/>
        <v>211000</v>
      </c>
      <c r="G66" s="37">
        <f t="shared" si="23"/>
        <v>70000</v>
      </c>
      <c r="H66" s="37">
        <f t="shared" si="21"/>
        <v>70000</v>
      </c>
      <c r="I66" s="37">
        <f t="shared" si="21"/>
        <v>70000</v>
      </c>
      <c r="J66" s="37">
        <f t="shared" si="21"/>
        <v>70000</v>
      </c>
      <c r="K66" s="37">
        <f t="shared" si="21"/>
        <v>70000</v>
      </c>
      <c r="L66" s="37">
        <f t="shared" si="21"/>
        <v>70000</v>
      </c>
      <c r="M66" s="37">
        <f t="shared" si="21"/>
        <v>70000</v>
      </c>
      <c r="N66" s="37">
        <f t="shared" si="21"/>
        <v>70000</v>
      </c>
      <c r="O66" s="37">
        <f t="shared" si="24"/>
        <v>72000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18000</v>
      </c>
      <c r="E67" s="37" t="s">
        <v>196</v>
      </c>
      <c r="F67" s="37"/>
      <c r="G67" s="37"/>
      <c r="H67" s="37">
        <f>D67</f>
        <v>18000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196000</v>
      </c>
      <c r="E68" s="37" t="s">
        <v>195</v>
      </c>
      <c r="F68" s="37">
        <f>D68</f>
        <v>196000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15886000</v>
      </c>
      <c r="E70" s="108"/>
      <c r="F70" s="108">
        <f t="shared" ref="F70:P70" si="25">ROUND(SUM(F49:F69),-3)</f>
        <v>5048000</v>
      </c>
      <c r="G70" s="108">
        <f t="shared" si="25"/>
        <v>1059000</v>
      </c>
      <c r="H70" s="108">
        <f t="shared" si="25"/>
        <v>1077000</v>
      </c>
      <c r="I70" s="108">
        <f t="shared" si="25"/>
        <v>1315000</v>
      </c>
      <c r="J70" s="108">
        <f t="shared" si="25"/>
        <v>1059000</v>
      </c>
      <c r="K70" s="108">
        <f t="shared" si="25"/>
        <v>1059000</v>
      </c>
      <c r="L70" s="108">
        <f t="shared" si="25"/>
        <v>1059000</v>
      </c>
      <c r="M70" s="108">
        <f t="shared" si="25"/>
        <v>1059000</v>
      </c>
      <c r="N70" s="108">
        <f t="shared" si="25"/>
        <v>2085000</v>
      </c>
      <c r="O70" s="108">
        <f t="shared" si="25"/>
        <v>1056000</v>
      </c>
      <c r="P70" s="108">
        <f t="shared" si="25"/>
        <v>4000</v>
      </c>
      <c r="Q70" s="108">
        <f>D70-SUM(F70:P70)</f>
        <v>6000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1323000</v>
      </c>
      <c r="E72" s="114" t="s">
        <v>202</v>
      </c>
      <c r="F72" s="37">
        <f>ROUND($D72/12*3,-3)</f>
        <v>331000</v>
      </c>
      <c r="G72" s="37">
        <f>ROUND($D72/12,-3)</f>
        <v>110000</v>
      </c>
      <c r="H72" s="37">
        <f t="shared" ref="H72:N75" si="26">ROUND($D72/12,-3)</f>
        <v>110000</v>
      </c>
      <c r="I72" s="37">
        <f t="shared" si="26"/>
        <v>110000</v>
      </c>
      <c r="J72" s="37">
        <f t="shared" si="26"/>
        <v>110000</v>
      </c>
      <c r="K72" s="37">
        <f t="shared" si="26"/>
        <v>110000</v>
      </c>
      <c r="L72" s="37">
        <f t="shared" si="26"/>
        <v>110000</v>
      </c>
      <c r="M72" s="37">
        <f t="shared" si="26"/>
        <v>110000</v>
      </c>
      <c r="N72" s="37">
        <f t="shared" si="26"/>
        <v>110000</v>
      </c>
      <c r="O72" s="37">
        <f>D72-SUM(F72:N72)</f>
        <v>112000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1323000</v>
      </c>
      <c r="E76" s="108"/>
      <c r="F76" s="108">
        <f>ROUND(SUM(F71:F75),-3)</f>
        <v>331000</v>
      </c>
      <c r="G76" s="108">
        <f t="shared" ref="G76:N76" si="27">ROUND(SUM(G71:G75),-3)</f>
        <v>110000</v>
      </c>
      <c r="H76" s="108">
        <f t="shared" si="27"/>
        <v>110000</v>
      </c>
      <c r="I76" s="108">
        <f t="shared" si="27"/>
        <v>110000</v>
      </c>
      <c r="J76" s="108">
        <f t="shared" si="27"/>
        <v>110000</v>
      </c>
      <c r="K76" s="108">
        <f t="shared" si="27"/>
        <v>110000</v>
      </c>
      <c r="L76" s="108">
        <f t="shared" si="27"/>
        <v>110000</v>
      </c>
      <c r="M76" s="108">
        <f t="shared" si="27"/>
        <v>110000</v>
      </c>
      <c r="N76" s="108">
        <f t="shared" si="27"/>
        <v>110000</v>
      </c>
      <c r="O76" s="108">
        <f>D76-SUM(F76:N76)</f>
        <v>112000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40000</v>
      </c>
      <c r="E77" s="37" t="s">
        <v>681</v>
      </c>
      <c r="F77" s="224"/>
      <c r="G77" s="224"/>
      <c r="H77" s="224">
        <f>ROUND($D77/2,-3)</f>
        <v>20000</v>
      </c>
      <c r="I77" s="224"/>
      <c r="J77" s="224"/>
      <c r="K77" s="224"/>
      <c r="L77" s="224"/>
      <c r="M77" s="224"/>
      <c r="N77" s="224">
        <f>D77-H77</f>
        <v>20000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17249000</v>
      </c>
      <c r="E78" s="227"/>
      <c r="F78" s="227">
        <f>F76+F70+F77</f>
        <v>5379000</v>
      </c>
      <c r="G78" s="227">
        <f t="shared" ref="G78:Q78" si="29">G76+G70+G77</f>
        <v>1169000</v>
      </c>
      <c r="H78" s="227">
        <f t="shared" si="29"/>
        <v>1207000</v>
      </c>
      <c r="I78" s="227">
        <f t="shared" si="29"/>
        <v>1425000</v>
      </c>
      <c r="J78" s="227">
        <f t="shared" si="29"/>
        <v>1169000</v>
      </c>
      <c r="K78" s="227">
        <f t="shared" si="29"/>
        <v>1169000</v>
      </c>
      <c r="L78" s="227">
        <f t="shared" si="29"/>
        <v>1169000</v>
      </c>
      <c r="M78" s="227">
        <f t="shared" si="29"/>
        <v>1169000</v>
      </c>
      <c r="N78" s="227">
        <f t="shared" si="29"/>
        <v>2215000</v>
      </c>
      <c r="O78" s="227">
        <f t="shared" si="29"/>
        <v>1168000</v>
      </c>
      <c r="P78" s="227">
        <f t="shared" si="29"/>
        <v>4000</v>
      </c>
      <c r="Q78" s="227">
        <f t="shared" si="29"/>
        <v>6000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18733000</v>
      </c>
      <c r="E87" s="37"/>
      <c r="F87" s="37">
        <f>F88+F89+F90+F91</f>
        <v>5624000</v>
      </c>
      <c r="G87" s="37">
        <f t="shared" ref="G87:Q87" si="32">G88+G89+G90+G91</f>
        <v>1282000</v>
      </c>
      <c r="H87" s="37">
        <f t="shared" si="32"/>
        <v>1327000</v>
      </c>
      <c r="I87" s="37">
        <f t="shared" si="32"/>
        <v>1550000</v>
      </c>
      <c r="J87" s="37">
        <f t="shared" si="32"/>
        <v>1289000</v>
      </c>
      <c r="K87" s="37">
        <f t="shared" si="32"/>
        <v>1289000</v>
      </c>
      <c r="L87" s="37">
        <f t="shared" si="32"/>
        <v>1302000</v>
      </c>
      <c r="M87" s="37">
        <f t="shared" si="32"/>
        <v>1289000</v>
      </c>
      <c r="N87" s="37">
        <f t="shared" si="32"/>
        <v>2335000</v>
      </c>
      <c r="O87" s="37">
        <f t="shared" si="32"/>
        <v>1287000</v>
      </c>
      <c r="P87" s="37">
        <f t="shared" si="32"/>
        <v>81000</v>
      </c>
      <c r="Q87" s="37">
        <f t="shared" si="32"/>
        <v>78000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8000</v>
      </c>
      <c r="E88" s="108" t="s">
        <v>193</v>
      </c>
      <c r="F88" s="108">
        <f>ROUND($D88/2,-3)</f>
        <v>4000</v>
      </c>
      <c r="G88" s="108"/>
      <c r="H88" s="108"/>
      <c r="I88" s="108"/>
      <c r="J88" s="108"/>
      <c r="K88" s="108"/>
      <c r="L88" s="108">
        <f>D88-F88</f>
        <v>4000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18724000</v>
      </c>
      <c r="E91" s="108"/>
      <c r="F91" s="108">
        <f>F92+F93+F94+F95</f>
        <v>5620000</v>
      </c>
      <c r="G91" s="108">
        <f t="shared" ref="G91:Q91" si="34">G92+G93+G94+G95</f>
        <v>1282000</v>
      </c>
      <c r="H91" s="108">
        <f t="shared" si="34"/>
        <v>1327000</v>
      </c>
      <c r="I91" s="108">
        <f t="shared" si="34"/>
        <v>1550000</v>
      </c>
      <c r="J91" s="108">
        <f t="shared" si="34"/>
        <v>1289000</v>
      </c>
      <c r="K91" s="108">
        <f t="shared" si="34"/>
        <v>1289000</v>
      </c>
      <c r="L91" s="108">
        <f t="shared" si="34"/>
        <v>1298000</v>
      </c>
      <c r="M91" s="108">
        <f t="shared" si="34"/>
        <v>1289000</v>
      </c>
      <c r="N91" s="108">
        <f t="shared" si="34"/>
        <v>2335000</v>
      </c>
      <c r="O91" s="108">
        <f t="shared" si="34"/>
        <v>1287000</v>
      </c>
      <c r="P91" s="108">
        <f t="shared" si="34"/>
        <v>81000</v>
      </c>
      <c r="Q91" s="108">
        <f t="shared" si="34"/>
        <v>77000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1300000</v>
      </c>
      <c r="E92" s="114" t="s">
        <v>537</v>
      </c>
      <c r="F92" s="37">
        <f>ROUND($D92/12*5,-3)</f>
        <v>542000</v>
      </c>
      <c r="G92" s="37">
        <f>ROUND($D92/12,-3)</f>
        <v>108000</v>
      </c>
      <c r="H92" s="37">
        <f t="shared" ref="H92:L92" si="35">ROUND($D92/12,-3)</f>
        <v>108000</v>
      </c>
      <c r="I92" s="37">
        <f t="shared" si="35"/>
        <v>108000</v>
      </c>
      <c r="J92" s="37">
        <f t="shared" si="35"/>
        <v>108000</v>
      </c>
      <c r="K92" s="37">
        <f t="shared" si="35"/>
        <v>108000</v>
      </c>
      <c r="L92" s="37">
        <f t="shared" si="35"/>
        <v>108000</v>
      </c>
      <c r="M92" s="37">
        <f>D92-SUM(F92:L92)</f>
        <v>110000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77000</v>
      </c>
      <c r="E93" s="189" t="s">
        <v>227</v>
      </c>
      <c r="F93" s="37">
        <f>ROUND($D93/12,-3)</f>
        <v>6000</v>
      </c>
      <c r="G93" s="37">
        <f t="shared" ref="G93:P93" si="36">ROUND($D93/12,-3)</f>
        <v>6000</v>
      </c>
      <c r="H93" s="37">
        <f t="shared" si="36"/>
        <v>6000</v>
      </c>
      <c r="I93" s="37">
        <f t="shared" si="36"/>
        <v>6000</v>
      </c>
      <c r="J93" s="37">
        <f t="shared" si="36"/>
        <v>6000</v>
      </c>
      <c r="K93" s="37">
        <f t="shared" si="36"/>
        <v>6000</v>
      </c>
      <c r="L93" s="37">
        <f t="shared" si="36"/>
        <v>6000</v>
      </c>
      <c r="M93" s="37">
        <f t="shared" si="36"/>
        <v>6000</v>
      </c>
      <c r="N93" s="37">
        <f t="shared" si="36"/>
        <v>6000</v>
      </c>
      <c r="O93" s="37">
        <f t="shared" si="36"/>
        <v>6000</v>
      </c>
      <c r="P93" s="37">
        <f t="shared" si="36"/>
        <v>6000</v>
      </c>
      <c r="Q93" s="37">
        <f>D93-SUM(F93:P93)</f>
        <v>11000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17347000</v>
      </c>
      <c r="E95" s="37"/>
      <c r="F95" s="37">
        <f>F2+F86-F88-F89-F90-F92-F93-F94</f>
        <v>5072000</v>
      </c>
      <c r="G95" s="37">
        <f t="shared" ref="G95:Q95" si="37">G2-G88-G89-G90-G92-G93-G94</f>
        <v>1168000</v>
      </c>
      <c r="H95" s="37">
        <f t="shared" si="37"/>
        <v>1213000</v>
      </c>
      <c r="I95" s="37">
        <f t="shared" si="37"/>
        <v>1436000</v>
      </c>
      <c r="J95" s="37">
        <f t="shared" si="37"/>
        <v>1175000</v>
      </c>
      <c r="K95" s="37">
        <f t="shared" si="37"/>
        <v>1175000</v>
      </c>
      <c r="L95" s="37">
        <f t="shared" si="37"/>
        <v>1184000</v>
      </c>
      <c r="M95" s="37">
        <f t="shared" si="37"/>
        <v>1173000</v>
      </c>
      <c r="N95" s="37">
        <f t="shared" si="37"/>
        <v>2329000</v>
      </c>
      <c r="O95" s="37">
        <f t="shared" si="37"/>
        <v>1281000</v>
      </c>
      <c r="P95" s="37">
        <f t="shared" si="37"/>
        <v>75000</v>
      </c>
      <c r="Q95" s="37">
        <f t="shared" si="37"/>
        <v>66000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0</v>
      </c>
    </row>
    <row r="102" spans="2:17" ht="32.4">
      <c r="B102" s="71" t="s">
        <v>238</v>
      </c>
      <c r="D102" s="30">
        <f>HLOOKUP(D1,[1]縣庫撥款收入明細表!H:DD,16,FALSE)</f>
        <v>72000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650000</v>
      </c>
    </row>
    <row r="106" spans="2:17" ht="32.4">
      <c r="B106" s="71" t="s">
        <v>241</v>
      </c>
      <c r="D106" s="30">
        <f>HLOOKUP(D1,[1]縣庫撥款收入明細表!H:DD,20,FALSE)</f>
        <v>5000</v>
      </c>
    </row>
    <row r="107" spans="2:17" ht="32.4">
      <c r="B107" s="77" t="s">
        <v>242</v>
      </c>
      <c r="D107" s="30">
        <f>HLOOKUP(D1,[1]縣庫撥款收入明細表!H:DD,21,FALSE)</f>
        <v>17347000</v>
      </c>
    </row>
    <row r="108" spans="2:17" ht="16.5" customHeight="1"/>
    <row r="109" spans="2:17" ht="16.5" customHeight="1">
      <c r="B109" s="4" t="s">
        <v>682</v>
      </c>
      <c r="D109" s="30">
        <f>D91-D76</f>
        <v>17401000</v>
      </c>
      <c r="F109" s="30">
        <f>F91-F76</f>
        <v>5289000</v>
      </c>
      <c r="G109" s="30">
        <f t="shared" ref="G109:Q109" si="38">G91-G76</f>
        <v>1172000</v>
      </c>
      <c r="H109" s="30">
        <f t="shared" si="38"/>
        <v>1217000</v>
      </c>
      <c r="I109" s="30">
        <f t="shared" si="38"/>
        <v>1440000</v>
      </c>
      <c r="J109" s="30">
        <f t="shared" si="38"/>
        <v>1179000</v>
      </c>
      <c r="K109" s="30">
        <f t="shared" si="38"/>
        <v>1179000</v>
      </c>
      <c r="L109" s="30">
        <f t="shared" si="38"/>
        <v>1188000</v>
      </c>
      <c r="M109" s="30">
        <f t="shared" si="38"/>
        <v>1179000</v>
      </c>
      <c r="N109" s="30">
        <f t="shared" si="38"/>
        <v>2225000</v>
      </c>
      <c r="O109" s="30">
        <f t="shared" si="38"/>
        <v>1175000</v>
      </c>
      <c r="P109" s="30">
        <f t="shared" si="38"/>
        <v>81000</v>
      </c>
      <c r="Q109" s="30">
        <f t="shared" si="38"/>
        <v>77000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58" priority="1" operator="lessThan">
      <formula>0</formula>
    </cfRule>
  </conditionalFormatting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zoomScale="115" zoomScaleNormal="115"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679</v>
      </c>
      <c r="D1" s="28" t="str">
        <f>VLOOKUP(C1,[1]學校編號!A:B,2,FALSE)</f>
        <v>679秀林國小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32458000</v>
      </c>
      <c r="E2" s="37"/>
      <c r="F2" s="37">
        <f>F48+F70+F76+F77+F83</f>
        <v>9479000</v>
      </c>
      <c r="G2" s="37">
        <f t="shared" ref="G2:Q2" si="0">G48+G70+G76+G77+G83</f>
        <v>2338000</v>
      </c>
      <c r="H2" s="37">
        <f t="shared" si="0"/>
        <v>2375000</v>
      </c>
      <c r="I2" s="37">
        <f t="shared" si="0"/>
        <v>2672000</v>
      </c>
      <c r="J2" s="37">
        <f t="shared" si="0"/>
        <v>2338000</v>
      </c>
      <c r="K2" s="37">
        <f t="shared" si="0"/>
        <v>2344000</v>
      </c>
      <c r="L2" s="37">
        <f t="shared" si="0"/>
        <v>2376000</v>
      </c>
      <c r="M2" s="37">
        <f t="shared" si="0"/>
        <v>2338000</v>
      </c>
      <c r="N2" s="37">
        <f t="shared" si="0"/>
        <v>3685000</v>
      </c>
      <c r="O2" s="37">
        <f t="shared" si="0"/>
        <v>2342000</v>
      </c>
      <c r="P2" s="37">
        <f t="shared" si="0"/>
        <v>83000</v>
      </c>
      <c r="Q2" s="37">
        <f t="shared" si="0"/>
        <v>88000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170000</v>
      </c>
      <c r="E3" s="37" t="s">
        <v>525</v>
      </c>
      <c r="F3" s="37">
        <f t="shared" ref="F3:P17" si="1">ROUND($D3/12,0)</f>
        <v>14167</v>
      </c>
      <c r="G3" s="37">
        <f t="shared" si="1"/>
        <v>14167</v>
      </c>
      <c r="H3" s="37">
        <f t="shared" si="1"/>
        <v>14167</v>
      </c>
      <c r="I3" s="37">
        <f t="shared" si="1"/>
        <v>14167</v>
      </c>
      <c r="J3" s="37">
        <f t="shared" si="1"/>
        <v>14167</v>
      </c>
      <c r="K3" s="37">
        <f t="shared" si="1"/>
        <v>14167</v>
      </c>
      <c r="L3" s="37">
        <f t="shared" si="1"/>
        <v>14167</v>
      </c>
      <c r="M3" s="37">
        <f t="shared" si="1"/>
        <v>14167</v>
      </c>
      <c r="N3" s="37">
        <f t="shared" si="1"/>
        <v>14167</v>
      </c>
      <c r="O3" s="37">
        <f t="shared" si="1"/>
        <v>14167</v>
      </c>
      <c r="P3" s="37">
        <f t="shared" si="1"/>
        <v>14167</v>
      </c>
      <c r="Q3" s="37">
        <f t="shared" ref="Q3:Q10" si="2">D3-SUM(F3:P3)</f>
        <v>14163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73000</v>
      </c>
      <c r="E4" s="37" t="s">
        <v>525</v>
      </c>
      <c r="F4" s="37">
        <f t="shared" si="1"/>
        <v>6083</v>
      </c>
      <c r="G4" s="37">
        <f t="shared" si="1"/>
        <v>6083</v>
      </c>
      <c r="H4" s="37">
        <f t="shared" si="1"/>
        <v>6083</v>
      </c>
      <c r="I4" s="37">
        <f t="shared" si="1"/>
        <v>6083</v>
      </c>
      <c r="J4" s="37">
        <f t="shared" si="1"/>
        <v>6083</v>
      </c>
      <c r="K4" s="37">
        <f t="shared" si="1"/>
        <v>6083</v>
      </c>
      <c r="L4" s="37">
        <f t="shared" si="1"/>
        <v>6083</v>
      </c>
      <c r="M4" s="37">
        <f t="shared" si="1"/>
        <v>6083</v>
      </c>
      <c r="N4" s="37">
        <f t="shared" si="1"/>
        <v>6083</v>
      </c>
      <c r="O4" s="37">
        <f t="shared" si="1"/>
        <v>6083</v>
      </c>
      <c r="P4" s="37">
        <f t="shared" si="1"/>
        <v>6083</v>
      </c>
      <c r="Q4" s="37">
        <f t="shared" si="2"/>
        <v>6087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65000</v>
      </c>
      <c r="E7" s="37" t="s">
        <v>525</v>
      </c>
      <c r="F7" s="37">
        <f t="shared" si="1"/>
        <v>5417</v>
      </c>
      <c r="G7" s="37">
        <f t="shared" si="1"/>
        <v>5417</v>
      </c>
      <c r="H7" s="37">
        <f t="shared" si="1"/>
        <v>5417</v>
      </c>
      <c r="I7" s="37">
        <f t="shared" si="1"/>
        <v>5417</v>
      </c>
      <c r="J7" s="37">
        <f t="shared" si="1"/>
        <v>5417</v>
      </c>
      <c r="K7" s="37">
        <f t="shared" si="1"/>
        <v>5417</v>
      </c>
      <c r="L7" s="37">
        <f t="shared" si="1"/>
        <v>5417</v>
      </c>
      <c r="M7" s="37">
        <f t="shared" si="1"/>
        <v>5417</v>
      </c>
      <c r="N7" s="37">
        <f t="shared" si="1"/>
        <v>5417</v>
      </c>
      <c r="O7" s="37">
        <f t="shared" si="1"/>
        <v>5417</v>
      </c>
      <c r="P7" s="37">
        <f t="shared" si="1"/>
        <v>5417</v>
      </c>
      <c r="Q7" s="37">
        <f t="shared" si="2"/>
        <v>5413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30000</v>
      </c>
      <c r="E8" s="37" t="s">
        <v>525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6000</v>
      </c>
      <c r="E9" s="37" t="s">
        <v>525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80000</v>
      </c>
      <c r="E13" s="37" t="s">
        <v>525</v>
      </c>
      <c r="F13" s="37">
        <f>ROUND($D13/12,0)</f>
        <v>6667</v>
      </c>
      <c r="G13" s="37">
        <f t="shared" si="1"/>
        <v>6667</v>
      </c>
      <c r="H13" s="37">
        <f t="shared" si="1"/>
        <v>6667</v>
      </c>
      <c r="I13" s="37">
        <f t="shared" si="1"/>
        <v>6667</v>
      </c>
      <c r="J13" s="37">
        <f t="shared" si="1"/>
        <v>6667</v>
      </c>
      <c r="K13" s="37">
        <f t="shared" si="1"/>
        <v>6667</v>
      </c>
      <c r="L13" s="37">
        <f t="shared" si="1"/>
        <v>6667</v>
      </c>
      <c r="M13" s="37">
        <f t="shared" si="1"/>
        <v>6667</v>
      </c>
      <c r="N13" s="37">
        <f t="shared" si="1"/>
        <v>6667</v>
      </c>
      <c r="O13" s="37">
        <f t="shared" si="1"/>
        <v>6667</v>
      </c>
      <c r="P13" s="37">
        <f t="shared" si="1"/>
        <v>6667</v>
      </c>
      <c r="Q13" s="37">
        <f>D13-SUM(F13:P13)</f>
        <v>6663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38000</v>
      </c>
      <c r="E15" s="37" t="s">
        <v>193</v>
      </c>
      <c r="F15" s="37">
        <f>ROUND($D15/2,-3)</f>
        <v>19000</v>
      </c>
      <c r="G15" s="37"/>
      <c r="H15" s="37"/>
      <c r="I15" s="37"/>
      <c r="J15" s="37"/>
      <c r="K15" s="37"/>
      <c r="L15" s="37">
        <f>D15-F15</f>
        <v>19000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84000</v>
      </c>
      <c r="E16" s="37" t="s">
        <v>525</v>
      </c>
      <c r="F16" s="37">
        <f>ROUND($D16/12,0)</f>
        <v>7000</v>
      </c>
      <c r="G16" s="37">
        <f t="shared" si="1"/>
        <v>7000</v>
      </c>
      <c r="H16" s="37">
        <f t="shared" si="1"/>
        <v>7000</v>
      </c>
      <c r="I16" s="37">
        <f t="shared" si="1"/>
        <v>7000</v>
      </c>
      <c r="J16" s="37">
        <f t="shared" si="1"/>
        <v>7000</v>
      </c>
      <c r="K16" s="37">
        <f t="shared" si="1"/>
        <v>7000</v>
      </c>
      <c r="L16" s="37">
        <f t="shared" si="1"/>
        <v>7000</v>
      </c>
      <c r="M16" s="37">
        <f t="shared" si="1"/>
        <v>7000</v>
      </c>
      <c r="N16" s="37">
        <f t="shared" si="1"/>
        <v>7000</v>
      </c>
      <c r="O16" s="37">
        <f t="shared" si="1"/>
        <v>7000</v>
      </c>
      <c r="P16" s="37">
        <f t="shared" si="1"/>
        <v>7000</v>
      </c>
      <c r="Q16" s="37">
        <f>D16-SUM(F16:P16)</f>
        <v>7000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45000</v>
      </c>
      <c r="E17" s="37" t="s">
        <v>525</v>
      </c>
      <c r="F17" s="37">
        <f>ROUND($D17/12,0)</f>
        <v>3750</v>
      </c>
      <c r="G17" s="37">
        <f t="shared" si="1"/>
        <v>3750</v>
      </c>
      <c r="H17" s="37">
        <f t="shared" si="1"/>
        <v>3750</v>
      </c>
      <c r="I17" s="37">
        <f t="shared" si="1"/>
        <v>3750</v>
      </c>
      <c r="J17" s="37">
        <f t="shared" si="1"/>
        <v>3750</v>
      </c>
      <c r="K17" s="37">
        <f t="shared" si="1"/>
        <v>3750</v>
      </c>
      <c r="L17" s="37">
        <f t="shared" si="1"/>
        <v>3750</v>
      </c>
      <c r="M17" s="37">
        <f t="shared" si="1"/>
        <v>3750</v>
      </c>
      <c r="N17" s="37">
        <f t="shared" si="1"/>
        <v>3750</v>
      </c>
      <c r="O17" s="37">
        <f t="shared" si="1"/>
        <v>3750</v>
      </c>
      <c r="P17" s="37">
        <f t="shared" si="1"/>
        <v>3750</v>
      </c>
      <c r="Q17" s="37">
        <f>D17-SUM(F17:P17)</f>
        <v>3750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38000</v>
      </c>
      <c r="E24" s="37" t="s">
        <v>193</v>
      </c>
      <c r="F24" s="37">
        <f>ROUND($D24/2,-3)</f>
        <v>19000</v>
      </c>
      <c r="G24" s="37"/>
      <c r="H24" s="37"/>
      <c r="I24" s="37"/>
      <c r="J24" s="37"/>
      <c r="K24" s="37"/>
      <c r="L24" s="37">
        <f>D24-F24</f>
        <v>19000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689000</v>
      </c>
      <c r="E25" s="108"/>
      <c r="F25" s="108">
        <f>ROUND(SUM(F3:F24),-3)</f>
        <v>89000</v>
      </c>
      <c r="G25" s="108">
        <f t="shared" ref="G25:P25" si="5">ROUND(SUM(G3:G24),-3)</f>
        <v>51000</v>
      </c>
      <c r="H25" s="108">
        <f t="shared" si="5"/>
        <v>51000</v>
      </c>
      <c r="I25" s="108">
        <f t="shared" si="5"/>
        <v>51000</v>
      </c>
      <c r="J25" s="108">
        <f t="shared" si="5"/>
        <v>51000</v>
      </c>
      <c r="K25" s="108">
        <f t="shared" si="5"/>
        <v>51000</v>
      </c>
      <c r="L25" s="108">
        <f t="shared" si="5"/>
        <v>89000</v>
      </c>
      <c r="M25" s="108">
        <f t="shared" si="5"/>
        <v>51000</v>
      </c>
      <c r="N25" s="108">
        <f t="shared" si="5"/>
        <v>51000</v>
      </c>
      <c r="O25" s="108">
        <f t="shared" si="5"/>
        <v>51000</v>
      </c>
      <c r="P25" s="108">
        <f t="shared" si="5"/>
        <v>51000</v>
      </c>
      <c r="Q25" s="108">
        <f t="shared" ref="Q25:Q33" si="6">D25-SUM(F25:P25)</f>
        <v>52000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259000</v>
      </c>
      <c r="E27" s="37" t="s">
        <v>525</v>
      </c>
      <c r="F27" s="37">
        <f t="shared" ref="F27:P33" si="8">ROUND($D27/12,0)</f>
        <v>21583</v>
      </c>
      <c r="G27" s="37">
        <f t="shared" si="8"/>
        <v>21583</v>
      </c>
      <c r="H27" s="37">
        <f t="shared" si="8"/>
        <v>21583</v>
      </c>
      <c r="I27" s="37">
        <f t="shared" si="8"/>
        <v>21583</v>
      </c>
      <c r="J27" s="37">
        <f t="shared" si="8"/>
        <v>21583</v>
      </c>
      <c r="K27" s="37">
        <f t="shared" si="8"/>
        <v>21583</v>
      </c>
      <c r="L27" s="37">
        <f t="shared" si="8"/>
        <v>21583</v>
      </c>
      <c r="M27" s="37">
        <f t="shared" si="8"/>
        <v>21583</v>
      </c>
      <c r="N27" s="37">
        <f t="shared" si="8"/>
        <v>21583</v>
      </c>
      <c r="O27" s="37">
        <f t="shared" si="8"/>
        <v>21583</v>
      </c>
      <c r="P27" s="37">
        <f t="shared" si="8"/>
        <v>21583</v>
      </c>
      <c r="Q27" s="37">
        <f t="shared" si="6"/>
        <v>21587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21000</v>
      </c>
      <c r="E29" s="37" t="s">
        <v>525</v>
      </c>
      <c r="F29" s="37">
        <f t="shared" si="8"/>
        <v>1750</v>
      </c>
      <c r="G29" s="37">
        <f t="shared" si="8"/>
        <v>1750</v>
      </c>
      <c r="H29" s="37">
        <f t="shared" si="8"/>
        <v>1750</v>
      </c>
      <c r="I29" s="37">
        <f t="shared" si="8"/>
        <v>1750</v>
      </c>
      <c r="J29" s="37">
        <f t="shared" si="8"/>
        <v>1750</v>
      </c>
      <c r="K29" s="37">
        <f t="shared" si="8"/>
        <v>1750</v>
      </c>
      <c r="L29" s="37">
        <f t="shared" si="8"/>
        <v>1750</v>
      </c>
      <c r="M29" s="37">
        <f t="shared" si="8"/>
        <v>1750</v>
      </c>
      <c r="N29" s="37">
        <f t="shared" si="8"/>
        <v>1750</v>
      </c>
      <c r="O29" s="37">
        <f t="shared" si="8"/>
        <v>1750</v>
      </c>
      <c r="P29" s="37">
        <f t="shared" si="8"/>
        <v>1750</v>
      </c>
      <c r="Q29" s="37">
        <f t="shared" si="6"/>
        <v>1750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16000</v>
      </c>
      <c r="E30" s="37" t="s">
        <v>525</v>
      </c>
      <c r="F30" s="37">
        <f t="shared" si="8"/>
        <v>1333</v>
      </c>
      <c r="G30" s="37">
        <f t="shared" si="8"/>
        <v>1333</v>
      </c>
      <c r="H30" s="37">
        <f t="shared" si="8"/>
        <v>1333</v>
      </c>
      <c r="I30" s="37">
        <f t="shared" si="8"/>
        <v>1333</v>
      </c>
      <c r="J30" s="37">
        <f t="shared" si="8"/>
        <v>1333</v>
      </c>
      <c r="K30" s="37">
        <f t="shared" si="8"/>
        <v>1333</v>
      </c>
      <c r="L30" s="37">
        <f t="shared" si="8"/>
        <v>1333</v>
      </c>
      <c r="M30" s="37">
        <f t="shared" si="8"/>
        <v>1333</v>
      </c>
      <c r="N30" s="37">
        <f t="shared" si="8"/>
        <v>1333</v>
      </c>
      <c r="O30" s="37">
        <f t="shared" si="8"/>
        <v>1333</v>
      </c>
      <c r="P30" s="37">
        <f t="shared" si="8"/>
        <v>1333</v>
      </c>
      <c r="Q30" s="37">
        <f t="shared" si="6"/>
        <v>1337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8000</v>
      </c>
      <c r="E31" s="37" t="s">
        <v>525</v>
      </c>
      <c r="F31" s="37">
        <f t="shared" si="8"/>
        <v>667</v>
      </c>
      <c r="G31" s="37">
        <f t="shared" si="8"/>
        <v>667</v>
      </c>
      <c r="H31" s="37">
        <f t="shared" si="8"/>
        <v>667</v>
      </c>
      <c r="I31" s="37">
        <f t="shared" si="8"/>
        <v>667</v>
      </c>
      <c r="J31" s="37">
        <f t="shared" si="8"/>
        <v>667</v>
      </c>
      <c r="K31" s="37">
        <f t="shared" si="8"/>
        <v>667</v>
      </c>
      <c r="L31" s="37">
        <f t="shared" si="8"/>
        <v>667</v>
      </c>
      <c r="M31" s="37">
        <f t="shared" si="8"/>
        <v>667</v>
      </c>
      <c r="N31" s="37">
        <f t="shared" si="8"/>
        <v>667</v>
      </c>
      <c r="O31" s="37">
        <f t="shared" si="8"/>
        <v>667</v>
      </c>
      <c r="P31" s="37">
        <f t="shared" si="8"/>
        <v>667</v>
      </c>
      <c r="Q31" s="37">
        <f t="shared" si="6"/>
        <v>663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12000</v>
      </c>
      <c r="E32" s="37" t="s">
        <v>525</v>
      </c>
      <c r="F32" s="37">
        <f t="shared" si="8"/>
        <v>1000</v>
      </c>
      <c r="G32" s="37">
        <f t="shared" si="8"/>
        <v>1000</v>
      </c>
      <c r="H32" s="37">
        <f t="shared" si="8"/>
        <v>1000</v>
      </c>
      <c r="I32" s="37">
        <f t="shared" si="8"/>
        <v>1000</v>
      </c>
      <c r="J32" s="37">
        <f t="shared" si="8"/>
        <v>1000</v>
      </c>
      <c r="K32" s="37">
        <f t="shared" si="8"/>
        <v>1000</v>
      </c>
      <c r="L32" s="37">
        <f t="shared" si="8"/>
        <v>1000</v>
      </c>
      <c r="M32" s="37">
        <f t="shared" si="8"/>
        <v>1000</v>
      </c>
      <c r="N32" s="37">
        <f t="shared" si="8"/>
        <v>1000</v>
      </c>
      <c r="O32" s="37">
        <f t="shared" si="8"/>
        <v>1000</v>
      </c>
      <c r="P32" s="37">
        <f t="shared" si="8"/>
        <v>1000</v>
      </c>
      <c r="Q32" s="37">
        <f t="shared" si="6"/>
        <v>1000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8000</v>
      </c>
      <c r="E33" s="37" t="s">
        <v>525</v>
      </c>
      <c r="F33" s="37">
        <f t="shared" si="8"/>
        <v>667</v>
      </c>
      <c r="G33" s="37">
        <f t="shared" si="8"/>
        <v>667</v>
      </c>
      <c r="H33" s="37">
        <f t="shared" si="8"/>
        <v>667</v>
      </c>
      <c r="I33" s="37">
        <f t="shared" si="8"/>
        <v>667</v>
      </c>
      <c r="J33" s="37">
        <f t="shared" si="8"/>
        <v>667</v>
      </c>
      <c r="K33" s="37">
        <f t="shared" si="8"/>
        <v>667</v>
      </c>
      <c r="L33" s="37">
        <f t="shared" si="8"/>
        <v>667</v>
      </c>
      <c r="M33" s="37">
        <f t="shared" si="8"/>
        <v>667</v>
      </c>
      <c r="N33" s="37">
        <f t="shared" si="8"/>
        <v>667</v>
      </c>
      <c r="O33" s="37">
        <f t="shared" si="8"/>
        <v>667</v>
      </c>
      <c r="P33" s="37">
        <f t="shared" si="8"/>
        <v>667</v>
      </c>
      <c r="Q33" s="37">
        <f t="shared" si="6"/>
        <v>663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324000</v>
      </c>
      <c r="E37" s="108"/>
      <c r="F37" s="108">
        <f t="shared" ref="F37:P37" si="9">ROUND(SUM(F26:F36),-3)</f>
        <v>27000</v>
      </c>
      <c r="G37" s="108">
        <f t="shared" si="9"/>
        <v>27000</v>
      </c>
      <c r="H37" s="108">
        <f t="shared" si="9"/>
        <v>27000</v>
      </c>
      <c r="I37" s="108">
        <f t="shared" si="9"/>
        <v>27000</v>
      </c>
      <c r="J37" s="108">
        <f t="shared" si="9"/>
        <v>27000</v>
      </c>
      <c r="K37" s="108">
        <f t="shared" si="9"/>
        <v>27000</v>
      </c>
      <c r="L37" s="108">
        <f t="shared" si="9"/>
        <v>27000</v>
      </c>
      <c r="M37" s="108">
        <f t="shared" si="9"/>
        <v>27000</v>
      </c>
      <c r="N37" s="108">
        <f t="shared" si="9"/>
        <v>27000</v>
      </c>
      <c r="O37" s="108">
        <f t="shared" si="9"/>
        <v>27000</v>
      </c>
      <c r="P37" s="108">
        <f t="shared" si="9"/>
        <v>27000</v>
      </c>
      <c r="Q37" s="108">
        <f>D37-SUM(F37:P37)</f>
        <v>27000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18000</v>
      </c>
      <c r="E46" s="37" t="s">
        <v>194</v>
      </c>
      <c r="F46" s="37">
        <f>ROUND($D46/3,0)</f>
        <v>6000</v>
      </c>
      <c r="G46" s="37"/>
      <c r="H46" s="37"/>
      <c r="I46" s="37"/>
      <c r="J46" s="37"/>
      <c r="K46" s="37">
        <f>ROUND($D46/3,0)</f>
        <v>6000</v>
      </c>
      <c r="L46" s="37"/>
      <c r="M46" s="37"/>
      <c r="N46" s="37">
        <f>ROUND($D46/3,0)</f>
        <v>6000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18000</v>
      </c>
      <c r="E47" s="108"/>
      <c r="F47" s="108">
        <f t="shared" ref="F47:P47" si="13">ROUND(SUM(F46),-3)</f>
        <v>6000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6000</v>
      </c>
      <c r="L47" s="108">
        <f t="shared" si="13"/>
        <v>0</v>
      </c>
      <c r="M47" s="108">
        <f t="shared" si="13"/>
        <v>0</v>
      </c>
      <c r="N47" s="108">
        <f t="shared" si="13"/>
        <v>6000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1031000</v>
      </c>
      <c r="E48" s="37"/>
      <c r="F48" s="115">
        <f>F25+F37+F45+F47</f>
        <v>122000</v>
      </c>
      <c r="G48" s="115">
        <f t="shared" ref="G48:R48" si="14">G25+G37+G45+G47</f>
        <v>78000</v>
      </c>
      <c r="H48" s="115">
        <f t="shared" si="14"/>
        <v>78000</v>
      </c>
      <c r="I48" s="115">
        <f t="shared" si="14"/>
        <v>78000</v>
      </c>
      <c r="J48" s="115">
        <f t="shared" si="14"/>
        <v>78000</v>
      </c>
      <c r="K48" s="115">
        <f t="shared" si="14"/>
        <v>84000</v>
      </c>
      <c r="L48" s="115">
        <f t="shared" si="14"/>
        <v>116000</v>
      </c>
      <c r="M48" s="115">
        <f t="shared" si="14"/>
        <v>78000</v>
      </c>
      <c r="N48" s="115">
        <f t="shared" si="14"/>
        <v>84000</v>
      </c>
      <c r="O48" s="115">
        <f t="shared" si="14"/>
        <v>78000</v>
      </c>
      <c r="P48" s="115">
        <f t="shared" si="14"/>
        <v>78000</v>
      </c>
      <c r="Q48" s="115">
        <f t="shared" si="14"/>
        <v>79000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17461000</v>
      </c>
      <c r="E49" s="114" t="s">
        <v>202</v>
      </c>
      <c r="F49" s="37">
        <f>ROUND($D49/12*3,-3)</f>
        <v>4365000</v>
      </c>
      <c r="G49" s="37">
        <f>ROUND($D49/12,-3)</f>
        <v>1455000</v>
      </c>
      <c r="H49" s="37">
        <f t="shared" ref="H49:N53" si="15">ROUND($D49/12,-3)</f>
        <v>1455000</v>
      </c>
      <c r="I49" s="37">
        <f t="shared" si="15"/>
        <v>1455000</v>
      </c>
      <c r="J49" s="37">
        <f t="shared" si="15"/>
        <v>1455000</v>
      </c>
      <c r="K49" s="37">
        <f t="shared" si="15"/>
        <v>1455000</v>
      </c>
      <c r="L49" s="37">
        <f t="shared" si="15"/>
        <v>1455000</v>
      </c>
      <c r="M49" s="37">
        <f t="shared" si="15"/>
        <v>1455000</v>
      </c>
      <c r="N49" s="37">
        <f t="shared" si="15"/>
        <v>1455000</v>
      </c>
      <c r="O49" s="37">
        <f>D49-SUM(F49:N49)</f>
        <v>1456000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1349000</v>
      </c>
      <c r="E51" s="114" t="s">
        <v>202</v>
      </c>
      <c r="F51" s="37">
        <f t="shared" si="16"/>
        <v>337000</v>
      </c>
      <c r="G51" s="37">
        <f t="shared" si="17"/>
        <v>112000</v>
      </c>
      <c r="H51" s="37">
        <f t="shared" si="15"/>
        <v>112000</v>
      </c>
      <c r="I51" s="37">
        <f t="shared" si="15"/>
        <v>112000</v>
      </c>
      <c r="J51" s="37">
        <f t="shared" si="15"/>
        <v>112000</v>
      </c>
      <c r="K51" s="37">
        <f t="shared" si="15"/>
        <v>112000</v>
      </c>
      <c r="L51" s="37">
        <f t="shared" si="15"/>
        <v>112000</v>
      </c>
      <c r="M51" s="37">
        <f t="shared" si="15"/>
        <v>112000</v>
      </c>
      <c r="N51" s="37">
        <f t="shared" si="15"/>
        <v>112000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40000</v>
      </c>
      <c r="E54" s="37" t="s">
        <v>525</v>
      </c>
      <c r="F54" s="37">
        <f t="shared" ref="F54:P61" si="19">ROUND($D54/12,0)</f>
        <v>3333</v>
      </c>
      <c r="G54" s="37">
        <f t="shared" si="19"/>
        <v>3333</v>
      </c>
      <c r="H54" s="37">
        <f t="shared" si="19"/>
        <v>3333</v>
      </c>
      <c r="I54" s="37">
        <f t="shared" si="19"/>
        <v>3333</v>
      </c>
      <c r="J54" s="37">
        <f t="shared" si="19"/>
        <v>3333</v>
      </c>
      <c r="K54" s="37">
        <f t="shared" si="19"/>
        <v>3333</v>
      </c>
      <c r="L54" s="37">
        <f t="shared" si="19"/>
        <v>3333</v>
      </c>
      <c r="M54" s="37">
        <f t="shared" si="19"/>
        <v>3333</v>
      </c>
      <c r="N54" s="37">
        <f t="shared" si="19"/>
        <v>3333</v>
      </c>
      <c r="O54" s="37">
        <f t="shared" si="19"/>
        <v>3333</v>
      </c>
      <c r="P54" s="37">
        <f t="shared" si="19"/>
        <v>3333</v>
      </c>
      <c r="Q54" s="37">
        <f t="shared" ref="Q54:Q61" si="20">D54-SUM(F54:P54)</f>
        <v>3337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415000</v>
      </c>
      <c r="E60" s="37" t="s">
        <v>195</v>
      </c>
      <c r="F60" s="37">
        <f>D60</f>
        <v>415000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1670000</v>
      </c>
      <c r="E62" s="37" t="s">
        <v>197</v>
      </c>
      <c r="F62" s="37"/>
      <c r="G62" s="37"/>
      <c r="H62" s="37"/>
      <c r="I62" s="37">
        <f>ROUND($D62/5,-3)</f>
        <v>334000</v>
      </c>
      <c r="J62" s="37"/>
      <c r="K62" s="37"/>
      <c r="L62" s="37"/>
      <c r="M62" s="37"/>
      <c r="N62" s="37">
        <f>D62-I62</f>
        <v>1336000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2042000</v>
      </c>
      <c r="E63" s="37" t="s">
        <v>195</v>
      </c>
      <c r="F63" s="37">
        <f>D63</f>
        <v>2042000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1796000</v>
      </c>
      <c r="E64" s="114" t="s">
        <v>202</v>
      </c>
      <c r="F64" s="37">
        <f>ROUND($D64/12*3,-3)</f>
        <v>449000</v>
      </c>
      <c r="G64" s="37">
        <f>ROUND($D64/12,-3)</f>
        <v>150000</v>
      </c>
      <c r="H64" s="37">
        <f t="shared" ref="H64:N66" si="21">ROUND($D64/12,-3)</f>
        <v>150000</v>
      </c>
      <c r="I64" s="37">
        <f t="shared" si="21"/>
        <v>150000</v>
      </c>
      <c r="J64" s="37">
        <f t="shared" si="21"/>
        <v>150000</v>
      </c>
      <c r="K64" s="37">
        <f t="shared" si="21"/>
        <v>150000</v>
      </c>
      <c r="L64" s="37">
        <f t="shared" si="21"/>
        <v>150000</v>
      </c>
      <c r="M64" s="37">
        <f t="shared" si="21"/>
        <v>150000</v>
      </c>
      <c r="N64" s="37">
        <f t="shared" si="21"/>
        <v>150000</v>
      </c>
      <c r="O64" s="37">
        <f>D64-SUM(F64:N64)</f>
        <v>147000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431000</v>
      </c>
      <c r="E65" s="114" t="s">
        <v>202</v>
      </c>
      <c r="F65" s="37">
        <f t="shared" ref="F65:F66" si="22">ROUND($D65/12*3,-3)</f>
        <v>108000</v>
      </c>
      <c r="G65" s="37">
        <f t="shared" ref="G65:G66" si="23">ROUND($D65/12,-3)</f>
        <v>36000</v>
      </c>
      <c r="H65" s="37">
        <f t="shared" si="21"/>
        <v>36000</v>
      </c>
      <c r="I65" s="37">
        <f t="shared" si="21"/>
        <v>36000</v>
      </c>
      <c r="J65" s="37">
        <f t="shared" si="21"/>
        <v>36000</v>
      </c>
      <c r="K65" s="37">
        <f t="shared" si="21"/>
        <v>36000</v>
      </c>
      <c r="L65" s="37">
        <f t="shared" si="21"/>
        <v>36000</v>
      </c>
      <c r="M65" s="37">
        <f t="shared" si="21"/>
        <v>36000</v>
      </c>
      <c r="N65" s="37">
        <f t="shared" si="21"/>
        <v>36000</v>
      </c>
      <c r="O65" s="37">
        <f t="shared" ref="O65:O66" si="24">D65-SUM(F65:N65)</f>
        <v>35000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1204000</v>
      </c>
      <c r="E66" s="114" t="s">
        <v>202</v>
      </c>
      <c r="F66" s="37">
        <f t="shared" si="22"/>
        <v>301000</v>
      </c>
      <c r="G66" s="37">
        <f t="shared" si="23"/>
        <v>100000</v>
      </c>
      <c r="H66" s="37">
        <f t="shared" si="21"/>
        <v>100000</v>
      </c>
      <c r="I66" s="37">
        <f t="shared" si="21"/>
        <v>100000</v>
      </c>
      <c r="J66" s="37">
        <f t="shared" si="21"/>
        <v>100000</v>
      </c>
      <c r="K66" s="37">
        <f t="shared" si="21"/>
        <v>100000</v>
      </c>
      <c r="L66" s="37">
        <f t="shared" si="21"/>
        <v>100000</v>
      </c>
      <c r="M66" s="37">
        <f t="shared" si="21"/>
        <v>100000</v>
      </c>
      <c r="N66" s="37">
        <f t="shared" si="21"/>
        <v>100000</v>
      </c>
      <c r="O66" s="37">
        <f t="shared" si="24"/>
        <v>103000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31000</v>
      </c>
      <c r="E67" s="37" t="s">
        <v>196</v>
      </c>
      <c r="F67" s="37"/>
      <c r="G67" s="37"/>
      <c r="H67" s="37">
        <f>D67</f>
        <v>31000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128000</v>
      </c>
      <c r="E68" s="37" t="s">
        <v>195</v>
      </c>
      <c r="F68" s="37">
        <f>D68</f>
        <v>128000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26856000</v>
      </c>
      <c r="E70" s="108"/>
      <c r="F70" s="108">
        <f t="shared" ref="F70:P70" si="25">ROUND(SUM(F49:F69),-3)</f>
        <v>8216000</v>
      </c>
      <c r="G70" s="108">
        <f t="shared" si="25"/>
        <v>1880000</v>
      </c>
      <c r="H70" s="108">
        <f t="shared" si="25"/>
        <v>1911000</v>
      </c>
      <c r="I70" s="108">
        <f t="shared" si="25"/>
        <v>2214000</v>
      </c>
      <c r="J70" s="108">
        <f t="shared" si="25"/>
        <v>1880000</v>
      </c>
      <c r="K70" s="108">
        <f t="shared" si="25"/>
        <v>1880000</v>
      </c>
      <c r="L70" s="108">
        <f t="shared" si="25"/>
        <v>1880000</v>
      </c>
      <c r="M70" s="108">
        <f t="shared" si="25"/>
        <v>1880000</v>
      </c>
      <c r="N70" s="108">
        <f t="shared" si="25"/>
        <v>3216000</v>
      </c>
      <c r="O70" s="108">
        <f t="shared" si="25"/>
        <v>1885000</v>
      </c>
      <c r="P70" s="108">
        <f t="shared" si="25"/>
        <v>5000</v>
      </c>
      <c r="Q70" s="108">
        <f>D70-SUM(F70:P70)</f>
        <v>9000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3744000</v>
      </c>
      <c r="E72" s="114" t="s">
        <v>202</v>
      </c>
      <c r="F72" s="37">
        <f>ROUND($D72/12*3,-3)</f>
        <v>936000</v>
      </c>
      <c r="G72" s="37">
        <f>ROUND($D72/12,-3)</f>
        <v>312000</v>
      </c>
      <c r="H72" s="37">
        <f t="shared" ref="H72:N75" si="26">ROUND($D72/12,-3)</f>
        <v>312000</v>
      </c>
      <c r="I72" s="37">
        <f t="shared" si="26"/>
        <v>312000</v>
      </c>
      <c r="J72" s="37">
        <f t="shared" si="26"/>
        <v>312000</v>
      </c>
      <c r="K72" s="37">
        <f t="shared" si="26"/>
        <v>312000</v>
      </c>
      <c r="L72" s="37">
        <f t="shared" si="26"/>
        <v>312000</v>
      </c>
      <c r="M72" s="37">
        <f t="shared" si="26"/>
        <v>312000</v>
      </c>
      <c r="N72" s="37">
        <f t="shared" si="26"/>
        <v>312000</v>
      </c>
      <c r="O72" s="37">
        <f>D72-SUM(F72:N72)</f>
        <v>312000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170000</v>
      </c>
      <c r="E74" s="114" t="s">
        <v>202</v>
      </c>
      <c r="F74" s="37">
        <f>ROUND($D74/12*3,-3)</f>
        <v>43000</v>
      </c>
      <c r="G74" s="37">
        <f>ROUND($D74/12,-3)</f>
        <v>14000</v>
      </c>
      <c r="H74" s="37">
        <f t="shared" si="26"/>
        <v>14000</v>
      </c>
      <c r="I74" s="37">
        <f t="shared" si="26"/>
        <v>14000</v>
      </c>
      <c r="J74" s="37">
        <f t="shared" si="26"/>
        <v>14000</v>
      </c>
      <c r="K74" s="37">
        <f t="shared" si="26"/>
        <v>14000</v>
      </c>
      <c r="L74" s="37">
        <f t="shared" si="26"/>
        <v>14000</v>
      </c>
      <c r="M74" s="37">
        <f t="shared" si="26"/>
        <v>14000</v>
      </c>
      <c r="N74" s="37">
        <f t="shared" si="26"/>
        <v>14000</v>
      </c>
      <c r="O74" s="37">
        <f>D74-SUM(F74:N74)</f>
        <v>15000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646000</v>
      </c>
      <c r="E75" s="114" t="s">
        <v>202</v>
      </c>
      <c r="F75" s="37">
        <f>ROUND($D75/12*3,-3)</f>
        <v>162000</v>
      </c>
      <c r="G75" s="37">
        <f>ROUND($D75/12,-3)</f>
        <v>54000</v>
      </c>
      <c r="H75" s="37">
        <f t="shared" si="26"/>
        <v>54000</v>
      </c>
      <c r="I75" s="37">
        <f t="shared" si="26"/>
        <v>54000</v>
      </c>
      <c r="J75" s="37">
        <f t="shared" si="26"/>
        <v>54000</v>
      </c>
      <c r="K75" s="37">
        <f t="shared" si="26"/>
        <v>54000</v>
      </c>
      <c r="L75" s="37">
        <f t="shared" si="26"/>
        <v>54000</v>
      </c>
      <c r="M75" s="37">
        <f t="shared" si="26"/>
        <v>54000</v>
      </c>
      <c r="N75" s="37">
        <f t="shared" si="26"/>
        <v>54000</v>
      </c>
      <c r="O75" s="37">
        <f>D75-SUM(F75:N75)</f>
        <v>52000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4560000</v>
      </c>
      <c r="E76" s="108"/>
      <c r="F76" s="108">
        <f>ROUND(SUM(F71:F75),-3)</f>
        <v>1141000</v>
      </c>
      <c r="G76" s="108">
        <f t="shared" ref="G76:N76" si="27">ROUND(SUM(G71:G75),-3)</f>
        <v>380000</v>
      </c>
      <c r="H76" s="108">
        <f t="shared" si="27"/>
        <v>380000</v>
      </c>
      <c r="I76" s="108">
        <f t="shared" si="27"/>
        <v>380000</v>
      </c>
      <c r="J76" s="108">
        <f t="shared" si="27"/>
        <v>380000</v>
      </c>
      <c r="K76" s="108">
        <f t="shared" si="27"/>
        <v>380000</v>
      </c>
      <c r="L76" s="108">
        <f t="shared" si="27"/>
        <v>380000</v>
      </c>
      <c r="M76" s="108">
        <f t="shared" si="27"/>
        <v>380000</v>
      </c>
      <c r="N76" s="108">
        <f t="shared" si="27"/>
        <v>380000</v>
      </c>
      <c r="O76" s="108">
        <f>D76-SUM(F76:N76)</f>
        <v>379000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11000</v>
      </c>
      <c r="E77" s="37" t="s">
        <v>681</v>
      </c>
      <c r="F77" s="224"/>
      <c r="G77" s="224"/>
      <c r="H77" s="224">
        <f>ROUND($D77/2,-3)</f>
        <v>6000</v>
      </c>
      <c r="I77" s="224"/>
      <c r="J77" s="224"/>
      <c r="K77" s="224"/>
      <c r="L77" s="224"/>
      <c r="M77" s="224"/>
      <c r="N77" s="224">
        <f>D77-H77</f>
        <v>5000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31427000</v>
      </c>
      <c r="E78" s="227"/>
      <c r="F78" s="227">
        <f>F76+F70+F77</f>
        <v>9357000</v>
      </c>
      <c r="G78" s="227">
        <f t="shared" ref="G78:Q78" si="29">G76+G70+G77</f>
        <v>2260000</v>
      </c>
      <c r="H78" s="227">
        <f t="shared" si="29"/>
        <v>2297000</v>
      </c>
      <c r="I78" s="227">
        <f t="shared" si="29"/>
        <v>2594000</v>
      </c>
      <c r="J78" s="227">
        <f t="shared" si="29"/>
        <v>2260000</v>
      </c>
      <c r="K78" s="227">
        <f t="shared" si="29"/>
        <v>2260000</v>
      </c>
      <c r="L78" s="227">
        <f t="shared" si="29"/>
        <v>2260000</v>
      </c>
      <c r="M78" s="227">
        <f t="shared" si="29"/>
        <v>2260000</v>
      </c>
      <c r="N78" s="227">
        <f t="shared" si="29"/>
        <v>3601000</v>
      </c>
      <c r="O78" s="227">
        <f t="shared" si="29"/>
        <v>2264000</v>
      </c>
      <c r="P78" s="227">
        <f t="shared" si="29"/>
        <v>5000</v>
      </c>
      <c r="Q78" s="227">
        <f t="shared" si="29"/>
        <v>9000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32458000</v>
      </c>
      <c r="E87" s="37"/>
      <c r="F87" s="37">
        <f>F88+F89+F90+F91</f>
        <v>9479000</v>
      </c>
      <c r="G87" s="37">
        <f t="shared" ref="G87:Q87" si="32">G88+G89+G90+G91</f>
        <v>2338000</v>
      </c>
      <c r="H87" s="37">
        <f t="shared" si="32"/>
        <v>2375000</v>
      </c>
      <c r="I87" s="37">
        <f t="shared" si="32"/>
        <v>2672000</v>
      </c>
      <c r="J87" s="37">
        <f t="shared" si="32"/>
        <v>2338000</v>
      </c>
      <c r="K87" s="37">
        <f t="shared" si="32"/>
        <v>2344000</v>
      </c>
      <c r="L87" s="37">
        <f t="shared" si="32"/>
        <v>2376000</v>
      </c>
      <c r="M87" s="37">
        <f t="shared" si="32"/>
        <v>2338000</v>
      </c>
      <c r="N87" s="37">
        <f t="shared" si="32"/>
        <v>3685000</v>
      </c>
      <c r="O87" s="37">
        <f t="shared" si="32"/>
        <v>2342000</v>
      </c>
      <c r="P87" s="37">
        <f t="shared" si="32"/>
        <v>83000</v>
      </c>
      <c r="Q87" s="37">
        <f t="shared" si="32"/>
        <v>88000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38000</v>
      </c>
      <c r="E88" s="108" t="s">
        <v>193</v>
      </c>
      <c r="F88" s="108">
        <f>ROUND($D88/2,-3)</f>
        <v>19000</v>
      </c>
      <c r="G88" s="108"/>
      <c r="H88" s="108"/>
      <c r="I88" s="108"/>
      <c r="J88" s="108"/>
      <c r="K88" s="108"/>
      <c r="L88" s="108">
        <f>D88-F88</f>
        <v>19000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2000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1000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32418000</v>
      </c>
      <c r="E91" s="108"/>
      <c r="F91" s="108">
        <f>F92+F93+F94+F95</f>
        <v>9460000</v>
      </c>
      <c r="G91" s="108">
        <f t="shared" ref="G91:Q91" si="34">G92+G93+G94+G95</f>
        <v>2338000</v>
      </c>
      <c r="H91" s="108">
        <f t="shared" si="34"/>
        <v>2375000</v>
      </c>
      <c r="I91" s="108">
        <f t="shared" si="34"/>
        <v>2672000</v>
      </c>
      <c r="J91" s="108">
        <f t="shared" si="34"/>
        <v>2338000</v>
      </c>
      <c r="K91" s="108">
        <f t="shared" si="34"/>
        <v>2344000</v>
      </c>
      <c r="L91" s="108">
        <f t="shared" si="34"/>
        <v>2356000</v>
      </c>
      <c r="M91" s="108">
        <f t="shared" si="34"/>
        <v>2338000</v>
      </c>
      <c r="N91" s="108">
        <f t="shared" si="34"/>
        <v>3685000</v>
      </c>
      <c r="O91" s="108">
        <f t="shared" si="34"/>
        <v>2342000</v>
      </c>
      <c r="P91" s="108">
        <f t="shared" si="34"/>
        <v>83000</v>
      </c>
      <c r="Q91" s="108">
        <f t="shared" si="34"/>
        <v>87000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2915000</v>
      </c>
      <c r="E92" s="114" t="s">
        <v>537</v>
      </c>
      <c r="F92" s="37">
        <f>ROUND($D92/12*5,-3)</f>
        <v>1215000</v>
      </c>
      <c r="G92" s="37">
        <f>ROUND($D92/12,-3)</f>
        <v>243000</v>
      </c>
      <c r="H92" s="37">
        <f t="shared" ref="H92:L92" si="35">ROUND($D92/12,-3)</f>
        <v>243000</v>
      </c>
      <c r="I92" s="37">
        <f t="shared" si="35"/>
        <v>243000</v>
      </c>
      <c r="J92" s="37">
        <f t="shared" si="35"/>
        <v>243000</v>
      </c>
      <c r="K92" s="37">
        <f t="shared" si="35"/>
        <v>243000</v>
      </c>
      <c r="L92" s="37">
        <f t="shared" si="35"/>
        <v>243000</v>
      </c>
      <c r="M92" s="37">
        <f>D92-SUM(F92:L92)</f>
        <v>242000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116000</v>
      </c>
      <c r="E93" s="189" t="s">
        <v>227</v>
      </c>
      <c r="F93" s="37">
        <f>ROUND($D93/12,-3)</f>
        <v>10000</v>
      </c>
      <c r="G93" s="37">
        <f t="shared" ref="G93:P93" si="36">ROUND($D93/12,-3)</f>
        <v>10000</v>
      </c>
      <c r="H93" s="37">
        <f t="shared" si="36"/>
        <v>10000</v>
      </c>
      <c r="I93" s="37">
        <f t="shared" si="36"/>
        <v>10000</v>
      </c>
      <c r="J93" s="37">
        <f t="shared" si="36"/>
        <v>10000</v>
      </c>
      <c r="K93" s="37">
        <f t="shared" si="36"/>
        <v>10000</v>
      </c>
      <c r="L93" s="37">
        <f t="shared" si="36"/>
        <v>10000</v>
      </c>
      <c r="M93" s="37">
        <f t="shared" si="36"/>
        <v>10000</v>
      </c>
      <c r="N93" s="37">
        <f t="shared" si="36"/>
        <v>10000</v>
      </c>
      <c r="O93" s="37">
        <f t="shared" si="36"/>
        <v>10000</v>
      </c>
      <c r="P93" s="37">
        <f t="shared" si="36"/>
        <v>10000</v>
      </c>
      <c r="Q93" s="37">
        <f>D93-SUM(F93:P93)</f>
        <v>6000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280000</v>
      </c>
      <c r="E94" s="190" t="s">
        <v>229</v>
      </c>
      <c r="F94" s="37"/>
      <c r="G94" s="37"/>
      <c r="H94" s="37">
        <f>ROUND($D94/2,-3)</f>
        <v>140000</v>
      </c>
      <c r="I94" s="37"/>
      <c r="J94" s="37"/>
      <c r="K94" s="37"/>
      <c r="L94" s="37"/>
      <c r="M94" s="37"/>
      <c r="N94" s="37"/>
      <c r="O94" s="37">
        <f>D94-H94</f>
        <v>140000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29107000</v>
      </c>
      <c r="E95" s="37"/>
      <c r="F95" s="37">
        <f>F2+F86-F88-F89-F90-F92-F93-F94</f>
        <v>8235000</v>
      </c>
      <c r="G95" s="37">
        <f t="shared" ref="G95:Q95" si="37">G2-G88-G89-G90-G92-G93-G94</f>
        <v>2085000</v>
      </c>
      <c r="H95" s="37">
        <f t="shared" si="37"/>
        <v>1982000</v>
      </c>
      <c r="I95" s="37">
        <f t="shared" si="37"/>
        <v>2419000</v>
      </c>
      <c r="J95" s="37">
        <f t="shared" si="37"/>
        <v>2085000</v>
      </c>
      <c r="K95" s="37">
        <f t="shared" si="37"/>
        <v>2091000</v>
      </c>
      <c r="L95" s="37">
        <f t="shared" si="37"/>
        <v>2103000</v>
      </c>
      <c r="M95" s="37">
        <f t="shared" si="37"/>
        <v>2086000</v>
      </c>
      <c r="N95" s="37">
        <f t="shared" si="37"/>
        <v>3675000</v>
      </c>
      <c r="O95" s="37">
        <f t="shared" si="37"/>
        <v>2192000</v>
      </c>
      <c r="P95" s="37">
        <f t="shared" si="37"/>
        <v>73000</v>
      </c>
      <c r="Q95" s="37">
        <f t="shared" si="37"/>
        <v>81000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600000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108000</v>
      </c>
    </row>
    <row r="103" spans="2:17" ht="32.4">
      <c r="B103" s="72" t="s">
        <v>239</v>
      </c>
      <c r="D103" s="30">
        <f>HLOOKUP(D1,[1]縣庫撥款收入明細表!H:DD,17,FALSE)</f>
        <v>0</v>
      </c>
    </row>
    <row r="104" spans="2:17" ht="32.4">
      <c r="B104" s="76" t="s">
        <v>240</v>
      </c>
      <c r="D104" s="30">
        <f>HLOOKUP(D1,[1]縣庫撥款收入明細表!H:DD,18,FALSE)</f>
        <v>280000</v>
      </c>
    </row>
    <row r="105" spans="2:17" ht="32.4">
      <c r="B105" s="72" t="s">
        <v>380</v>
      </c>
      <c r="D105" s="30">
        <f>HLOOKUP(D1,[1]縣庫撥款收入明細表!H:DD,19,FALSE)</f>
        <v>1300000</v>
      </c>
    </row>
    <row r="106" spans="2:17" ht="32.4">
      <c r="B106" s="71" t="s">
        <v>241</v>
      </c>
      <c r="D106" s="30">
        <f>HLOOKUP(D1,[1]縣庫撥款收入明細表!H:DD,20,FALSE)</f>
        <v>8000</v>
      </c>
    </row>
    <row r="107" spans="2:17" ht="32.4">
      <c r="B107" s="77" t="s">
        <v>242</v>
      </c>
      <c r="D107" s="30">
        <f>HLOOKUP(D1,[1]縣庫撥款收入明細表!H:DD,21,FALSE)</f>
        <v>29107000</v>
      </c>
    </row>
    <row r="108" spans="2:17" ht="16.5" customHeight="1"/>
    <row r="109" spans="2:17" ht="16.5" customHeight="1">
      <c r="B109" s="4" t="s">
        <v>682</v>
      </c>
      <c r="D109" s="30">
        <f>D91-D76</f>
        <v>27858000</v>
      </c>
      <c r="F109" s="30">
        <f>F91-F76</f>
        <v>8319000</v>
      </c>
      <c r="G109" s="30">
        <f t="shared" ref="G109:Q109" si="38">G91-G76</f>
        <v>1958000</v>
      </c>
      <c r="H109" s="30">
        <f t="shared" si="38"/>
        <v>1995000</v>
      </c>
      <c r="I109" s="30">
        <f t="shared" si="38"/>
        <v>2292000</v>
      </c>
      <c r="J109" s="30">
        <f t="shared" si="38"/>
        <v>1958000</v>
      </c>
      <c r="K109" s="30">
        <f t="shared" si="38"/>
        <v>1964000</v>
      </c>
      <c r="L109" s="30">
        <f t="shared" si="38"/>
        <v>1976000</v>
      </c>
      <c r="M109" s="30">
        <f t="shared" si="38"/>
        <v>1958000</v>
      </c>
      <c r="N109" s="30">
        <f t="shared" si="38"/>
        <v>3305000</v>
      </c>
      <c r="O109" s="30">
        <f t="shared" si="38"/>
        <v>1963000</v>
      </c>
      <c r="P109" s="30">
        <f t="shared" si="38"/>
        <v>83000</v>
      </c>
      <c r="Q109" s="30">
        <f t="shared" si="38"/>
        <v>87000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56" priority="1" operator="lessThan">
      <formula>0</formula>
    </cfRule>
  </conditionalFormatting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680</v>
      </c>
      <c r="D1" s="28" t="str">
        <f>VLOOKUP(C1,[1]學校編號!A:B,2,FALSE)</f>
        <v>680富世國小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29232000</v>
      </c>
      <c r="E2" s="37"/>
      <c r="F2" s="37">
        <f>F48+F70+F76+F77+F83</f>
        <v>8353000</v>
      </c>
      <c r="G2" s="37">
        <f t="shared" ref="G2:Q2" si="0">G48+G70+G76+G77+G83</f>
        <v>2065000</v>
      </c>
      <c r="H2" s="37">
        <f t="shared" si="0"/>
        <v>2198000</v>
      </c>
      <c r="I2" s="37">
        <f t="shared" si="0"/>
        <v>2440000</v>
      </c>
      <c r="J2" s="37">
        <f t="shared" si="0"/>
        <v>2065000</v>
      </c>
      <c r="K2" s="37">
        <f t="shared" si="0"/>
        <v>2067000</v>
      </c>
      <c r="L2" s="37">
        <f t="shared" si="0"/>
        <v>2086000</v>
      </c>
      <c r="M2" s="37">
        <f t="shared" si="0"/>
        <v>2065000</v>
      </c>
      <c r="N2" s="37">
        <f t="shared" si="0"/>
        <v>3672000</v>
      </c>
      <c r="O2" s="37">
        <f t="shared" si="0"/>
        <v>2076000</v>
      </c>
      <c r="P2" s="37">
        <f t="shared" si="0"/>
        <v>75000</v>
      </c>
      <c r="Q2" s="37">
        <f t="shared" si="0"/>
        <v>70000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92000</v>
      </c>
      <c r="E13" s="37" t="s">
        <v>525</v>
      </c>
      <c r="F13" s="37">
        <f>ROUND($D13/12,0)</f>
        <v>7667</v>
      </c>
      <c r="G13" s="37">
        <f t="shared" si="1"/>
        <v>7667</v>
      </c>
      <c r="H13" s="37">
        <f t="shared" si="1"/>
        <v>7667</v>
      </c>
      <c r="I13" s="37">
        <f t="shared" si="1"/>
        <v>7667</v>
      </c>
      <c r="J13" s="37">
        <f t="shared" si="1"/>
        <v>7667</v>
      </c>
      <c r="K13" s="37">
        <f t="shared" si="1"/>
        <v>7667</v>
      </c>
      <c r="L13" s="37">
        <f t="shared" si="1"/>
        <v>7667</v>
      </c>
      <c r="M13" s="37">
        <f t="shared" si="1"/>
        <v>7667</v>
      </c>
      <c r="N13" s="37">
        <f t="shared" si="1"/>
        <v>7667</v>
      </c>
      <c r="O13" s="37">
        <f t="shared" si="1"/>
        <v>7667</v>
      </c>
      <c r="P13" s="37">
        <f t="shared" si="1"/>
        <v>7667</v>
      </c>
      <c r="Q13" s="37">
        <f>D13-SUM(F13:P13)</f>
        <v>7663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80000</v>
      </c>
      <c r="E14" s="37" t="s">
        <v>525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32000</v>
      </c>
      <c r="E15" s="37" t="s">
        <v>193</v>
      </c>
      <c r="F15" s="37">
        <f>ROUND($D15/2,-3)</f>
        <v>16000</v>
      </c>
      <c r="G15" s="37"/>
      <c r="H15" s="37"/>
      <c r="I15" s="37"/>
      <c r="J15" s="37"/>
      <c r="K15" s="37"/>
      <c r="L15" s="37">
        <f>D15-F15</f>
        <v>16000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72000</v>
      </c>
      <c r="E16" s="37" t="s">
        <v>525</v>
      </c>
      <c r="F16" s="37">
        <f>ROUND($D16/12,0)</f>
        <v>6000</v>
      </c>
      <c r="G16" s="37">
        <f t="shared" si="1"/>
        <v>6000</v>
      </c>
      <c r="H16" s="37">
        <f t="shared" si="1"/>
        <v>6000</v>
      </c>
      <c r="I16" s="37">
        <f t="shared" si="1"/>
        <v>6000</v>
      </c>
      <c r="J16" s="37">
        <f t="shared" si="1"/>
        <v>6000</v>
      </c>
      <c r="K16" s="37">
        <f t="shared" si="1"/>
        <v>6000</v>
      </c>
      <c r="L16" s="37">
        <f t="shared" si="1"/>
        <v>6000</v>
      </c>
      <c r="M16" s="37">
        <f t="shared" si="1"/>
        <v>6000</v>
      </c>
      <c r="N16" s="37">
        <f t="shared" si="1"/>
        <v>6000</v>
      </c>
      <c r="O16" s="37">
        <f t="shared" si="1"/>
        <v>6000</v>
      </c>
      <c r="P16" s="37">
        <f t="shared" si="1"/>
        <v>6000</v>
      </c>
      <c r="Q16" s="37">
        <f>D16-SUM(F16:P16)</f>
        <v>6000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578000</v>
      </c>
      <c r="E25" s="108"/>
      <c r="F25" s="108">
        <f>ROUND(SUM(F3:F24),-3)</f>
        <v>62000</v>
      </c>
      <c r="G25" s="108">
        <f t="shared" ref="G25:P25" si="5">ROUND(SUM(G3:G24),-3)</f>
        <v>46000</v>
      </c>
      <c r="H25" s="108">
        <f t="shared" si="5"/>
        <v>46000</v>
      </c>
      <c r="I25" s="108">
        <f t="shared" si="5"/>
        <v>46000</v>
      </c>
      <c r="J25" s="108">
        <f t="shared" si="5"/>
        <v>46000</v>
      </c>
      <c r="K25" s="108">
        <f t="shared" si="5"/>
        <v>46000</v>
      </c>
      <c r="L25" s="108">
        <f t="shared" si="5"/>
        <v>62000</v>
      </c>
      <c r="M25" s="108">
        <f t="shared" si="5"/>
        <v>46000</v>
      </c>
      <c r="N25" s="108">
        <f t="shared" si="5"/>
        <v>46000</v>
      </c>
      <c r="O25" s="108">
        <f t="shared" si="5"/>
        <v>46000</v>
      </c>
      <c r="P25" s="108">
        <f t="shared" si="5"/>
        <v>46000</v>
      </c>
      <c r="Q25" s="108">
        <f t="shared" ref="Q25:Q33" si="6">D25-SUM(F25:P25)</f>
        <v>40000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19000</v>
      </c>
      <c r="E30" s="37" t="s">
        <v>525</v>
      </c>
      <c r="F30" s="37">
        <f t="shared" si="8"/>
        <v>1583</v>
      </c>
      <c r="G30" s="37">
        <f t="shared" si="8"/>
        <v>1583</v>
      </c>
      <c r="H30" s="37">
        <f t="shared" si="8"/>
        <v>1583</v>
      </c>
      <c r="I30" s="37">
        <f t="shared" si="8"/>
        <v>1583</v>
      </c>
      <c r="J30" s="37">
        <f t="shared" si="8"/>
        <v>1583</v>
      </c>
      <c r="K30" s="37">
        <f t="shared" si="8"/>
        <v>1583</v>
      </c>
      <c r="L30" s="37">
        <f t="shared" si="8"/>
        <v>1583</v>
      </c>
      <c r="M30" s="37">
        <f t="shared" si="8"/>
        <v>1583</v>
      </c>
      <c r="N30" s="37">
        <f t="shared" si="8"/>
        <v>1583</v>
      </c>
      <c r="O30" s="37">
        <f t="shared" si="8"/>
        <v>1583</v>
      </c>
      <c r="P30" s="37">
        <f t="shared" si="8"/>
        <v>1583</v>
      </c>
      <c r="Q30" s="37">
        <f t="shared" si="6"/>
        <v>1587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9000</v>
      </c>
      <c r="E31" s="37" t="s">
        <v>525</v>
      </c>
      <c r="F31" s="37">
        <f t="shared" si="8"/>
        <v>750</v>
      </c>
      <c r="G31" s="37">
        <f t="shared" si="8"/>
        <v>750</v>
      </c>
      <c r="H31" s="37">
        <f t="shared" si="8"/>
        <v>750</v>
      </c>
      <c r="I31" s="37">
        <f t="shared" si="8"/>
        <v>750</v>
      </c>
      <c r="J31" s="37">
        <f t="shared" si="8"/>
        <v>750</v>
      </c>
      <c r="K31" s="37">
        <f t="shared" si="8"/>
        <v>750</v>
      </c>
      <c r="L31" s="37">
        <f t="shared" si="8"/>
        <v>750</v>
      </c>
      <c r="M31" s="37">
        <f t="shared" si="8"/>
        <v>750</v>
      </c>
      <c r="N31" s="37">
        <f t="shared" si="8"/>
        <v>750</v>
      </c>
      <c r="O31" s="37">
        <f t="shared" si="8"/>
        <v>750</v>
      </c>
      <c r="P31" s="37">
        <f t="shared" si="8"/>
        <v>750</v>
      </c>
      <c r="Q31" s="37">
        <f t="shared" si="6"/>
        <v>750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10000</v>
      </c>
      <c r="E36" s="37" t="s">
        <v>193</v>
      </c>
      <c r="F36" s="37">
        <f>ROUND($D36/2,-3)</f>
        <v>5000</v>
      </c>
      <c r="G36" s="37"/>
      <c r="H36" s="37"/>
      <c r="I36" s="37"/>
      <c r="J36" s="37"/>
      <c r="K36" s="37"/>
      <c r="L36" s="37">
        <f>D36-F36</f>
        <v>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304000</v>
      </c>
      <c r="E37" s="108"/>
      <c r="F37" s="108">
        <f t="shared" ref="F37:P37" si="9">ROUND(SUM(F26:F36),-3)</f>
        <v>29000</v>
      </c>
      <c r="G37" s="108">
        <f t="shared" si="9"/>
        <v>24000</v>
      </c>
      <c r="H37" s="108">
        <f t="shared" si="9"/>
        <v>24000</v>
      </c>
      <c r="I37" s="108">
        <f t="shared" si="9"/>
        <v>24000</v>
      </c>
      <c r="J37" s="108">
        <f t="shared" si="9"/>
        <v>24000</v>
      </c>
      <c r="K37" s="108">
        <f t="shared" si="9"/>
        <v>24000</v>
      </c>
      <c r="L37" s="108">
        <f t="shared" si="9"/>
        <v>29000</v>
      </c>
      <c r="M37" s="108">
        <f t="shared" si="9"/>
        <v>24000</v>
      </c>
      <c r="N37" s="108">
        <f t="shared" si="9"/>
        <v>24000</v>
      </c>
      <c r="O37" s="108">
        <f t="shared" si="9"/>
        <v>24000</v>
      </c>
      <c r="P37" s="108">
        <f t="shared" si="9"/>
        <v>24000</v>
      </c>
      <c r="Q37" s="108">
        <f>D37-SUM(F37:P37)</f>
        <v>30000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888000</v>
      </c>
      <c r="E48" s="37"/>
      <c r="F48" s="115">
        <f>F25+F37+F45+F47</f>
        <v>93000</v>
      </c>
      <c r="G48" s="115">
        <f t="shared" ref="G48:R48" si="14">G25+G37+G45+G47</f>
        <v>70000</v>
      </c>
      <c r="H48" s="115">
        <f t="shared" si="14"/>
        <v>70000</v>
      </c>
      <c r="I48" s="115">
        <f t="shared" si="14"/>
        <v>70000</v>
      </c>
      <c r="J48" s="115">
        <f t="shared" si="14"/>
        <v>70000</v>
      </c>
      <c r="K48" s="115">
        <f t="shared" si="14"/>
        <v>72000</v>
      </c>
      <c r="L48" s="115">
        <f t="shared" si="14"/>
        <v>91000</v>
      </c>
      <c r="M48" s="115">
        <f t="shared" si="14"/>
        <v>70000</v>
      </c>
      <c r="N48" s="115">
        <f t="shared" si="14"/>
        <v>72000</v>
      </c>
      <c r="O48" s="115">
        <f t="shared" si="14"/>
        <v>70000</v>
      </c>
      <c r="P48" s="115">
        <f t="shared" si="14"/>
        <v>70000</v>
      </c>
      <c r="Q48" s="115">
        <f t="shared" si="14"/>
        <v>70000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15281000</v>
      </c>
      <c r="E49" s="114" t="s">
        <v>202</v>
      </c>
      <c r="F49" s="37">
        <f>ROUND($D49/12*3,-3)</f>
        <v>3820000</v>
      </c>
      <c r="G49" s="37">
        <f>ROUND($D49/12,-3)</f>
        <v>1273000</v>
      </c>
      <c r="H49" s="37">
        <f t="shared" ref="H49:N53" si="15">ROUND($D49/12,-3)</f>
        <v>1273000</v>
      </c>
      <c r="I49" s="37">
        <f t="shared" si="15"/>
        <v>1273000</v>
      </c>
      <c r="J49" s="37">
        <f t="shared" si="15"/>
        <v>1273000</v>
      </c>
      <c r="K49" s="37">
        <f t="shared" si="15"/>
        <v>1273000</v>
      </c>
      <c r="L49" s="37">
        <f t="shared" si="15"/>
        <v>1273000</v>
      </c>
      <c r="M49" s="37">
        <f t="shared" si="15"/>
        <v>1273000</v>
      </c>
      <c r="N49" s="37">
        <f t="shared" si="15"/>
        <v>1273000</v>
      </c>
      <c r="O49" s="37">
        <f>D49-SUM(F49:N49)</f>
        <v>1277000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1349000</v>
      </c>
      <c r="E51" s="114" t="s">
        <v>202</v>
      </c>
      <c r="F51" s="37">
        <f t="shared" si="16"/>
        <v>337000</v>
      </c>
      <c r="G51" s="37">
        <f t="shared" si="17"/>
        <v>112000</v>
      </c>
      <c r="H51" s="37">
        <f t="shared" si="15"/>
        <v>112000</v>
      </c>
      <c r="I51" s="37">
        <f t="shared" si="15"/>
        <v>112000</v>
      </c>
      <c r="J51" s="37">
        <f t="shared" si="15"/>
        <v>112000</v>
      </c>
      <c r="K51" s="37">
        <f t="shared" si="15"/>
        <v>112000</v>
      </c>
      <c r="L51" s="37">
        <f t="shared" si="15"/>
        <v>112000</v>
      </c>
      <c r="M51" s="37">
        <f t="shared" si="15"/>
        <v>112000</v>
      </c>
      <c r="N51" s="37">
        <f t="shared" si="15"/>
        <v>112000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426000</v>
      </c>
      <c r="E60" s="37" t="s">
        <v>195</v>
      </c>
      <c r="F60" s="37">
        <f>D60</f>
        <v>426000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1874000</v>
      </c>
      <c r="E62" s="37" t="s">
        <v>197</v>
      </c>
      <c r="F62" s="37"/>
      <c r="G62" s="37"/>
      <c r="H62" s="37"/>
      <c r="I62" s="37">
        <f>ROUND($D62/5,-3)</f>
        <v>375000</v>
      </c>
      <c r="J62" s="37"/>
      <c r="K62" s="37"/>
      <c r="L62" s="37"/>
      <c r="M62" s="37"/>
      <c r="N62" s="37">
        <f>D62-I62</f>
        <v>1499000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1726000</v>
      </c>
      <c r="E63" s="37" t="s">
        <v>195</v>
      </c>
      <c r="F63" s="37">
        <f>D63</f>
        <v>1726000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1547000</v>
      </c>
      <c r="E64" s="114" t="s">
        <v>202</v>
      </c>
      <c r="F64" s="37">
        <f>ROUND($D64/12*3,-3)</f>
        <v>387000</v>
      </c>
      <c r="G64" s="37">
        <f>ROUND($D64/12,-3)</f>
        <v>129000</v>
      </c>
      <c r="H64" s="37">
        <f t="shared" ref="H64:N66" si="21">ROUND($D64/12,-3)</f>
        <v>129000</v>
      </c>
      <c r="I64" s="37">
        <f t="shared" si="21"/>
        <v>129000</v>
      </c>
      <c r="J64" s="37">
        <f t="shared" si="21"/>
        <v>129000</v>
      </c>
      <c r="K64" s="37">
        <f t="shared" si="21"/>
        <v>129000</v>
      </c>
      <c r="L64" s="37">
        <f t="shared" si="21"/>
        <v>129000</v>
      </c>
      <c r="M64" s="37">
        <f t="shared" si="21"/>
        <v>129000</v>
      </c>
      <c r="N64" s="37">
        <f t="shared" si="21"/>
        <v>129000</v>
      </c>
      <c r="O64" s="37">
        <f>D64-SUM(F64:N64)</f>
        <v>128000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375000</v>
      </c>
      <c r="E65" s="114" t="s">
        <v>202</v>
      </c>
      <c r="F65" s="37">
        <f t="shared" ref="F65:F66" si="22">ROUND($D65/12*3,-3)</f>
        <v>94000</v>
      </c>
      <c r="G65" s="37">
        <f t="shared" ref="G65:G66" si="23">ROUND($D65/12,-3)</f>
        <v>31000</v>
      </c>
      <c r="H65" s="37">
        <f t="shared" si="21"/>
        <v>31000</v>
      </c>
      <c r="I65" s="37">
        <f t="shared" si="21"/>
        <v>31000</v>
      </c>
      <c r="J65" s="37">
        <f t="shared" si="21"/>
        <v>31000</v>
      </c>
      <c r="K65" s="37">
        <f t="shared" si="21"/>
        <v>31000</v>
      </c>
      <c r="L65" s="37">
        <f t="shared" si="21"/>
        <v>31000</v>
      </c>
      <c r="M65" s="37">
        <f t="shared" si="21"/>
        <v>31000</v>
      </c>
      <c r="N65" s="37">
        <f t="shared" si="21"/>
        <v>31000</v>
      </c>
      <c r="O65" s="37">
        <f t="shared" ref="O65:O66" si="24">D65-SUM(F65:N65)</f>
        <v>33000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1034000</v>
      </c>
      <c r="E66" s="114" t="s">
        <v>202</v>
      </c>
      <c r="F66" s="37">
        <f t="shared" si="22"/>
        <v>259000</v>
      </c>
      <c r="G66" s="37">
        <f t="shared" si="23"/>
        <v>86000</v>
      </c>
      <c r="H66" s="37">
        <f t="shared" si="21"/>
        <v>86000</v>
      </c>
      <c r="I66" s="37">
        <f t="shared" si="21"/>
        <v>86000</v>
      </c>
      <c r="J66" s="37">
        <f t="shared" si="21"/>
        <v>86000</v>
      </c>
      <c r="K66" s="37">
        <f t="shared" si="21"/>
        <v>86000</v>
      </c>
      <c r="L66" s="37">
        <f t="shared" si="21"/>
        <v>86000</v>
      </c>
      <c r="M66" s="37">
        <f t="shared" si="21"/>
        <v>86000</v>
      </c>
      <c r="N66" s="37">
        <f t="shared" si="21"/>
        <v>86000</v>
      </c>
      <c r="O66" s="37">
        <f t="shared" si="24"/>
        <v>87000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27000</v>
      </c>
      <c r="E67" s="37" t="s">
        <v>196</v>
      </c>
      <c r="F67" s="37"/>
      <c r="G67" s="37"/>
      <c r="H67" s="37">
        <f>D67</f>
        <v>27000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128000</v>
      </c>
      <c r="E68" s="37" t="s">
        <v>195</v>
      </c>
      <c r="F68" s="37">
        <f>D68</f>
        <v>128000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24087000</v>
      </c>
      <c r="E70" s="108"/>
      <c r="F70" s="108">
        <f t="shared" ref="F70:P70" si="25">ROUND(SUM(F49:F69),-3)</f>
        <v>7248000</v>
      </c>
      <c r="G70" s="108">
        <f t="shared" si="25"/>
        <v>1658000</v>
      </c>
      <c r="H70" s="108">
        <f t="shared" si="25"/>
        <v>1685000</v>
      </c>
      <c r="I70" s="108">
        <f t="shared" si="25"/>
        <v>2033000</v>
      </c>
      <c r="J70" s="108">
        <f t="shared" si="25"/>
        <v>1658000</v>
      </c>
      <c r="K70" s="108">
        <f t="shared" si="25"/>
        <v>1658000</v>
      </c>
      <c r="L70" s="108">
        <f t="shared" si="25"/>
        <v>1658000</v>
      </c>
      <c r="M70" s="108">
        <f t="shared" si="25"/>
        <v>1658000</v>
      </c>
      <c r="N70" s="108">
        <f t="shared" si="25"/>
        <v>3157000</v>
      </c>
      <c r="O70" s="108">
        <f t="shared" si="25"/>
        <v>1669000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3479000</v>
      </c>
      <c r="E72" s="114" t="s">
        <v>202</v>
      </c>
      <c r="F72" s="37">
        <f>ROUND($D72/12*3,-3)</f>
        <v>870000</v>
      </c>
      <c r="G72" s="37">
        <f>ROUND($D72/12,-3)</f>
        <v>290000</v>
      </c>
      <c r="H72" s="37">
        <f t="shared" ref="H72:N75" si="26">ROUND($D72/12,-3)</f>
        <v>290000</v>
      </c>
      <c r="I72" s="37">
        <f t="shared" si="26"/>
        <v>290000</v>
      </c>
      <c r="J72" s="37">
        <f t="shared" si="26"/>
        <v>290000</v>
      </c>
      <c r="K72" s="37">
        <f t="shared" si="26"/>
        <v>290000</v>
      </c>
      <c r="L72" s="37">
        <f t="shared" si="26"/>
        <v>290000</v>
      </c>
      <c r="M72" s="37">
        <f t="shared" si="26"/>
        <v>290000</v>
      </c>
      <c r="N72" s="37">
        <f t="shared" si="26"/>
        <v>290000</v>
      </c>
      <c r="O72" s="37">
        <f>D72-SUM(F72:N72)</f>
        <v>289000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566000</v>
      </c>
      <c r="E75" s="114" t="s">
        <v>202</v>
      </c>
      <c r="F75" s="37">
        <f>ROUND($D75/12*3,-3)</f>
        <v>142000</v>
      </c>
      <c r="G75" s="37">
        <f>ROUND($D75/12,-3)</f>
        <v>47000</v>
      </c>
      <c r="H75" s="37">
        <f t="shared" si="26"/>
        <v>47000</v>
      </c>
      <c r="I75" s="37">
        <f t="shared" si="26"/>
        <v>47000</v>
      </c>
      <c r="J75" s="37">
        <f t="shared" si="26"/>
        <v>47000</v>
      </c>
      <c r="K75" s="37">
        <f t="shared" si="26"/>
        <v>47000</v>
      </c>
      <c r="L75" s="37">
        <f t="shared" si="26"/>
        <v>47000</v>
      </c>
      <c r="M75" s="37">
        <f t="shared" si="26"/>
        <v>47000</v>
      </c>
      <c r="N75" s="37">
        <f t="shared" si="26"/>
        <v>47000</v>
      </c>
      <c r="O75" s="37">
        <f>D75-SUM(F75:N75)</f>
        <v>48000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4045000</v>
      </c>
      <c r="E76" s="108"/>
      <c r="F76" s="108">
        <f>ROUND(SUM(F71:F75),-3)</f>
        <v>1012000</v>
      </c>
      <c r="G76" s="108">
        <f t="shared" ref="G76:N76" si="27">ROUND(SUM(G71:G75),-3)</f>
        <v>337000</v>
      </c>
      <c r="H76" s="108">
        <f t="shared" si="27"/>
        <v>337000</v>
      </c>
      <c r="I76" s="108">
        <f t="shared" si="27"/>
        <v>337000</v>
      </c>
      <c r="J76" s="108">
        <f t="shared" si="27"/>
        <v>337000</v>
      </c>
      <c r="K76" s="108">
        <f t="shared" si="27"/>
        <v>337000</v>
      </c>
      <c r="L76" s="108">
        <f t="shared" si="27"/>
        <v>337000</v>
      </c>
      <c r="M76" s="108">
        <f t="shared" si="27"/>
        <v>337000</v>
      </c>
      <c r="N76" s="108">
        <f t="shared" si="27"/>
        <v>337000</v>
      </c>
      <c r="O76" s="108">
        <f>D76-SUM(F76:N76)</f>
        <v>337000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212000</v>
      </c>
      <c r="E77" s="37" t="s">
        <v>681</v>
      </c>
      <c r="F77" s="224"/>
      <c r="G77" s="224"/>
      <c r="H77" s="224">
        <f>ROUND($D77/2,-3)</f>
        <v>106000</v>
      </c>
      <c r="I77" s="224"/>
      <c r="J77" s="224"/>
      <c r="K77" s="224"/>
      <c r="L77" s="224"/>
      <c r="M77" s="224"/>
      <c r="N77" s="224">
        <f>D77-H77</f>
        <v>106000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28344000</v>
      </c>
      <c r="E78" s="227"/>
      <c r="F78" s="227">
        <f>F76+F70+F77</f>
        <v>8260000</v>
      </c>
      <c r="G78" s="227">
        <f t="shared" ref="G78:Q78" si="29">G76+G70+G77</f>
        <v>1995000</v>
      </c>
      <c r="H78" s="227">
        <f t="shared" si="29"/>
        <v>2128000</v>
      </c>
      <c r="I78" s="227">
        <f t="shared" si="29"/>
        <v>2370000</v>
      </c>
      <c r="J78" s="227">
        <f t="shared" si="29"/>
        <v>1995000</v>
      </c>
      <c r="K78" s="227">
        <f t="shared" si="29"/>
        <v>1995000</v>
      </c>
      <c r="L78" s="227">
        <f t="shared" si="29"/>
        <v>1995000</v>
      </c>
      <c r="M78" s="227">
        <f t="shared" si="29"/>
        <v>1995000</v>
      </c>
      <c r="N78" s="227">
        <f t="shared" si="29"/>
        <v>3600000</v>
      </c>
      <c r="O78" s="227">
        <f t="shared" si="29"/>
        <v>2006000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29232000</v>
      </c>
      <c r="E87" s="37"/>
      <c r="F87" s="37">
        <f>F88+F89+F90+F91</f>
        <v>8353000</v>
      </c>
      <c r="G87" s="37">
        <f t="shared" ref="G87:Q87" si="32">G88+G89+G90+G91</f>
        <v>2065000</v>
      </c>
      <c r="H87" s="37">
        <f t="shared" si="32"/>
        <v>2198000</v>
      </c>
      <c r="I87" s="37">
        <f t="shared" si="32"/>
        <v>2440000</v>
      </c>
      <c r="J87" s="37">
        <f t="shared" si="32"/>
        <v>2065000</v>
      </c>
      <c r="K87" s="37">
        <f t="shared" si="32"/>
        <v>2067000</v>
      </c>
      <c r="L87" s="37">
        <f t="shared" si="32"/>
        <v>2086000</v>
      </c>
      <c r="M87" s="37">
        <f t="shared" si="32"/>
        <v>2065000</v>
      </c>
      <c r="N87" s="37">
        <f t="shared" si="32"/>
        <v>3672000</v>
      </c>
      <c r="O87" s="37">
        <f t="shared" si="32"/>
        <v>2076000</v>
      </c>
      <c r="P87" s="37">
        <f t="shared" si="32"/>
        <v>75000</v>
      </c>
      <c r="Q87" s="37">
        <f t="shared" si="32"/>
        <v>70000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10000</v>
      </c>
      <c r="E88" s="108" t="s">
        <v>193</v>
      </c>
      <c r="F88" s="108">
        <f>ROUND($D88/2,-3)</f>
        <v>5000</v>
      </c>
      <c r="G88" s="108"/>
      <c r="H88" s="108"/>
      <c r="I88" s="108"/>
      <c r="J88" s="108"/>
      <c r="K88" s="108"/>
      <c r="L88" s="108">
        <f>D88-F88</f>
        <v>5000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29221000</v>
      </c>
      <c r="E91" s="108"/>
      <c r="F91" s="108">
        <f>F92+F93+F94+F95</f>
        <v>8348000</v>
      </c>
      <c r="G91" s="108">
        <f t="shared" ref="G91:Q91" si="34">G92+G93+G94+G95</f>
        <v>2065000</v>
      </c>
      <c r="H91" s="108">
        <f t="shared" si="34"/>
        <v>2198000</v>
      </c>
      <c r="I91" s="108">
        <f t="shared" si="34"/>
        <v>2440000</v>
      </c>
      <c r="J91" s="108">
        <f t="shared" si="34"/>
        <v>2065000</v>
      </c>
      <c r="K91" s="108">
        <f t="shared" si="34"/>
        <v>2067000</v>
      </c>
      <c r="L91" s="108">
        <f t="shared" si="34"/>
        <v>2081000</v>
      </c>
      <c r="M91" s="108">
        <f t="shared" si="34"/>
        <v>2065000</v>
      </c>
      <c r="N91" s="108">
        <f t="shared" si="34"/>
        <v>3672000</v>
      </c>
      <c r="O91" s="108">
        <f t="shared" si="34"/>
        <v>2076000</v>
      </c>
      <c r="P91" s="108">
        <f t="shared" si="34"/>
        <v>75000</v>
      </c>
      <c r="Q91" s="108">
        <f t="shared" si="34"/>
        <v>69000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3615000</v>
      </c>
      <c r="E92" s="114" t="s">
        <v>537</v>
      </c>
      <c r="F92" s="37">
        <f>ROUND($D92/12*5,-3)</f>
        <v>1506000</v>
      </c>
      <c r="G92" s="37">
        <f>ROUND($D92/12,-3)</f>
        <v>301000</v>
      </c>
      <c r="H92" s="37">
        <f t="shared" ref="H92:L92" si="35">ROUND($D92/12,-3)</f>
        <v>301000</v>
      </c>
      <c r="I92" s="37">
        <f t="shared" si="35"/>
        <v>301000</v>
      </c>
      <c r="J92" s="37">
        <f t="shared" si="35"/>
        <v>301000</v>
      </c>
      <c r="K92" s="37">
        <f t="shared" si="35"/>
        <v>301000</v>
      </c>
      <c r="L92" s="37">
        <f t="shared" si="35"/>
        <v>301000</v>
      </c>
      <c r="M92" s="37">
        <f>D92-SUM(F92:L92)</f>
        <v>303000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25516000</v>
      </c>
      <c r="E95" s="37"/>
      <c r="F95" s="37">
        <f>F2+F86-F88-F89-F90-F92-F93-F94</f>
        <v>6834000</v>
      </c>
      <c r="G95" s="37">
        <f t="shared" ref="G95:Q95" si="37">G2-G88-G89-G90-G92-G93-G94</f>
        <v>1756000</v>
      </c>
      <c r="H95" s="37">
        <f t="shared" si="37"/>
        <v>1889000</v>
      </c>
      <c r="I95" s="37">
        <f t="shared" si="37"/>
        <v>2131000</v>
      </c>
      <c r="J95" s="37">
        <f t="shared" si="37"/>
        <v>1756000</v>
      </c>
      <c r="K95" s="37">
        <f t="shared" si="37"/>
        <v>1758000</v>
      </c>
      <c r="L95" s="37">
        <f t="shared" si="37"/>
        <v>1772000</v>
      </c>
      <c r="M95" s="37">
        <f t="shared" si="37"/>
        <v>1754000</v>
      </c>
      <c r="N95" s="37">
        <f t="shared" si="37"/>
        <v>3664000</v>
      </c>
      <c r="O95" s="37">
        <f t="shared" si="37"/>
        <v>2068000</v>
      </c>
      <c r="P95" s="37">
        <f t="shared" si="37"/>
        <v>67000</v>
      </c>
      <c r="Q95" s="37">
        <f t="shared" si="37"/>
        <v>67000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1300000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1300000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25516000</v>
      </c>
    </row>
    <row r="108" spans="2:17" ht="16.5" customHeight="1"/>
    <row r="109" spans="2:17" ht="16.5" customHeight="1">
      <c r="B109" s="4" t="s">
        <v>682</v>
      </c>
      <c r="D109" s="30">
        <f>D91-D76</f>
        <v>25176000</v>
      </c>
      <c r="F109" s="30">
        <f>F91-F76</f>
        <v>7336000</v>
      </c>
      <c r="G109" s="30">
        <f t="shared" ref="G109:Q109" si="38">G91-G76</f>
        <v>1728000</v>
      </c>
      <c r="H109" s="30">
        <f t="shared" si="38"/>
        <v>1861000</v>
      </c>
      <c r="I109" s="30">
        <f t="shared" si="38"/>
        <v>2103000</v>
      </c>
      <c r="J109" s="30">
        <f t="shared" si="38"/>
        <v>1728000</v>
      </c>
      <c r="K109" s="30">
        <f t="shared" si="38"/>
        <v>1730000</v>
      </c>
      <c r="L109" s="30">
        <f t="shared" si="38"/>
        <v>1744000</v>
      </c>
      <c r="M109" s="30">
        <f t="shared" si="38"/>
        <v>1728000</v>
      </c>
      <c r="N109" s="30">
        <f t="shared" si="38"/>
        <v>3335000</v>
      </c>
      <c r="O109" s="30">
        <f t="shared" si="38"/>
        <v>1739000</v>
      </c>
      <c r="P109" s="30">
        <f t="shared" si="38"/>
        <v>75000</v>
      </c>
      <c r="Q109" s="30">
        <f t="shared" si="38"/>
        <v>69000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54" priority="1" operator="lessThan">
      <formula>0</formula>
    </cfRule>
  </conditionalFormatting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681</v>
      </c>
      <c r="D1" s="28" t="str">
        <f>VLOOKUP(C1,[1]學校編號!A:B,2,FALSE)</f>
        <v>681和平國小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28819000</v>
      </c>
      <c r="E2" s="37"/>
      <c r="F2" s="37">
        <f>F48+F70+F76+F77+F83</f>
        <v>9281000</v>
      </c>
      <c r="G2" s="37">
        <f t="shared" ref="G2:Q2" si="0">G48+G70+G76+G77+G83</f>
        <v>1965000</v>
      </c>
      <c r="H2" s="37">
        <f t="shared" si="0"/>
        <v>2015000</v>
      </c>
      <c r="I2" s="37">
        <f t="shared" si="0"/>
        <v>2237000</v>
      </c>
      <c r="J2" s="37">
        <f t="shared" si="0"/>
        <v>1972000</v>
      </c>
      <c r="K2" s="37">
        <f t="shared" si="0"/>
        <v>1976000</v>
      </c>
      <c r="L2" s="37">
        <f t="shared" si="0"/>
        <v>2260000</v>
      </c>
      <c r="M2" s="37">
        <f t="shared" si="0"/>
        <v>1972000</v>
      </c>
      <c r="N2" s="37">
        <f t="shared" si="0"/>
        <v>3009000</v>
      </c>
      <c r="O2" s="37">
        <f t="shared" si="0"/>
        <v>1967000</v>
      </c>
      <c r="P2" s="37">
        <f t="shared" si="0"/>
        <v>85000</v>
      </c>
      <c r="Q2" s="37">
        <f t="shared" si="0"/>
        <v>80000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153000</v>
      </c>
      <c r="E3" s="37" t="s">
        <v>525</v>
      </c>
      <c r="F3" s="37">
        <f t="shared" ref="F3:P17" si="1">ROUND($D3/12,0)</f>
        <v>12750</v>
      </c>
      <c r="G3" s="37">
        <f t="shared" si="1"/>
        <v>12750</v>
      </c>
      <c r="H3" s="37">
        <f t="shared" si="1"/>
        <v>12750</v>
      </c>
      <c r="I3" s="37">
        <f t="shared" si="1"/>
        <v>12750</v>
      </c>
      <c r="J3" s="37">
        <f t="shared" si="1"/>
        <v>12750</v>
      </c>
      <c r="K3" s="37">
        <f t="shared" si="1"/>
        <v>12750</v>
      </c>
      <c r="L3" s="37">
        <f t="shared" si="1"/>
        <v>12750</v>
      </c>
      <c r="M3" s="37">
        <f t="shared" si="1"/>
        <v>12750</v>
      </c>
      <c r="N3" s="37">
        <f t="shared" si="1"/>
        <v>12750</v>
      </c>
      <c r="O3" s="37">
        <f t="shared" si="1"/>
        <v>12750</v>
      </c>
      <c r="P3" s="37">
        <f t="shared" si="1"/>
        <v>12750</v>
      </c>
      <c r="Q3" s="37">
        <f t="shared" ref="Q3:Q10" si="2">D3-SUM(F3:P3)</f>
        <v>12750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66000</v>
      </c>
      <c r="E4" s="37" t="s">
        <v>525</v>
      </c>
      <c r="F4" s="37">
        <f t="shared" si="1"/>
        <v>5500</v>
      </c>
      <c r="G4" s="37">
        <f t="shared" si="1"/>
        <v>5500</v>
      </c>
      <c r="H4" s="37">
        <f t="shared" si="1"/>
        <v>5500</v>
      </c>
      <c r="I4" s="37">
        <f t="shared" si="1"/>
        <v>5500</v>
      </c>
      <c r="J4" s="37">
        <f t="shared" si="1"/>
        <v>5500</v>
      </c>
      <c r="K4" s="37">
        <f t="shared" si="1"/>
        <v>5500</v>
      </c>
      <c r="L4" s="37">
        <f t="shared" si="1"/>
        <v>5500</v>
      </c>
      <c r="M4" s="37">
        <f t="shared" si="1"/>
        <v>5500</v>
      </c>
      <c r="N4" s="37">
        <f t="shared" si="1"/>
        <v>5500</v>
      </c>
      <c r="O4" s="37">
        <f t="shared" si="1"/>
        <v>5500</v>
      </c>
      <c r="P4" s="37">
        <f t="shared" si="1"/>
        <v>5500</v>
      </c>
      <c r="Q4" s="37">
        <f t="shared" si="2"/>
        <v>5500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30000</v>
      </c>
      <c r="E8" s="37" t="s">
        <v>525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3000</v>
      </c>
      <c r="E9" s="37" t="s">
        <v>525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25000</v>
      </c>
      <c r="E10" s="37" t="s">
        <v>525</v>
      </c>
      <c r="F10" s="37">
        <f t="shared" si="1"/>
        <v>2083</v>
      </c>
      <c r="G10" s="37">
        <f t="shared" si="1"/>
        <v>2083</v>
      </c>
      <c r="H10" s="37">
        <f t="shared" si="1"/>
        <v>2083</v>
      </c>
      <c r="I10" s="37">
        <f t="shared" si="1"/>
        <v>2083</v>
      </c>
      <c r="J10" s="37">
        <f t="shared" si="1"/>
        <v>2083</v>
      </c>
      <c r="K10" s="37">
        <f t="shared" si="1"/>
        <v>2083</v>
      </c>
      <c r="L10" s="37">
        <f t="shared" si="1"/>
        <v>2083</v>
      </c>
      <c r="M10" s="37">
        <f t="shared" si="1"/>
        <v>2083</v>
      </c>
      <c r="N10" s="37">
        <f t="shared" si="1"/>
        <v>2083</v>
      </c>
      <c r="O10" s="37">
        <f t="shared" si="1"/>
        <v>2083</v>
      </c>
      <c r="P10" s="37">
        <f t="shared" si="1"/>
        <v>2083</v>
      </c>
      <c r="Q10" s="37">
        <f t="shared" si="2"/>
        <v>2087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37000</v>
      </c>
      <c r="E11" s="37" t="s">
        <v>195</v>
      </c>
      <c r="F11" s="37">
        <f>D11</f>
        <v>37000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514000</v>
      </c>
      <c r="E12" s="113" t="s">
        <v>202</v>
      </c>
      <c r="F12" s="37">
        <f>ROUND($D12/12*3,-3)</f>
        <v>129000</v>
      </c>
      <c r="G12" s="37">
        <f>ROUND($D12/12,-3)</f>
        <v>43000</v>
      </c>
      <c r="H12" s="37">
        <f t="shared" ref="H12:N12" si="4">ROUND($D12/12,-3)</f>
        <v>43000</v>
      </c>
      <c r="I12" s="37">
        <f t="shared" si="4"/>
        <v>43000</v>
      </c>
      <c r="J12" s="37">
        <f t="shared" si="4"/>
        <v>43000</v>
      </c>
      <c r="K12" s="37">
        <f t="shared" si="4"/>
        <v>43000</v>
      </c>
      <c r="L12" s="37">
        <f t="shared" si="4"/>
        <v>43000</v>
      </c>
      <c r="M12" s="37">
        <f t="shared" si="4"/>
        <v>43000</v>
      </c>
      <c r="N12" s="37">
        <f t="shared" si="4"/>
        <v>43000</v>
      </c>
      <c r="O12" s="37">
        <f>D12-SUM(F12:N12)</f>
        <v>41000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80000</v>
      </c>
      <c r="E13" s="37" t="s">
        <v>525</v>
      </c>
      <c r="F13" s="37">
        <f>ROUND($D13/12,0)</f>
        <v>6667</v>
      </c>
      <c r="G13" s="37">
        <f t="shared" si="1"/>
        <v>6667</v>
      </c>
      <c r="H13" s="37">
        <f t="shared" si="1"/>
        <v>6667</v>
      </c>
      <c r="I13" s="37">
        <f t="shared" si="1"/>
        <v>6667</v>
      </c>
      <c r="J13" s="37">
        <f t="shared" si="1"/>
        <v>6667</v>
      </c>
      <c r="K13" s="37">
        <f t="shared" si="1"/>
        <v>6667</v>
      </c>
      <c r="L13" s="37">
        <f t="shared" si="1"/>
        <v>6667</v>
      </c>
      <c r="M13" s="37">
        <f t="shared" si="1"/>
        <v>6667</v>
      </c>
      <c r="N13" s="37">
        <f t="shared" si="1"/>
        <v>6667</v>
      </c>
      <c r="O13" s="37">
        <f t="shared" si="1"/>
        <v>6667</v>
      </c>
      <c r="P13" s="37">
        <f t="shared" si="1"/>
        <v>6667</v>
      </c>
      <c r="Q13" s="37">
        <f>D13-SUM(F13:P13)</f>
        <v>6663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38000</v>
      </c>
      <c r="E15" s="37" t="s">
        <v>193</v>
      </c>
      <c r="F15" s="37">
        <f>ROUND($D15/2,-3)</f>
        <v>19000</v>
      </c>
      <c r="G15" s="37"/>
      <c r="H15" s="37"/>
      <c r="I15" s="37"/>
      <c r="J15" s="37"/>
      <c r="K15" s="37"/>
      <c r="L15" s="37">
        <f>D15-F15</f>
        <v>19000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84000</v>
      </c>
      <c r="E16" s="37" t="s">
        <v>525</v>
      </c>
      <c r="F16" s="37">
        <f>ROUND($D16/12,0)</f>
        <v>7000</v>
      </c>
      <c r="G16" s="37">
        <f t="shared" si="1"/>
        <v>7000</v>
      </c>
      <c r="H16" s="37">
        <f t="shared" si="1"/>
        <v>7000</v>
      </c>
      <c r="I16" s="37">
        <f t="shared" si="1"/>
        <v>7000</v>
      </c>
      <c r="J16" s="37">
        <f t="shared" si="1"/>
        <v>7000</v>
      </c>
      <c r="K16" s="37">
        <f t="shared" si="1"/>
        <v>7000</v>
      </c>
      <c r="L16" s="37">
        <f t="shared" si="1"/>
        <v>7000</v>
      </c>
      <c r="M16" s="37">
        <f t="shared" si="1"/>
        <v>7000</v>
      </c>
      <c r="N16" s="37">
        <f t="shared" si="1"/>
        <v>7000</v>
      </c>
      <c r="O16" s="37">
        <f t="shared" si="1"/>
        <v>7000</v>
      </c>
      <c r="P16" s="37">
        <f t="shared" si="1"/>
        <v>7000</v>
      </c>
      <c r="Q16" s="37">
        <f>D16-SUM(F16:P16)</f>
        <v>7000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44000</v>
      </c>
      <c r="E17" s="37" t="s">
        <v>525</v>
      </c>
      <c r="F17" s="37">
        <f>ROUND($D17/12,0)</f>
        <v>3667</v>
      </c>
      <c r="G17" s="37">
        <f t="shared" si="1"/>
        <v>3667</v>
      </c>
      <c r="H17" s="37">
        <f t="shared" si="1"/>
        <v>3667</v>
      </c>
      <c r="I17" s="37">
        <f t="shared" si="1"/>
        <v>3667</v>
      </c>
      <c r="J17" s="37">
        <f t="shared" si="1"/>
        <v>3667</v>
      </c>
      <c r="K17" s="37">
        <f t="shared" si="1"/>
        <v>3667</v>
      </c>
      <c r="L17" s="37">
        <f t="shared" si="1"/>
        <v>3667</v>
      </c>
      <c r="M17" s="37">
        <f t="shared" si="1"/>
        <v>3667</v>
      </c>
      <c r="N17" s="37">
        <f t="shared" si="1"/>
        <v>3667</v>
      </c>
      <c r="O17" s="37">
        <f t="shared" si="1"/>
        <v>3667</v>
      </c>
      <c r="P17" s="37">
        <f t="shared" si="1"/>
        <v>3667</v>
      </c>
      <c r="Q17" s="37">
        <f>D17-SUM(F17:P17)</f>
        <v>3663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70000</v>
      </c>
      <c r="E24" s="37" t="s">
        <v>193</v>
      </c>
      <c r="F24" s="37">
        <f>ROUND($D24/2,-3)</f>
        <v>35000</v>
      </c>
      <c r="G24" s="37"/>
      <c r="H24" s="37"/>
      <c r="I24" s="37"/>
      <c r="J24" s="37"/>
      <c r="K24" s="37"/>
      <c r="L24" s="37">
        <f>D24-F24</f>
        <v>35000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1208000</v>
      </c>
      <c r="E25" s="108"/>
      <c r="F25" s="108">
        <f>ROUND(SUM(F3:F24),-3)</f>
        <v>266000</v>
      </c>
      <c r="G25" s="108">
        <f t="shared" ref="G25:P25" si="5">ROUND(SUM(G3:G24),-3)</f>
        <v>89000</v>
      </c>
      <c r="H25" s="108">
        <f t="shared" si="5"/>
        <v>89000</v>
      </c>
      <c r="I25" s="108">
        <f t="shared" si="5"/>
        <v>89000</v>
      </c>
      <c r="J25" s="108">
        <f t="shared" si="5"/>
        <v>89000</v>
      </c>
      <c r="K25" s="108">
        <f t="shared" si="5"/>
        <v>89000</v>
      </c>
      <c r="L25" s="108">
        <f t="shared" si="5"/>
        <v>143000</v>
      </c>
      <c r="M25" s="108">
        <f t="shared" si="5"/>
        <v>89000</v>
      </c>
      <c r="N25" s="108">
        <f t="shared" si="5"/>
        <v>89000</v>
      </c>
      <c r="O25" s="108">
        <f t="shared" si="5"/>
        <v>87000</v>
      </c>
      <c r="P25" s="108">
        <f t="shared" si="5"/>
        <v>46000</v>
      </c>
      <c r="Q25" s="108">
        <f t="shared" ref="Q25:Q33" si="6">D25-SUM(F25:P25)</f>
        <v>43000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74000</v>
      </c>
      <c r="E26" s="114" t="s">
        <v>204</v>
      </c>
      <c r="F26" s="37">
        <f>ROUND($D26/10,-3)</f>
        <v>7000</v>
      </c>
      <c r="G26" s="37"/>
      <c r="H26" s="37">
        <f>ROUND($D26/10,-3)</f>
        <v>7000</v>
      </c>
      <c r="I26" s="37">
        <f>ROUND($D26/10,-3)</f>
        <v>7000</v>
      </c>
      <c r="J26" s="37">
        <f>ROUND($D26/10,-3)</f>
        <v>7000</v>
      </c>
      <c r="K26" s="37">
        <f>ROUND($D26/10,-3)</f>
        <v>7000</v>
      </c>
      <c r="L26" s="37"/>
      <c r="M26" s="37">
        <f>ROUND($D26/10,-3)</f>
        <v>7000</v>
      </c>
      <c r="N26" s="37">
        <f>ROUND($D26/10,-3)</f>
        <v>7000</v>
      </c>
      <c r="O26" s="37">
        <f>ROUND($D26/10,-3)</f>
        <v>7000</v>
      </c>
      <c r="P26" s="37">
        <f>ROUND($D26/10,-3)</f>
        <v>7000</v>
      </c>
      <c r="Q26" s="37">
        <f t="shared" si="6"/>
        <v>11000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253000</v>
      </c>
      <c r="E27" s="37" t="s">
        <v>525</v>
      </c>
      <c r="F27" s="37">
        <f t="shared" ref="F27:P33" si="8">ROUND($D27/12,0)</f>
        <v>21083</v>
      </c>
      <c r="G27" s="37">
        <f t="shared" si="8"/>
        <v>21083</v>
      </c>
      <c r="H27" s="37">
        <f t="shared" si="8"/>
        <v>21083</v>
      </c>
      <c r="I27" s="37">
        <f t="shared" si="8"/>
        <v>21083</v>
      </c>
      <c r="J27" s="37">
        <f t="shared" si="8"/>
        <v>21083</v>
      </c>
      <c r="K27" s="37">
        <f t="shared" si="8"/>
        <v>21083</v>
      </c>
      <c r="L27" s="37">
        <f t="shared" si="8"/>
        <v>21083</v>
      </c>
      <c r="M27" s="37">
        <f t="shared" si="8"/>
        <v>21083</v>
      </c>
      <c r="N27" s="37">
        <f t="shared" si="8"/>
        <v>21083</v>
      </c>
      <c r="O27" s="37">
        <f t="shared" si="8"/>
        <v>21083</v>
      </c>
      <c r="P27" s="37">
        <f t="shared" si="8"/>
        <v>21083</v>
      </c>
      <c r="Q27" s="37">
        <f t="shared" si="6"/>
        <v>21087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20000</v>
      </c>
      <c r="E29" s="37" t="s">
        <v>525</v>
      </c>
      <c r="F29" s="37">
        <f t="shared" si="8"/>
        <v>1667</v>
      </c>
      <c r="G29" s="37">
        <f t="shared" si="8"/>
        <v>1667</v>
      </c>
      <c r="H29" s="37">
        <f t="shared" si="8"/>
        <v>1667</v>
      </c>
      <c r="I29" s="37">
        <f t="shared" si="8"/>
        <v>1667</v>
      </c>
      <c r="J29" s="37">
        <f t="shared" si="8"/>
        <v>1667</v>
      </c>
      <c r="K29" s="37">
        <f t="shared" si="8"/>
        <v>1667</v>
      </c>
      <c r="L29" s="37">
        <f t="shared" si="8"/>
        <v>1667</v>
      </c>
      <c r="M29" s="37">
        <f t="shared" si="8"/>
        <v>1667</v>
      </c>
      <c r="N29" s="37">
        <f t="shared" si="8"/>
        <v>1667</v>
      </c>
      <c r="O29" s="37">
        <f t="shared" si="8"/>
        <v>1667</v>
      </c>
      <c r="P29" s="37">
        <f t="shared" si="8"/>
        <v>1667</v>
      </c>
      <c r="Q29" s="37">
        <f t="shared" si="6"/>
        <v>1663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17000</v>
      </c>
      <c r="E30" s="37" t="s">
        <v>525</v>
      </c>
      <c r="F30" s="37">
        <f t="shared" si="8"/>
        <v>1417</v>
      </c>
      <c r="G30" s="37">
        <f t="shared" si="8"/>
        <v>1417</v>
      </c>
      <c r="H30" s="37">
        <f t="shared" si="8"/>
        <v>1417</v>
      </c>
      <c r="I30" s="37">
        <f t="shared" si="8"/>
        <v>1417</v>
      </c>
      <c r="J30" s="37">
        <f t="shared" si="8"/>
        <v>1417</v>
      </c>
      <c r="K30" s="37">
        <f t="shared" si="8"/>
        <v>1417</v>
      </c>
      <c r="L30" s="37">
        <f t="shared" si="8"/>
        <v>1417</v>
      </c>
      <c r="M30" s="37">
        <f t="shared" si="8"/>
        <v>1417</v>
      </c>
      <c r="N30" s="37">
        <f t="shared" si="8"/>
        <v>1417</v>
      </c>
      <c r="O30" s="37">
        <f t="shared" si="8"/>
        <v>1417</v>
      </c>
      <c r="P30" s="37">
        <f t="shared" si="8"/>
        <v>1417</v>
      </c>
      <c r="Q30" s="37">
        <f t="shared" si="6"/>
        <v>1413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9000</v>
      </c>
      <c r="E31" s="37" t="s">
        <v>525</v>
      </c>
      <c r="F31" s="37">
        <f t="shared" si="8"/>
        <v>750</v>
      </c>
      <c r="G31" s="37">
        <f t="shared" si="8"/>
        <v>750</v>
      </c>
      <c r="H31" s="37">
        <f t="shared" si="8"/>
        <v>750</v>
      </c>
      <c r="I31" s="37">
        <f t="shared" si="8"/>
        <v>750</v>
      </c>
      <c r="J31" s="37">
        <f t="shared" si="8"/>
        <v>750</v>
      </c>
      <c r="K31" s="37">
        <f t="shared" si="8"/>
        <v>750</v>
      </c>
      <c r="L31" s="37">
        <f t="shared" si="8"/>
        <v>750</v>
      </c>
      <c r="M31" s="37">
        <f t="shared" si="8"/>
        <v>750</v>
      </c>
      <c r="N31" s="37">
        <f t="shared" si="8"/>
        <v>750</v>
      </c>
      <c r="O31" s="37">
        <f t="shared" si="8"/>
        <v>750</v>
      </c>
      <c r="P31" s="37">
        <f t="shared" si="8"/>
        <v>750</v>
      </c>
      <c r="Q31" s="37">
        <f t="shared" si="6"/>
        <v>750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12000</v>
      </c>
      <c r="E32" s="37" t="s">
        <v>525</v>
      </c>
      <c r="F32" s="37">
        <f t="shared" si="8"/>
        <v>1000</v>
      </c>
      <c r="G32" s="37">
        <f t="shared" si="8"/>
        <v>1000</v>
      </c>
      <c r="H32" s="37">
        <f t="shared" si="8"/>
        <v>1000</v>
      </c>
      <c r="I32" s="37">
        <f t="shared" si="8"/>
        <v>1000</v>
      </c>
      <c r="J32" s="37">
        <f t="shared" si="8"/>
        <v>1000</v>
      </c>
      <c r="K32" s="37">
        <f t="shared" si="8"/>
        <v>1000</v>
      </c>
      <c r="L32" s="37">
        <f t="shared" si="8"/>
        <v>1000</v>
      </c>
      <c r="M32" s="37">
        <f t="shared" si="8"/>
        <v>1000</v>
      </c>
      <c r="N32" s="37">
        <f t="shared" si="8"/>
        <v>1000</v>
      </c>
      <c r="O32" s="37">
        <f t="shared" si="8"/>
        <v>1000</v>
      </c>
      <c r="P32" s="37">
        <f t="shared" si="8"/>
        <v>1000</v>
      </c>
      <c r="Q32" s="37">
        <f t="shared" si="6"/>
        <v>1000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8000</v>
      </c>
      <c r="E33" s="37" t="s">
        <v>525</v>
      </c>
      <c r="F33" s="37">
        <f t="shared" si="8"/>
        <v>667</v>
      </c>
      <c r="G33" s="37">
        <f t="shared" si="8"/>
        <v>667</v>
      </c>
      <c r="H33" s="37">
        <f t="shared" si="8"/>
        <v>667</v>
      </c>
      <c r="I33" s="37">
        <f t="shared" si="8"/>
        <v>667</v>
      </c>
      <c r="J33" s="37">
        <f t="shared" si="8"/>
        <v>667</v>
      </c>
      <c r="K33" s="37">
        <f t="shared" si="8"/>
        <v>667</v>
      </c>
      <c r="L33" s="37">
        <f t="shared" si="8"/>
        <v>667</v>
      </c>
      <c r="M33" s="37">
        <f t="shared" si="8"/>
        <v>667</v>
      </c>
      <c r="N33" s="37">
        <f t="shared" si="8"/>
        <v>667</v>
      </c>
      <c r="O33" s="37">
        <f t="shared" si="8"/>
        <v>667</v>
      </c>
      <c r="P33" s="37">
        <f t="shared" si="8"/>
        <v>667</v>
      </c>
      <c r="Q33" s="37">
        <f t="shared" si="6"/>
        <v>663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460000</v>
      </c>
      <c r="E36" s="37" t="s">
        <v>193</v>
      </c>
      <c r="F36" s="37">
        <f>ROUND($D36/2,-3)</f>
        <v>230000</v>
      </c>
      <c r="G36" s="37"/>
      <c r="H36" s="37"/>
      <c r="I36" s="37"/>
      <c r="J36" s="37"/>
      <c r="K36" s="37"/>
      <c r="L36" s="37">
        <f>D36-F36</f>
        <v>230000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853000</v>
      </c>
      <c r="E37" s="108"/>
      <c r="F37" s="108">
        <f t="shared" ref="F37:P37" si="9">ROUND(SUM(F26:F36),-3)</f>
        <v>264000</v>
      </c>
      <c r="G37" s="108">
        <f t="shared" si="9"/>
        <v>27000</v>
      </c>
      <c r="H37" s="108">
        <f t="shared" si="9"/>
        <v>34000</v>
      </c>
      <c r="I37" s="108">
        <f t="shared" si="9"/>
        <v>34000</v>
      </c>
      <c r="J37" s="108">
        <f t="shared" si="9"/>
        <v>34000</v>
      </c>
      <c r="K37" s="108">
        <f t="shared" si="9"/>
        <v>34000</v>
      </c>
      <c r="L37" s="108">
        <f t="shared" si="9"/>
        <v>257000</v>
      </c>
      <c r="M37" s="108">
        <f t="shared" si="9"/>
        <v>34000</v>
      </c>
      <c r="N37" s="108">
        <f t="shared" si="9"/>
        <v>34000</v>
      </c>
      <c r="O37" s="108">
        <f t="shared" si="9"/>
        <v>34000</v>
      </c>
      <c r="P37" s="108">
        <f t="shared" si="9"/>
        <v>34000</v>
      </c>
      <c r="Q37" s="108">
        <f>D37-SUM(F37:P37)</f>
        <v>33000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12000</v>
      </c>
      <c r="E42" s="37" t="s">
        <v>199</v>
      </c>
      <c r="F42" s="37"/>
      <c r="G42" s="37"/>
      <c r="H42" s="37"/>
      <c r="I42" s="37">
        <f>D42</f>
        <v>12000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1000</v>
      </c>
      <c r="E43" s="37" t="s">
        <v>195</v>
      </c>
      <c r="F43" s="37">
        <f>D43</f>
        <v>1000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11000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11000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24000</v>
      </c>
      <c r="E45" s="108"/>
      <c r="F45" s="108">
        <f t="shared" ref="F45:P45" si="12">ROUND(SUM(F42:F44),-3)</f>
        <v>1000</v>
      </c>
      <c r="G45" s="108">
        <f t="shared" si="12"/>
        <v>0</v>
      </c>
      <c r="H45" s="108">
        <f t="shared" si="12"/>
        <v>0</v>
      </c>
      <c r="I45" s="108">
        <f t="shared" si="12"/>
        <v>12000</v>
      </c>
      <c r="J45" s="108">
        <f t="shared" si="12"/>
        <v>0</v>
      </c>
      <c r="K45" s="108">
        <f t="shared" si="12"/>
        <v>0</v>
      </c>
      <c r="L45" s="108">
        <f t="shared" si="12"/>
        <v>11000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2097000</v>
      </c>
      <c r="E48" s="37"/>
      <c r="F48" s="115">
        <f>F25+F37+F45+F47</f>
        <v>535000</v>
      </c>
      <c r="G48" s="115">
        <f t="shared" ref="G48:R48" si="14">G25+G37+G45+G47</f>
        <v>116000</v>
      </c>
      <c r="H48" s="115">
        <f t="shared" si="14"/>
        <v>123000</v>
      </c>
      <c r="I48" s="115">
        <f t="shared" si="14"/>
        <v>135000</v>
      </c>
      <c r="J48" s="115">
        <f t="shared" si="14"/>
        <v>123000</v>
      </c>
      <c r="K48" s="115">
        <f t="shared" si="14"/>
        <v>127000</v>
      </c>
      <c r="L48" s="115">
        <f t="shared" si="14"/>
        <v>411000</v>
      </c>
      <c r="M48" s="115">
        <f t="shared" si="14"/>
        <v>123000</v>
      </c>
      <c r="N48" s="115">
        <f t="shared" si="14"/>
        <v>127000</v>
      </c>
      <c r="O48" s="115">
        <f t="shared" si="14"/>
        <v>121000</v>
      </c>
      <c r="P48" s="115">
        <f t="shared" si="14"/>
        <v>80000</v>
      </c>
      <c r="Q48" s="115">
        <f t="shared" si="14"/>
        <v>76000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14919000</v>
      </c>
      <c r="E49" s="114" t="s">
        <v>202</v>
      </c>
      <c r="F49" s="37">
        <f>ROUND($D49/12*3,-3)</f>
        <v>3730000</v>
      </c>
      <c r="G49" s="37">
        <f>ROUND($D49/12,-3)</f>
        <v>1243000</v>
      </c>
      <c r="H49" s="37">
        <f t="shared" ref="H49:N53" si="15">ROUND($D49/12,-3)</f>
        <v>1243000</v>
      </c>
      <c r="I49" s="37">
        <f t="shared" si="15"/>
        <v>1243000</v>
      </c>
      <c r="J49" s="37">
        <f t="shared" si="15"/>
        <v>1243000</v>
      </c>
      <c r="K49" s="37">
        <f t="shared" si="15"/>
        <v>1243000</v>
      </c>
      <c r="L49" s="37">
        <f t="shared" si="15"/>
        <v>1243000</v>
      </c>
      <c r="M49" s="37">
        <f t="shared" si="15"/>
        <v>1243000</v>
      </c>
      <c r="N49" s="37">
        <f t="shared" si="15"/>
        <v>1243000</v>
      </c>
      <c r="O49" s="37">
        <f>D49-SUM(F49:N49)</f>
        <v>1245000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456000</v>
      </c>
      <c r="E50" s="114" t="s">
        <v>202</v>
      </c>
      <c r="F50" s="37">
        <f t="shared" ref="F50:F53" si="16">ROUND($D50/12*3,-3)</f>
        <v>114000</v>
      </c>
      <c r="G50" s="37">
        <f t="shared" ref="G50:G53" si="17">ROUND($D50/12,-3)</f>
        <v>38000</v>
      </c>
      <c r="H50" s="37">
        <f t="shared" si="15"/>
        <v>38000</v>
      </c>
      <c r="I50" s="37">
        <f t="shared" si="15"/>
        <v>38000</v>
      </c>
      <c r="J50" s="37">
        <f t="shared" si="15"/>
        <v>38000</v>
      </c>
      <c r="K50" s="37">
        <f t="shared" si="15"/>
        <v>38000</v>
      </c>
      <c r="L50" s="37">
        <f t="shared" si="15"/>
        <v>38000</v>
      </c>
      <c r="M50" s="37">
        <f t="shared" si="15"/>
        <v>38000</v>
      </c>
      <c r="N50" s="37">
        <f t="shared" si="15"/>
        <v>38000</v>
      </c>
      <c r="O50" s="37">
        <f t="shared" ref="O50:O53" si="18">D50-SUM(F50:N50)</f>
        <v>38000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1412000</v>
      </c>
      <c r="E51" s="114" t="s">
        <v>202</v>
      </c>
      <c r="F51" s="37">
        <f t="shared" si="16"/>
        <v>353000</v>
      </c>
      <c r="G51" s="37">
        <f t="shared" si="17"/>
        <v>118000</v>
      </c>
      <c r="H51" s="37">
        <f t="shared" si="15"/>
        <v>118000</v>
      </c>
      <c r="I51" s="37">
        <f t="shared" si="15"/>
        <v>118000</v>
      </c>
      <c r="J51" s="37">
        <f t="shared" si="15"/>
        <v>118000</v>
      </c>
      <c r="K51" s="37">
        <f t="shared" si="15"/>
        <v>118000</v>
      </c>
      <c r="L51" s="37">
        <f t="shared" si="15"/>
        <v>118000</v>
      </c>
      <c r="M51" s="37">
        <f t="shared" si="15"/>
        <v>118000</v>
      </c>
      <c r="N51" s="37">
        <f t="shared" si="15"/>
        <v>118000</v>
      </c>
      <c r="O51" s="37">
        <f t="shared" si="18"/>
        <v>115000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35000</v>
      </c>
      <c r="E54" s="37" t="s">
        <v>525</v>
      </c>
      <c r="F54" s="37">
        <f t="shared" ref="F54:P61" si="19">ROUND($D54/12,0)</f>
        <v>2917</v>
      </c>
      <c r="G54" s="37">
        <f t="shared" si="19"/>
        <v>2917</v>
      </c>
      <c r="H54" s="37">
        <f t="shared" si="19"/>
        <v>2917</v>
      </c>
      <c r="I54" s="37">
        <f t="shared" si="19"/>
        <v>2917</v>
      </c>
      <c r="J54" s="37">
        <f t="shared" si="19"/>
        <v>2917</v>
      </c>
      <c r="K54" s="37">
        <f t="shared" si="19"/>
        <v>2917</v>
      </c>
      <c r="L54" s="37">
        <f t="shared" si="19"/>
        <v>2917</v>
      </c>
      <c r="M54" s="37">
        <f t="shared" si="19"/>
        <v>2917</v>
      </c>
      <c r="N54" s="37">
        <f t="shared" si="19"/>
        <v>2917</v>
      </c>
      <c r="O54" s="37">
        <f t="shared" si="19"/>
        <v>2917</v>
      </c>
      <c r="P54" s="37">
        <f t="shared" si="19"/>
        <v>2917</v>
      </c>
      <c r="Q54" s="37">
        <f t="shared" ref="Q54:Q61" si="20">D54-SUM(F54:P54)</f>
        <v>2913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407000</v>
      </c>
      <c r="E60" s="37" t="s">
        <v>195</v>
      </c>
      <c r="F60" s="37">
        <f>D60</f>
        <v>407000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1266000</v>
      </c>
      <c r="E62" s="37" t="s">
        <v>197</v>
      </c>
      <c r="F62" s="37"/>
      <c r="G62" s="37"/>
      <c r="H62" s="37"/>
      <c r="I62" s="37">
        <f>ROUND($D62/5,-3)</f>
        <v>253000</v>
      </c>
      <c r="J62" s="37"/>
      <c r="K62" s="37"/>
      <c r="L62" s="37"/>
      <c r="M62" s="37"/>
      <c r="N62" s="37">
        <f>D62-I62</f>
        <v>1013000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1758000</v>
      </c>
      <c r="E63" s="37" t="s">
        <v>195</v>
      </c>
      <c r="F63" s="37">
        <f>D63</f>
        <v>1758000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1367000</v>
      </c>
      <c r="E64" s="114" t="s">
        <v>202</v>
      </c>
      <c r="F64" s="37">
        <f>ROUND($D64/12*3,-3)</f>
        <v>342000</v>
      </c>
      <c r="G64" s="37">
        <f>ROUND($D64/12,-3)</f>
        <v>114000</v>
      </c>
      <c r="H64" s="37">
        <f t="shared" ref="H64:N66" si="21">ROUND($D64/12,-3)</f>
        <v>114000</v>
      </c>
      <c r="I64" s="37">
        <f t="shared" si="21"/>
        <v>114000</v>
      </c>
      <c r="J64" s="37">
        <f t="shared" si="21"/>
        <v>114000</v>
      </c>
      <c r="K64" s="37">
        <f t="shared" si="21"/>
        <v>114000</v>
      </c>
      <c r="L64" s="37">
        <f t="shared" si="21"/>
        <v>114000</v>
      </c>
      <c r="M64" s="37">
        <f t="shared" si="21"/>
        <v>114000</v>
      </c>
      <c r="N64" s="37">
        <f t="shared" si="21"/>
        <v>114000</v>
      </c>
      <c r="O64" s="37">
        <f>D64-SUM(F64:N64)</f>
        <v>113000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289000</v>
      </c>
      <c r="E65" s="114" t="s">
        <v>202</v>
      </c>
      <c r="F65" s="37">
        <f t="shared" ref="F65:F66" si="22">ROUND($D65/12*3,-3)</f>
        <v>72000</v>
      </c>
      <c r="G65" s="37">
        <f t="shared" ref="G65:G66" si="23">ROUND($D65/12,-3)</f>
        <v>24000</v>
      </c>
      <c r="H65" s="37">
        <f t="shared" si="21"/>
        <v>24000</v>
      </c>
      <c r="I65" s="37">
        <f t="shared" si="21"/>
        <v>24000</v>
      </c>
      <c r="J65" s="37">
        <f t="shared" si="21"/>
        <v>24000</v>
      </c>
      <c r="K65" s="37">
        <f t="shared" si="21"/>
        <v>24000</v>
      </c>
      <c r="L65" s="37">
        <f t="shared" si="21"/>
        <v>24000</v>
      </c>
      <c r="M65" s="37">
        <f t="shared" si="21"/>
        <v>24000</v>
      </c>
      <c r="N65" s="37">
        <f t="shared" si="21"/>
        <v>24000</v>
      </c>
      <c r="O65" s="37">
        <f t="shared" ref="O65:O66" si="24">D65-SUM(F65:N65)</f>
        <v>25000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1232000</v>
      </c>
      <c r="E66" s="114" t="s">
        <v>202</v>
      </c>
      <c r="F66" s="37">
        <f t="shared" si="22"/>
        <v>308000</v>
      </c>
      <c r="G66" s="37">
        <f t="shared" si="23"/>
        <v>103000</v>
      </c>
      <c r="H66" s="37">
        <f t="shared" si="21"/>
        <v>103000</v>
      </c>
      <c r="I66" s="37">
        <f t="shared" si="21"/>
        <v>103000</v>
      </c>
      <c r="J66" s="37">
        <f t="shared" si="21"/>
        <v>103000</v>
      </c>
      <c r="K66" s="37">
        <f t="shared" si="21"/>
        <v>103000</v>
      </c>
      <c r="L66" s="37">
        <f t="shared" si="21"/>
        <v>103000</v>
      </c>
      <c r="M66" s="37">
        <f t="shared" si="21"/>
        <v>103000</v>
      </c>
      <c r="N66" s="37">
        <f t="shared" si="21"/>
        <v>103000</v>
      </c>
      <c r="O66" s="37">
        <f t="shared" si="24"/>
        <v>100000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22000</v>
      </c>
      <c r="E67" s="37" t="s">
        <v>196</v>
      </c>
      <c r="F67" s="37"/>
      <c r="G67" s="37"/>
      <c r="H67" s="37">
        <f>D67</f>
        <v>22000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144000</v>
      </c>
      <c r="E68" s="37" t="s">
        <v>195</v>
      </c>
      <c r="F68" s="37">
        <f>D68</f>
        <v>144000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23596000</v>
      </c>
      <c r="E70" s="108"/>
      <c r="F70" s="108">
        <f t="shared" ref="F70:P70" si="25">ROUND(SUM(F49:F69),-3)</f>
        <v>7299000</v>
      </c>
      <c r="G70" s="108">
        <f t="shared" si="25"/>
        <v>1667000</v>
      </c>
      <c r="H70" s="108">
        <f t="shared" si="25"/>
        <v>1689000</v>
      </c>
      <c r="I70" s="108">
        <f t="shared" si="25"/>
        <v>1920000</v>
      </c>
      <c r="J70" s="108">
        <f t="shared" si="25"/>
        <v>1667000</v>
      </c>
      <c r="K70" s="108">
        <f t="shared" si="25"/>
        <v>1667000</v>
      </c>
      <c r="L70" s="108">
        <f t="shared" si="25"/>
        <v>1667000</v>
      </c>
      <c r="M70" s="108">
        <f t="shared" si="25"/>
        <v>1667000</v>
      </c>
      <c r="N70" s="108">
        <f t="shared" si="25"/>
        <v>2680000</v>
      </c>
      <c r="O70" s="108">
        <f t="shared" si="25"/>
        <v>1664000</v>
      </c>
      <c r="P70" s="108">
        <f t="shared" si="25"/>
        <v>5000</v>
      </c>
      <c r="Q70" s="108">
        <f>D70-SUM(F70:P70)</f>
        <v>4000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1728000</v>
      </c>
      <c r="E72" s="114" t="s">
        <v>202</v>
      </c>
      <c r="F72" s="37">
        <f>ROUND($D72/12*3,-3)</f>
        <v>432000</v>
      </c>
      <c r="G72" s="37">
        <f>ROUND($D72/12,-3)</f>
        <v>144000</v>
      </c>
      <c r="H72" s="37">
        <f t="shared" ref="H72:N75" si="26">ROUND($D72/12,-3)</f>
        <v>144000</v>
      </c>
      <c r="I72" s="37">
        <f t="shared" si="26"/>
        <v>144000</v>
      </c>
      <c r="J72" s="37">
        <f t="shared" si="26"/>
        <v>144000</v>
      </c>
      <c r="K72" s="37">
        <f t="shared" si="26"/>
        <v>144000</v>
      </c>
      <c r="L72" s="37">
        <f t="shared" si="26"/>
        <v>144000</v>
      </c>
      <c r="M72" s="37">
        <f t="shared" si="26"/>
        <v>144000</v>
      </c>
      <c r="N72" s="37">
        <f t="shared" si="26"/>
        <v>144000</v>
      </c>
      <c r="O72" s="37">
        <f>D72-SUM(F72:N72)</f>
        <v>144000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22000</v>
      </c>
      <c r="E73" s="114" t="s">
        <v>202</v>
      </c>
      <c r="F73" s="37">
        <f>ROUND($D73/12*3,-3)</f>
        <v>6000</v>
      </c>
      <c r="G73" s="37">
        <f>ROUND($D73/12,-3)</f>
        <v>2000</v>
      </c>
      <c r="H73" s="37">
        <f t="shared" si="26"/>
        <v>2000</v>
      </c>
      <c r="I73" s="37">
        <f t="shared" si="26"/>
        <v>2000</v>
      </c>
      <c r="J73" s="37">
        <f t="shared" si="26"/>
        <v>2000</v>
      </c>
      <c r="K73" s="37">
        <f t="shared" si="26"/>
        <v>2000</v>
      </c>
      <c r="L73" s="37">
        <f t="shared" si="26"/>
        <v>2000</v>
      </c>
      <c r="M73" s="37">
        <f t="shared" si="26"/>
        <v>2000</v>
      </c>
      <c r="N73" s="37">
        <f t="shared" si="26"/>
        <v>2000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435000</v>
      </c>
      <c r="E75" s="114" t="s">
        <v>202</v>
      </c>
      <c r="F75" s="37">
        <f>ROUND($D75/12*3,-3)</f>
        <v>109000</v>
      </c>
      <c r="G75" s="37">
        <f>ROUND($D75/12,-3)</f>
        <v>36000</v>
      </c>
      <c r="H75" s="37">
        <f t="shared" si="26"/>
        <v>36000</v>
      </c>
      <c r="I75" s="37">
        <f t="shared" si="26"/>
        <v>36000</v>
      </c>
      <c r="J75" s="37">
        <f t="shared" si="26"/>
        <v>36000</v>
      </c>
      <c r="K75" s="37">
        <f t="shared" si="26"/>
        <v>36000</v>
      </c>
      <c r="L75" s="37">
        <f t="shared" si="26"/>
        <v>36000</v>
      </c>
      <c r="M75" s="37">
        <f t="shared" si="26"/>
        <v>36000</v>
      </c>
      <c r="N75" s="37">
        <f t="shared" si="26"/>
        <v>36000</v>
      </c>
      <c r="O75" s="37">
        <f>D75-SUM(F75:N75)</f>
        <v>38000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2185000</v>
      </c>
      <c r="E76" s="108"/>
      <c r="F76" s="108">
        <f>ROUND(SUM(F71:F75),-3)</f>
        <v>547000</v>
      </c>
      <c r="G76" s="108">
        <f t="shared" ref="G76:N76" si="27">ROUND(SUM(G71:G75),-3)</f>
        <v>182000</v>
      </c>
      <c r="H76" s="108">
        <f t="shared" si="27"/>
        <v>182000</v>
      </c>
      <c r="I76" s="108">
        <f t="shared" si="27"/>
        <v>182000</v>
      </c>
      <c r="J76" s="108">
        <f t="shared" si="27"/>
        <v>182000</v>
      </c>
      <c r="K76" s="108">
        <f t="shared" si="27"/>
        <v>182000</v>
      </c>
      <c r="L76" s="108">
        <f t="shared" si="27"/>
        <v>182000</v>
      </c>
      <c r="M76" s="108">
        <f t="shared" si="27"/>
        <v>182000</v>
      </c>
      <c r="N76" s="108">
        <f t="shared" si="27"/>
        <v>182000</v>
      </c>
      <c r="O76" s="108">
        <f>D76-SUM(F76:N76)</f>
        <v>182000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41000</v>
      </c>
      <c r="E77" s="37" t="s">
        <v>681</v>
      </c>
      <c r="F77" s="224"/>
      <c r="G77" s="224"/>
      <c r="H77" s="224">
        <f>ROUND($D77/2,-3)</f>
        <v>21000</v>
      </c>
      <c r="I77" s="224"/>
      <c r="J77" s="224"/>
      <c r="K77" s="224"/>
      <c r="L77" s="224"/>
      <c r="M77" s="224"/>
      <c r="N77" s="224">
        <f>D77-H77</f>
        <v>20000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25822000</v>
      </c>
      <c r="E78" s="227"/>
      <c r="F78" s="227">
        <f>F76+F70+F77</f>
        <v>7846000</v>
      </c>
      <c r="G78" s="227">
        <f t="shared" ref="G78:Q78" si="29">G76+G70+G77</f>
        <v>1849000</v>
      </c>
      <c r="H78" s="227">
        <f t="shared" si="29"/>
        <v>1892000</v>
      </c>
      <c r="I78" s="227">
        <f t="shared" si="29"/>
        <v>2102000</v>
      </c>
      <c r="J78" s="227">
        <f t="shared" si="29"/>
        <v>1849000</v>
      </c>
      <c r="K78" s="227">
        <f t="shared" si="29"/>
        <v>1849000</v>
      </c>
      <c r="L78" s="227">
        <f t="shared" si="29"/>
        <v>1849000</v>
      </c>
      <c r="M78" s="227">
        <f t="shared" si="29"/>
        <v>1849000</v>
      </c>
      <c r="N78" s="227">
        <f t="shared" si="29"/>
        <v>2882000</v>
      </c>
      <c r="O78" s="227">
        <f t="shared" si="29"/>
        <v>1846000</v>
      </c>
      <c r="P78" s="227">
        <f t="shared" si="29"/>
        <v>5000</v>
      </c>
      <c r="Q78" s="227">
        <f t="shared" si="29"/>
        <v>4000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900000</v>
      </c>
      <c r="E79" s="108" t="s">
        <v>195</v>
      </c>
      <c r="F79" s="108">
        <f>D79</f>
        <v>900000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900000</v>
      </c>
      <c r="E83" s="116"/>
      <c r="F83" s="116">
        <f>SUM(F79:F82)</f>
        <v>900000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-1400000</v>
      </c>
      <c r="E86" s="37"/>
      <c r="F86" s="37">
        <f>D86</f>
        <v>-1400000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27419000</v>
      </c>
      <c r="E87" s="37"/>
      <c r="F87" s="37">
        <f>F88+F89+F90+F91</f>
        <v>7881000</v>
      </c>
      <c r="G87" s="37">
        <f t="shared" ref="G87:Q87" si="32">G88+G89+G90+G91</f>
        <v>1965000</v>
      </c>
      <c r="H87" s="37">
        <f t="shared" si="32"/>
        <v>2015000</v>
      </c>
      <c r="I87" s="37">
        <f t="shared" si="32"/>
        <v>2237000</v>
      </c>
      <c r="J87" s="37">
        <f t="shared" si="32"/>
        <v>1972000</v>
      </c>
      <c r="K87" s="37">
        <f t="shared" si="32"/>
        <v>1976000</v>
      </c>
      <c r="L87" s="37">
        <f t="shared" si="32"/>
        <v>2260000</v>
      </c>
      <c r="M87" s="37">
        <f t="shared" si="32"/>
        <v>1972000</v>
      </c>
      <c r="N87" s="37">
        <f t="shared" si="32"/>
        <v>3009000</v>
      </c>
      <c r="O87" s="37">
        <f t="shared" si="32"/>
        <v>1967000</v>
      </c>
      <c r="P87" s="37">
        <f t="shared" si="32"/>
        <v>85000</v>
      </c>
      <c r="Q87" s="37">
        <f t="shared" si="32"/>
        <v>80000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60000</v>
      </c>
      <c r="E88" s="108" t="s">
        <v>193</v>
      </c>
      <c r="F88" s="108">
        <f>ROUND($D88/2,-3)</f>
        <v>30000</v>
      </c>
      <c r="G88" s="108"/>
      <c r="H88" s="108"/>
      <c r="I88" s="108"/>
      <c r="J88" s="108"/>
      <c r="K88" s="108"/>
      <c r="L88" s="108">
        <f>D88-F88</f>
        <v>30000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7000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3000</v>
      </c>
      <c r="M90" s="108"/>
      <c r="N90" s="108"/>
      <c r="O90" s="108"/>
      <c r="P90" s="108"/>
      <c r="Q90" s="108">
        <f>ROUND($D90/2,-3)</f>
        <v>4000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27352000</v>
      </c>
      <c r="E91" s="108"/>
      <c r="F91" s="108">
        <f>F92+F93+F94+F95</f>
        <v>7851000</v>
      </c>
      <c r="G91" s="108">
        <f t="shared" ref="G91:Q91" si="34">G92+G93+G94+G95</f>
        <v>1965000</v>
      </c>
      <c r="H91" s="108">
        <f t="shared" si="34"/>
        <v>2015000</v>
      </c>
      <c r="I91" s="108">
        <f t="shared" si="34"/>
        <v>2237000</v>
      </c>
      <c r="J91" s="108">
        <f t="shared" si="34"/>
        <v>1972000</v>
      </c>
      <c r="K91" s="108">
        <f t="shared" si="34"/>
        <v>1976000</v>
      </c>
      <c r="L91" s="108">
        <f t="shared" si="34"/>
        <v>2227000</v>
      </c>
      <c r="M91" s="108">
        <f t="shared" si="34"/>
        <v>1972000</v>
      </c>
      <c r="N91" s="108">
        <f t="shared" si="34"/>
        <v>3009000</v>
      </c>
      <c r="O91" s="108">
        <f t="shared" si="34"/>
        <v>1967000</v>
      </c>
      <c r="P91" s="108">
        <f t="shared" si="34"/>
        <v>85000</v>
      </c>
      <c r="Q91" s="108">
        <f t="shared" si="34"/>
        <v>76000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2315000</v>
      </c>
      <c r="E92" s="114" t="s">
        <v>537</v>
      </c>
      <c r="F92" s="37">
        <f>ROUND($D92/12*5,-3)</f>
        <v>965000</v>
      </c>
      <c r="G92" s="37">
        <f>ROUND($D92/12,-3)</f>
        <v>193000</v>
      </c>
      <c r="H92" s="37">
        <f t="shared" ref="H92:L92" si="35">ROUND($D92/12,-3)</f>
        <v>193000</v>
      </c>
      <c r="I92" s="37">
        <f t="shared" si="35"/>
        <v>193000</v>
      </c>
      <c r="J92" s="37">
        <f t="shared" si="35"/>
        <v>193000</v>
      </c>
      <c r="K92" s="37">
        <f t="shared" si="35"/>
        <v>193000</v>
      </c>
      <c r="L92" s="37">
        <f t="shared" si="35"/>
        <v>193000</v>
      </c>
      <c r="M92" s="37">
        <f>D92-SUM(F92:L92)</f>
        <v>192000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103000</v>
      </c>
      <c r="E93" s="189" t="s">
        <v>227</v>
      </c>
      <c r="F93" s="37">
        <f>ROUND($D93/12,-3)</f>
        <v>9000</v>
      </c>
      <c r="G93" s="37">
        <f t="shared" ref="G93:P93" si="36">ROUND($D93/12,-3)</f>
        <v>9000</v>
      </c>
      <c r="H93" s="37">
        <f t="shared" si="36"/>
        <v>9000</v>
      </c>
      <c r="I93" s="37">
        <f t="shared" si="36"/>
        <v>9000</v>
      </c>
      <c r="J93" s="37">
        <f t="shared" si="36"/>
        <v>9000</v>
      </c>
      <c r="K93" s="37">
        <f t="shared" si="36"/>
        <v>9000</v>
      </c>
      <c r="L93" s="37">
        <f t="shared" si="36"/>
        <v>9000</v>
      </c>
      <c r="M93" s="37">
        <f t="shared" si="36"/>
        <v>9000</v>
      </c>
      <c r="N93" s="37">
        <f t="shared" si="36"/>
        <v>9000</v>
      </c>
      <c r="O93" s="37">
        <f t="shared" si="36"/>
        <v>9000</v>
      </c>
      <c r="P93" s="37">
        <f t="shared" si="36"/>
        <v>9000</v>
      </c>
      <c r="Q93" s="37">
        <f>D93-SUM(F93:P93)</f>
        <v>4000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294000</v>
      </c>
      <c r="E94" s="190" t="s">
        <v>229</v>
      </c>
      <c r="F94" s="37"/>
      <c r="G94" s="37"/>
      <c r="H94" s="37">
        <f>ROUND($D94/2,-3)</f>
        <v>147000</v>
      </c>
      <c r="I94" s="37"/>
      <c r="J94" s="37"/>
      <c r="K94" s="37"/>
      <c r="L94" s="37"/>
      <c r="M94" s="37"/>
      <c r="N94" s="37"/>
      <c r="O94" s="37">
        <f>D94-H94</f>
        <v>147000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24640000</v>
      </c>
      <c r="E95" s="37"/>
      <c r="F95" s="37">
        <f>F2+F86-F88-F89-F90-F92-F93-F94</f>
        <v>6877000</v>
      </c>
      <c r="G95" s="37">
        <f t="shared" ref="G95:Q95" si="37">G2-G88-G89-G90-G92-G93-G94</f>
        <v>1763000</v>
      </c>
      <c r="H95" s="37">
        <f t="shared" si="37"/>
        <v>1666000</v>
      </c>
      <c r="I95" s="37">
        <f t="shared" si="37"/>
        <v>2035000</v>
      </c>
      <c r="J95" s="37">
        <f t="shared" si="37"/>
        <v>1770000</v>
      </c>
      <c r="K95" s="37">
        <f t="shared" si="37"/>
        <v>1774000</v>
      </c>
      <c r="L95" s="37">
        <f t="shared" si="37"/>
        <v>2025000</v>
      </c>
      <c r="M95" s="37">
        <f t="shared" si="37"/>
        <v>1771000</v>
      </c>
      <c r="N95" s="37">
        <f t="shared" si="37"/>
        <v>3000000</v>
      </c>
      <c r="O95" s="37">
        <f t="shared" si="37"/>
        <v>1811000</v>
      </c>
      <c r="P95" s="37">
        <f t="shared" si="37"/>
        <v>76000</v>
      </c>
      <c r="Q95" s="37">
        <f t="shared" si="37"/>
        <v>72000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96000</v>
      </c>
    </row>
    <row r="103" spans="2:17" ht="32.4">
      <c r="B103" s="72" t="s">
        <v>239</v>
      </c>
      <c r="D103" s="30">
        <f>HLOOKUP(D1,[1]縣庫撥款收入明細表!H:DD,17,FALSE)</f>
        <v>0</v>
      </c>
    </row>
    <row r="104" spans="2:17" ht="32.4">
      <c r="B104" s="76" t="s">
        <v>240</v>
      </c>
      <c r="D104" s="30">
        <f>HLOOKUP(D1,[1]縣庫撥款收入明細表!H:DD,18,FALSE)</f>
        <v>294000</v>
      </c>
    </row>
    <row r="105" spans="2:17" ht="32.4">
      <c r="B105" s="72" t="s">
        <v>380</v>
      </c>
      <c r="D105" s="30">
        <f>HLOOKUP(D1,[1]縣庫撥款收入明細表!H:DD,19,FALSE)</f>
        <v>1300000</v>
      </c>
    </row>
    <row r="106" spans="2:17" ht="32.4">
      <c r="B106" s="71" t="s">
        <v>241</v>
      </c>
      <c r="D106" s="30">
        <f>HLOOKUP(D1,[1]縣庫撥款收入明細表!H:DD,20,FALSE)</f>
        <v>7000</v>
      </c>
    </row>
    <row r="107" spans="2:17" ht="32.4">
      <c r="B107" s="77" t="s">
        <v>242</v>
      </c>
      <c r="D107" s="30">
        <f>HLOOKUP(D1,[1]縣庫撥款收入明細表!H:DD,21,FALSE)</f>
        <v>24640000</v>
      </c>
    </row>
    <row r="108" spans="2:17" ht="16.5" customHeight="1"/>
    <row r="109" spans="2:17" ht="16.5" customHeight="1">
      <c r="B109" s="4" t="s">
        <v>682</v>
      </c>
      <c r="D109" s="30">
        <f>D91-D76</f>
        <v>25167000</v>
      </c>
      <c r="F109" s="30">
        <f>F91-F76</f>
        <v>7304000</v>
      </c>
      <c r="G109" s="30">
        <f t="shared" ref="G109:Q109" si="38">G91-G76</f>
        <v>1783000</v>
      </c>
      <c r="H109" s="30">
        <f t="shared" si="38"/>
        <v>1833000</v>
      </c>
      <c r="I109" s="30">
        <f t="shared" si="38"/>
        <v>2055000</v>
      </c>
      <c r="J109" s="30">
        <f t="shared" si="38"/>
        <v>1790000</v>
      </c>
      <c r="K109" s="30">
        <f t="shared" si="38"/>
        <v>1794000</v>
      </c>
      <c r="L109" s="30">
        <f t="shared" si="38"/>
        <v>2045000</v>
      </c>
      <c r="M109" s="30">
        <f t="shared" si="38"/>
        <v>1790000</v>
      </c>
      <c r="N109" s="30">
        <f t="shared" si="38"/>
        <v>2827000</v>
      </c>
      <c r="O109" s="30">
        <f t="shared" si="38"/>
        <v>1785000</v>
      </c>
      <c r="P109" s="30">
        <f t="shared" si="38"/>
        <v>85000</v>
      </c>
      <c r="Q109" s="30">
        <f t="shared" si="38"/>
        <v>76000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52" priority="1" operator="lessThan">
      <formula>0</formula>
    </cfRule>
  </conditionalFormatting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682</v>
      </c>
      <c r="D1" s="28" t="str">
        <f>VLOOKUP(C1,[1]學校編號!A:B,2,FALSE)</f>
        <v>682佳民國小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22843000</v>
      </c>
      <c r="E2" s="37"/>
      <c r="F2" s="37">
        <f>F48+F70+F76+F77+F83</f>
        <v>6541000</v>
      </c>
      <c r="G2" s="37">
        <f t="shared" ref="G2:Q2" si="0">G48+G70+G76+G77+G83</f>
        <v>1606000</v>
      </c>
      <c r="H2" s="37">
        <f t="shared" si="0"/>
        <v>1695000</v>
      </c>
      <c r="I2" s="37">
        <f t="shared" si="0"/>
        <v>1907000</v>
      </c>
      <c r="J2" s="37">
        <f t="shared" si="0"/>
        <v>1606000</v>
      </c>
      <c r="K2" s="37">
        <f t="shared" si="0"/>
        <v>1608000</v>
      </c>
      <c r="L2" s="37">
        <f t="shared" si="0"/>
        <v>1644000</v>
      </c>
      <c r="M2" s="37">
        <f t="shared" si="0"/>
        <v>1606000</v>
      </c>
      <c r="N2" s="37">
        <f t="shared" si="0"/>
        <v>2881000</v>
      </c>
      <c r="O2" s="37">
        <f t="shared" si="0"/>
        <v>1600000</v>
      </c>
      <c r="P2" s="37">
        <f t="shared" si="0"/>
        <v>73000</v>
      </c>
      <c r="Q2" s="37">
        <f t="shared" si="0"/>
        <v>76000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120000</v>
      </c>
      <c r="E3" s="37" t="s">
        <v>525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51000</v>
      </c>
      <c r="E4" s="37" t="s">
        <v>525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63000</v>
      </c>
      <c r="E7" s="37" t="s">
        <v>525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30000</v>
      </c>
      <c r="E8" s="37" t="s">
        <v>525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3000</v>
      </c>
      <c r="E9" s="37" t="s">
        <v>525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80000</v>
      </c>
      <c r="E14" s="37" t="s">
        <v>525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26000</v>
      </c>
      <c r="E15" s="37" t="s">
        <v>193</v>
      </c>
      <c r="F15" s="37">
        <f>ROUND($D15/2,-3)</f>
        <v>13000</v>
      </c>
      <c r="G15" s="37"/>
      <c r="H15" s="37"/>
      <c r="I15" s="37"/>
      <c r="J15" s="37"/>
      <c r="K15" s="37"/>
      <c r="L15" s="37">
        <f>D15-F15</f>
        <v>13000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42000</v>
      </c>
      <c r="E17" s="37" t="s">
        <v>525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579000</v>
      </c>
      <c r="E25" s="108"/>
      <c r="F25" s="108">
        <f>ROUND(SUM(F3:F24),-3)</f>
        <v>59000</v>
      </c>
      <c r="G25" s="108">
        <f t="shared" ref="G25:P25" si="5">ROUND(SUM(G3:G24),-3)</f>
        <v>46000</v>
      </c>
      <c r="H25" s="108">
        <f t="shared" si="5"/>
        <v>46000</v>
      </c>
      <c r="I25" s="108">
        <f t="shared" si="5"/>
        <v>46000</v>
      </c>
      <c r="J25" s="108">
        <f t="shared" si="5"/>
        <v>46000</v>
      </c>
      <c r="K25" s="108">
        <f t="shared" si="5"/>
        <v>46000</v>
      </c>
      <c r="L25" s="108">
        <f t="shared" si="5"/>
        <v>59000</v>
      </c>
      <c r="M25" s="108">
        <f t="shared" si="5"/>
        <v>46000</v>
      </c>
      <c r="N25" s="108">
        <f t="shared" si="5"/>
        <v>46000</v>
      </c>
      <c r="O25" s="108">
        <f t="shared" si="5"/>
        <v>46000</v>
      </c>
      <c r="P25" s="108">
        <f t="shared" si="5"/>
        <v>46000</v>
      </c>
      <c r="Q25" s="108">
        <f t="shared" ref="Q25:Q33" si="6">D25-SUM(F25:P25)</f>
        <v>47000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241000</v>
      </c>
      <c r="E27" s="37" t="s">
        <v>525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18000</v>
      </c>
      <c r="E29" s="37" t="s">
        <v>525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11000</v>
      </c>
      <c r="E30" s="37" t="s">
        <v>525</v>
      </c>
      <c r="F30" s="37">
        <f t="shared" si="8"/>
        <v>917</v>
      </c>
      <c r="G30" s="37">
        <f t="shared" si="8"/>
        <v>917</v>
      </c>
      <c r="H30" s="37">
        <f t="shared" si="8"/>
        <v>917</v>
      </c>
      <c r="I30" s="37">
        <f t="shared" si="8"/>
        <v>917</v>
      </c>
      <c r="J30" s="37">
        <f t="shared" si="8"/>
        <v>917</v>
      </c>
      <c r="K30" s="37">
        <f t="shared" si="8"/>
        <v>917</v>
      </c>
      <c r="L30" s="37">
        <f t="shared" si="8"/>
        <v>917</v>
      </c>
      <c r="M30" s="37">
        <f t="shared" si="8"/>
        <v>917</v>
      </c>
      <c r="N30" s="37">
        <f t="shared" si="8"/>
        <v>917</v>
      </c>
      <c r="O30" s="37">
        <f t="shared" si="8"/>
        <v>917</v>
      </c>
      <c r="P30" s="37">
        <f t="shared" si="8"/>
        <v>917</v>
      </c>
      <c r="Q30" s="37">
        <f t="shared" si="6"/>
        <v>913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6000</v>
      </c>
      <c r="E31" s="37" t="s">
        <v>525</v>
      </c>
      <c r="F31" s="37">
        <f t="shared" si="8"/>
        <v>500</v>
      </c>
      <c r="G31" s="37">
        <f t="shared" si="8"/>
        <v>500</v>
      </c>
      <c r="H31" s="37">
        <f t="shared" si="8"/>
        <v>500</v>
      </c>
      <c r="I31" s="37">
        <f t="shared" si="8"/>
        <v>500</v>
      </c>
      <c r="J31" s="37">
        <f t="shared" si="8"/>
        <v>500</v>
      </c>
      <c r="K31" s="37">
        <f t="shared" si="8"/>
        <v>500</v>
      </c>
      <c r="L31" s="37">
        <f t="shared" si="8"/>
        <v>500</v>
      </c>
      <c r="M31" s="37">
        <f t="shared" si="8"/>
        <v>500</v>
      </c>
      <c r="N31" s="37">
        <f t="shared" si="8"/>
        <v>500</v>
      </c>
      <c r="O31" s="37">
        <f t="shared" si="8"/>
        <v>500</v>
      </c>
      <c r="P31" s="37">
        <f t="shared" si="8"/>
        <v>500</v>
      </c>
      <c r="Q31" s="37">
        <f t="shared" si="6"/>
        <v>500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50000</v>
      </c>
      <c r="E36" s="37" t="s">
        <v>193</v>
      </c>
      <c r="F36" s="37">
        <f>ROUND($D36/2,-3)</f>
        <v>25000</v>
      </c>
      <c r="G36" s="37"/>
      <c r="H36" s="37"/>
      <c r="I36" s="37"/>
      <c r="J36" s="37"/>
      <c r="K36" s="37"/>
      <c r="L36" s="37">
        <f>D36-F36</f>
        <v>25000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326000</v>
      </c>
      <c r="E37" s="108"/>
      <c r="F37" s="108">
        <f t="shared" ref="F37:P37" si="9">ROUND(SUM(F26:F36),-3)</f>
        <v>48000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48000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23000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911000</v>
      </c>
      <c r="E48" s="37"/>
      <c r="F48" s="115">
        <f>F25+F37+F45+F47</f>
        <v>109000</v>
      </c>
      <c r="G48" s="115">
        <f t="shared" ref="G48:R48" si="14">G25+G37+G45+G47</f>
        <v>69000</v>
      </c>
      <c r="H48" s="115">
        <f t="shared" si="14"/>
        <v>69000</v>
      </c>
      <c r="I48" s="115">
        <f t="shared" si="14"/>
        <v>69000</v>
      </c>
      <c r="J48" s="115">
        <f t="shared" si="14"/>
        <v>69000</v>
      </c>
      <c r="K48" s="115">
        <f t="shared" si="14"/>
        <v>71000</v>
      </c>
      <c r="L48" s="115">
        <f t="shared" si="14"/>
        <v>107000</v>
      </c>
      <c r="M48" s="115">
        <f t="shared" si="14"/>
        <v>69000</v>
      </c>
      <c r="N48" s="115">
        <f t="shared" si="14"/>
        <v>71000</v>
      </c>
      <c r="O48" s="115">
        <f t="shared" si="14"/>
        <v>69000</v>
      </c>
      <c r="P48" s="115">
        <f t="shared" si="14"/>
        <v>69000</v>
      </c>
      <c r="Q48" s="115">
        <f t="shared" si="14"/>
        <v>70000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12718000</v>
      </c>
      <c r="E49" s="114" t="s">
        <v>202</v>
      </c>
      <c r="F49" s="37">
        <f>ROUND($D49/12*3,-3)</f>
        <v>3180000</v>
      </c>
      <c r="G49" s="37">
        <f>ROUND($D49/12,-3)</f>
        <v>1060000</v>
      </c>
      <c r="H49" s="37">
        <f t="shared" ref="H49:N53" si="15">ROUND($D49/12,-3)</f>
        <v>1060000</v>
      </c>
      <c r="I49" s="37">
        <f t="shared" si="15"/>
        <v>1060000</v>
      </c>
      <c r="J49" s="37">
        <f t="shared" si="15"/>
        <v>1060000</v>
      </c>
      <c r="K49" s="37">
        <f t="shared" si="15"/>
        <v>1060000</v>
      </c>
      <c r="L49" s="37">
        <f t="shared" si="15"/>
        <v>1060000</v>
      </c>
      <c r="M49" s="37">
        <f t="shared" si="15"/>
        <v>1060000</v>
      </c>
      <c r="N49" s="37">
        <f t="shared" si="15"/>
        <v>1060000</v>
      </c>
      <c r="O49" s="37">
        <f>D49-SUM(F49:N49)</f>
        <v>1058000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0</v>
      </c>
      <c r="E51" s="114" t="s">
        <v>202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5"/>
        <v>0</v>
      </c>
      <c r="N51" s="37">
        <f t="shared" si="15"/>
        <v>0</v>
      </c>
      <c r="O51" s="37">
        <f t="shared" si="18"/>
        <v>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0</v>
      </c>
      <c r="E52" s="114" t="s">
        <v>202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5"/>
        <v>0</v>
      </c>
      <c r="N52" s="37">
        <f t="shared" si="15"/>
        <v>0</v>
      </c>
      <c r="O52" s="37">
        <f t="shared" si="18"/>
        <v>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26000</v>
      </c>
      <c r="E54" s="37" t="s">
        <v>525</v>
      </c>
      <c r="F54" s="37">
        <f t="shared" ref="F54:P61" si="19">ROUND($D54/12,0)</f>
        <v>2167</v>
      </c>
      <c r="G54" s="37">
        <f t="shared" si="19"/>
        <v>2167</v>
      </c>
      <c r="H54" s="37">
        <f t="shared" si="19"/>
        <v>2167</v>
      </c>
      <c r="I54" s="37">
        <f t="shared" si="19"/>
        <v>2167</v>
      </c>
      <c r="J54" s="37">
        <f t="shared" si="19"/>
        <v>2167</v>
      </c>
      <c r="K54" s="37">
        <f t="shared" si="19"/>
        <v>2167</v>
      </c>
      <c r="L54" s="37">
        <f t="shared" si="19"/>
        <v>2167</v>
      </c>
      <c r="M54" s="37">
        <f t="shared" si="19"/>
        <v>2167</v>
      </c>
      <c r="N54" s="37">
        <f t="shared" si="19"/>
        <v>2167</v>
      </c>
      <c r="O54" s="37">
        <f t="shared" si="19"/>
        <v>2167</v>
      </c>
      <c r="P54" s="37">
        <f t="shared" si="19"/>
        <v>2167</v>
      </c>
      <c r="Q54" s="37">
        <f t="shared" ref="Q54:Q61" si="20">D54-SUM(F54:P54)</f>
        <v>2163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272000</v>
      </c>
      <c r="E60" s="37" t="s">
        <v>195</v>
      </c>
      <c r="F60" s="37">
        <f>D60</f>
        <v>272000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1507000</v>
      </c>
      <c r="E62" s="37" t="s">
        <v>197</v>
      </c>
      <c r="F62" s="37"/>
      <c r="G62" s="37"/>
      <c r="H62" s="37"/>
      <c r="I62" s="37">
        <f>ROUND($D62/5,-3)</f>
        <v>301000</v>
      </c>
      <c r="J62" s="37"/>
      <c r="K62" s="37"/>
      <c r="L62" s="37"/>
      <c r="M62" s="37"/>
      <c r="N62" s="37">
        <f>D62-I62</f>
        <v>1206000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1472000</v>
      </c>
      <c r="E63" s="37" t="s">
        <v>195</v>
      </c>
      <c r="F63" s="37">
        <f>D63</f>
        <v>1472000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1290000</v>
      </c>
      <c r="E64" s="114" t="s">
        <v>202</v>
      </c>
      <c r="F64" s="37">
        <f>ROUND($D64/12*3,-3)</f>
        <v>323000</v>
      </c>
      <c r="G64" s="37">
        <f>ROUND($D64/12,-3)</f>
        <v>108000</v>
      </c>
      <c r="H64" s="37">
        <f t="shared" ref="H64:N66" si="21">ROUND($D64/12,-3)</f>
        <v>108000</v>
      </c>
      <c r="I64" s="37">
        <f t="shared" si="21"/>
        <v>108000</v>
      </c>
      <c r="J64" s="37">
        <f t="shared" si="21"/>
        <v>108000</v>
      </c>
      <c r="K64" s="37">
        <f t="shared" si="21"/>
        <v>108000</v>
      </c>
      <c r="L64" s="37">
        <f t="shared" si="21"/>
        <v>108000</v>
      </c>
      <c r="M64" s="37">
        <f t="shared" si="21"/>
        <v>108000</v>
      </c>
      <c r="N64" s="37">
        <f t="shared" si="21"/>
        <v>108000</v>
      </c>
      <c r="O64" s="37">
        <f>D64-SUM(F64:N64)</f>
        <v>103000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297000</v>
      </c>
      <c r="E65" s="114" t="s">
        <v>202</v>
      </c>
      <c r="F65" s="37">
        <f t="shared" ref="F65:F66" si="22">ROUND($D65/12*3,-3)</f>
        <v>74000</v>
      </c>
      <c r="G65" s="37">
        <f t="shared" ref="G65:G66" si="23">ROUND($D65/12,-3)</f>
        <v>25000</v>
      </c>
      <c r="H65" s="37">
        <f t="shared" si="21"/>
        <v>25000</v>
      </c>
      <c r="I65" s="37">
        <f t="shared" si="21"/>
        <v>25000</v>
      </c>
      <c r="J65" s="37">
        <f t="shared" si="21"/>
        <v>25000</v>
      </c>
      <c r="K65" s="37">
        <f t="shared" si="21"/>
        <v>25000</v>
      </c>
      <c r="L65" s="37">
        <f t="shared" si="21"/>
        <v>25000</v>
      </c>
      <c r="M65" s="37">
        <f t="shared" si="21"/>
        <v>25000</v>
      </c>
      <c r="N65" s="37">
        <f t="shared" si="21"/>
        <v>25000</v>
      </c>
      <c r="O65" s="37">
        <f t="shared" ref="O65:O66" si="24">D65-SUM(F65:N65)</f>
        <v>23000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905000</v>
      </c>
      <c r="E66" s="114" t="s">
        <v>202</v>
      </c>
      <c r="F66" s="37">
        <f t="shared" si="22"/>
        <v>226000</v>
      </c>
      <c r="G66" s="37">
        <f t="shared" si="23"/>
        <v>75000</v>
      </c>
      <c r="H66" s="37">
        <f t="shared" si="21"/>
        <v>75000</v>
      </c>
      <c r="I66" s="37">
        <f t="shared" si="21"/>
        <v>75000</v>
      </c>
      <c r="J66" s="37">
        <f t="shared" si="21"/>
        <v>75000</v>
      </c>
      <c r="K66" s="37">
        <f t="shared" si="21"/>
        <v>75000</v>
      </c>
      <c r="L66" s="37">
        <f t="shared" si="21"/>
        <v>75000</v>
      </c>
      <c r="M66" s="37">
        <f t="shared" si="21"/>
        <v>75000</v>
      </c>
      <c r="N66" s="37">
        <f t="shared" si="21"/>
        <v>75000</v>
      </c>
      <c r="O66" s="37">
        <f t="shared" si="24"/>
        <v>79000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22000</v>
      </c>
      <c r="E67" s="37" t="s">
        <v>196</v>
      </c>
      <c r="F67" s="37"/>
      <c r="G67" s="37"/>
      <c r="H67" s="37">
        <f>D67</f>
        <v>22000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86000</v>
      </c>
      <c r="E68" s="37" t="s">
        <v>195</v>
      </c>
      <c r="F68" s="37">
        <f>D68</f>
        <v>86000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18619000</v>
      </c>
      <c r="E70" s="108"/>
      <c r="F70" s="108">
        <f t="shared" ref="F70:P70" si="25">ROUND(SUM(F49:F69),-3)</f>
        <v>5637000</v>
      </c>
      <c r="G70" s="108">
        <f t="shared" si="25"/>
        <v>1272000</v>
      </c>
      <c r="H70" s="108">
        <f t="shared" si="25"/>
        <v>1294000</v>
      </c>
      <c r="I70" s="108">
        <f t="shared" si="25"/>
        <v>1573000</v>
      </c>
      <c r="J70" s="108">
        <f t="shared" si="25"/>
        <v>1272000</v>
      </c>
      <c r="K70" s="108">
        <f t="shared" si="25"/>
        <v>1272000</v>
      </c>
      <c r="L70" s="108">
        <f t="shared" si="25"/>
        <v>1272000</v>
      </c>
      <c r="M70" s="108">
        <f t="shared" si="25"/>
        <v>1272000</v>
      </c>
      <c r="N70" s="108">
        <f t="shared" si="25"/>
        <v>2478000</v>
      </c>
      <c r="O70" s="108">
        <f t="shared" si="25"/>
        <v>1267000</v>
      </c>
      <c r="P70" s="108">
        <f t="shared" si="25"/>
        <v>4000</v>
      </c>
      <c r="Q70" s="108">
        <f>D70-SUM(F70:P70)</f>
        <v>6000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2933000</v>
      </c>
      <c r="E72" s="114" t="s">
        <v>202</v>
      </c>
      <c r="F72" s="37">
        <f>ROUND($D72/12*3,-3)</f>
        <v>733000</v>
      </c>
      <c r="G72" s="37">
        <f>ROUND($D72/12,-3)</f>
        <v>244000</v>
      </c>
      <c r="H72" s="37">
        <f t="shared" ref="H72:N75" si="26">ROUND($D72/12,-3)</f>
        <v>244000</v>
      </c>
      <c r="I72" s="37">
        <f t="shared" si="26"/>
        <v>244000</v>
      </c>
      <c r="J72" s="37">
        <f t="shared" si="26"/>
        <v>244000</v>
      </c>
      <c r="K72" s="37">
        <f t="shared" si="26"/>
        <v>244000</v>
      </c>
      <c r="L72" s="37">
        <f t="shared" si="26"/>
        <v>244000</v>
      </c>
      <c r="M72" s="37">
        <f t="shared" si="26"/>
        <v>244000</v>
      </c>
      <c r="N72" s="37">
        <f t="shared" si="26"/>
        <v>244000</v>
      </c>
      <c r="O72" s="37">
        <f>D72-SUM(F72:N72)</f>
        <v>248000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246000</v>
      </c>
      <c r="E75" s="114" t="s">
        <v>202</v>
      </c>
      <c r="F75" s="37">
        <f>ROUND($D75/12*3,-3)</f>
        <v>62000</v>
      </c>
      <c r="G75" s="37">
        <f>ROUND($D75/12,-3)</f>
        <v>21000</v>
      </c>
      <c r="H75" s="37">
        <f t="shared" si="26"/>
        <v>21000</v>
      </c>
      <c r="I75" s="37">
        <f t="shared" si="26"/>
        <v>21000</v>
      </c>
      <c r="J75" s="37">
        <f t="shared" si="26"/>
        <v>21000</v>
      </c>
      <c r="K75" s="37">
        <f t="shared" si="26"/>
        <v>21000</v>
      </c>
      <c r="L75" s="37">
        <f t="shared" si="26"/>
        <v>21000</v>
      </c>
      <c r="M75" s="37">
        <f t="shared" si="26"/>
        <v>21000</v>
      </c>
      <c r="N75" s="37">
        <f t="shared" si="26"/>
        <v>21000</v>
      </c>
      <c r="O75" s="37">
        <f>D75-SUM(F75:N75)</f>
        <v>16000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3179000</v>
      </c>
      <c r="E76" s="108"/>
      <c r="F76" s="108">
        <f>ROUND(SUM(F71:F75),-3)</f>
        <v>795000</v>
      </c>
      <c r="G76" s="108">
        <f t="shared" ref="G76:N76" si="27">ROUND(SUM(G71:G75),-3)</f>
        <v>265000</v>
      </c>
      <c r="H76" s="108">
        <f t="shared" si="27"/>
        <v>265000</v>
      </c>
      <c r="I76" s="108">
        <f t="shared" si="27"/>
        <v>265000</v>
      </c>
      <c r="J76" s="108">
        <f t="shared" si="27"/>
        <v>265000</v>
      </c>
      <c r="K76" s="108">
        <f t="shared" si="27"/>
        <v>265000</v>
      </c>
      <c r="L76" s="108">
        <f t="shared" si="27"/>
        <v>265000</v>
      </c>
      <c r="M76" s="108">
        <f t="shared" si="27"/>
        <v>265000</v>
      </c>
      <c r="N76" s="108">
        <f t="shared" si="27"/>
        <v>265000</v>
      </c>
      <c r="O76" s="108">
        <f>D76-SUM(F76:N76)</f>
        <v>264000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134000</v>
      </c>
      <c r="E77" s="37" t="s">
        <v>681</v>
      </c>
      <c r="F77" s="224"/>
      <c r="G77" s="224"/>
      <c r="H77" s="224">
        <f>ROUND($D77/2,-3)</f>
        <v>67000</v>
      </c>
      <c r="I77" s="224"/>
      <c r="J77" s="224"/>
      <c r="K77" s="224"/>
      <c r="L77" s="224"/>
      <c r="M77" s="224"/>
      <c r="N77" s="224">
        <f>D77-H77</f>
        <v>67000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21932000</v>
      </c>
      <c r="E78" s="227"/>
      <c r="F78" s="227">
        <f>F76+F70+F77</f>
        <v>6432000</v>
      </c>
      <c r="G78" s="227">
        <f t="shared" ref="G78:Q78" si="29">G76+G70+G77</f>
        <v>1537000</v>
      </c>
      <c r="H78" s="227">
        <f t="shared" si="29"/>
        <v>1626000</v>
      </c>
      <c r="I78" s="227">
        <f t="shared" si="29"/>
        <v>1838000</v>
      </c>
      <c r="J78" s="227">
        <f t="shared" si="29"/>
        <v>1537000</v>
      </c>
      <c r="K78" s="227">
        <f t="shared" si="29"/>
        <v>1537000</v>
      </c>
      <c r="L78" s="227">
        <f t="shared" si="29"/>
        <v>1537000</v>
      </c>
      <c r="M78" s="227">
        <f t="shared" si="29"/>
        <v>1537000</v>
      </c>
      <c r="N78" s="227">
        <f t="shared" si="29"/>
        <v>2810000</v>
      </c>
      <c r="O78" s="227">
        <f t="shared" si="29"/>
        <v>1531000</v>
      </c>
      <c r="P78" s="227">
        <f t="shared" si="29"/>
        <v>4000</v>
      </c>
      <c r="Q78" s="227">
        <f t="shared" si="29"/>
        <v>6000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22843000</v>
      </c>
      <c r="E87" s="37"/>
      <c r="F87" s="37">
        <f>F88+F89+F90+F91</f>
        <v>6541000</v>
      </c>
      <c r="G87" s="37">
        <f t="shared" ref="G87:Q87" si="32">G88+G89+G90+G91</f>
        <v>1606000</v>
      </c>
      <c r="H87" s="37">
        <f t="shared" si="32"/>
        <v>1695000</v>
      </c>
      <c r="I87" s="37">
        <f t="shared" si="32"/>
        <v>1907000</v>
      </c>
      <c r="J87" s="37">
        <f t="shared" si="32"/>
        <v>1606000</v>
      </c>
      <c r="K87" s="37">
        <f t="shared" si="32"/>
        <v>1608000</v>
      </c>
      <c r="L87" s="37">
        <f t="shared" si="32"/>
        <v>1644000</v>
      </c>
      <c r="M87" s="37">
        <f t="shared" si="32"/>
        <v>1606000</v>
      </c>
      <c r="N87" s="37">
        <f t="shared" si="32"/>
        <v>2881000</v>
      </c>
      <c r="O87" s="37">
        <f t="shared" si="32"/>
        <v>1600000</v>
      </c>
      <c r="P87" s="37">
        <f t="shared" si="32"/>
        <v>73000</v>
      </c>
      <c r="Q87" s="37">
        <f t="shared" si="32"/>
        <v>76000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50000</v>
      </c>
      <c r="E88" s="108" t="s">
        <v>193</v>
      </c>
      <c r="F88" s="108">
        <f>ROUND($D88/2,-3)</f>
        <v>25000</v>
      </c>
      <c r="G88" s="108"/>
      <c r="H88" s="108"/>
      <c r="I88" s="108"/>
      <c r="J88" s="108"/>
      <c r="K88" s="108"/>
      <c r="L88" s="108">
        <f>D88-F88</f>
        <v>25000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22792000</v>
      </c>
      <c r="E91" s="108"/>
      <c r="F91" s="108">
        <f>F92+F93+F94+F95</f>
        <v>6516000</v>
      </c>
      <c r="G91" s="108">
        <f t="shared" ref="G91:Q91" si="34">G92+G93+G94+G95</f>
        <v>1606000</v>
      </c>
      <c r="H91" s="108">
        <f t="shared" si="34"/>
        <v>1695000</v>
      </c>
      <c r="I91" s="108">
        <f t="shared" si="34"/>
        <v>1907000</v>
      </c>
      <c r="J91" s="108">
        <f t="shared" si="34"/>
        <v>1606000</v>
      </c>
      <c r="K91" s="108">
        <f t="shared" si="34"/>
        <v>1608000</v>
      </c>
      <c r="L91" s="108">
        <f t="shared" si="34"/>
        <v>1619000</v>
      </c>
      <c r="M91" s="108">
        <f t="shared" si="34"/>
        <v>1606000</v>
      </c>
      <c r="N91" s="108">
        <f t="shared" si="34"/>
        <v>2881000</v>
      </c>
      <c r="O91" s="108">
        <f t="shared" si="34"/>
        <v>1600000</v>
      </c>
      <c r="P91" s="108">
        <f t="shared" si="34"/>
        <v>73000</v>
      </c>
      <c r="Q91" s="108">
        <f t="shared" si="34"/>
        <v>75000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0</v>
      </c>
      <c r="E92" s="114" t="s">
        <v>537</v>
      </c>
      <c r="F92" s="37">
        <f>ROUND($D92/12*5,-3)</f>
        <v>0</v>
      </c>
      <c r="G92" s="37">
        <f>ROUND($D92/12,-3)</f>
        <v>0</v>
      </c>
      <c r="H92" s="37">
        <f t="shared" ref="H92:L92" si="35">ROUND($D92/12,-3)</f>
        <v>0</v>
      </c>
      <c r="I92" s="37">
        <f t="shared" si="35"/>
        <v>0</v>
      </c>
      <c r="J92" s="37">
        <f t="shared" si="35"/>
        <v>0</v>
      </c>
      <c r="K92" s="37">
        <f t="shared" si="35"/>
        <v>0</v>
      </c>
      <c r="L92" s="37">
        <f t="shared" si="35"/>
        <v>0</v>
      </c>
      <c r="M92" s="37">
        <f>D92-SUM(F92:L92)</f>
        <v>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77000</v>
      </c>
      <c r="E93" s="189" t="s">
        <v>227</v>
      </c>
      <c r="F93" s="37">
        <f>ROUND($D93/12,-3)</f>
        <v>6000</v>
      </c>
      <c r="G93" s="37">
        <f t="shared" ref="G93:P93" si="36">ROUND($D93/12,-3)</f>
        <v>6000</v>
      </c>
      <c r="H93" s="37">
        <f t="shared" si="36"/>
        <v>6000</v>
      </c>
      <c r="I93" s="37">
        <f t="shared" si="36"/>
        <v>6000</v>
      </c>
      <c r="J93" s="37">
        <f t="shared" si="36"/>
        <v>6000</v>
      </c>
      <c r="K93" s="37">
        <f t="shared" si="36"/>
        <v>6000</v>
      </c>
      <c r="L93" s="37">
        <f t="shared" si="36"/>
        <v>6000</v>
      </c>
      <c r="M93" s="37">
        <f t="shared" si="36"/>
        <v>6000</v>
      </c>
      <c r="N93" s="37">
        <f t="shared" si="36"/>
        <v>6000</v>
      </c>
      <c r="O93" s="37">
        <f t="shared" si="36"/>
        <v>6000</v>
      </c>
      <c r="P93" s="37">
        <f t="shared" si="36"/>
        <v>6000</v>
      </c>
      <c r="Q93" s="37">
        <f>D93-SUM(F93:P93)</f>
        <v>11000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22715000</v>
      </c>
      <c r="E95" s="37"/>
      <c r="F95" s="37">
        <f>F2+F86-F88-F89-F90-F92-F93-F94</f>
        <v>6510000</v>
      </c>
      <c r="G95" s="37">
        <f t="shared" ref="G95:Q95" si="37">G2-G88-G89-G90-G92-G93-G94</f>
        <v>1600000</v>
      </c>
      <c r="H95" s="37">
        <f t="shared" si="37"/>
        <v>1689000</v>
      </c>
      <c r="I95" s="37">
        <f t="shared" si="37"/>
        <v>1901000</v>
      </c>
      <c r="J95" s="37">
        <f t="shared" si="37"/>
        <v>1600000</v>
      </c>
      <c r="K95" s="37">
        <f t="shared" si="37"/>
        <v>1602000</v>
      </c>
      <c r="L95" s="37">
        <f t="shared" si="37"/>
        <v>1613000</v>
      </c>
      <c r="M95" s="37">
        <f t="shared" si="37"/>
        <v>1600000</v>
      </c>
      <c r="N95" s="37">
        <f t="shared" si="37"/>
        <v>2875000</v>
      </c>
      <c r="O95" s="37">
        <f t="shared" si="37"/>
        <v>1594000</v>
      </c>
      <c r="P95" s="37">
        <f t="shared" si="37"/>
        <v>67000</v>
      </c>
      <c r="Q95" s="37">
        <f t="shared" si="37"/>
        <v>64000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0</v>
      </c>
    </row>
    <row r="102" spans="2:17" ht="32.4">
      <c r="B102" s="71" t="s">
        <v>238</v>
      </c>
      <c r="D102" s="30">
        <f>HLOOKUP(D1,[1]縣庫撥款收入明細表!H:DD,16,FALSE)</f>
        <v>72000</v>
      </c>
    </row>
    <row r="103" spans="2:17" ht="32.4">
      <c r="B103" s="72" t="s">
        <v>239</v>
      </c>
      <c r="D103" s="30">
        <f>HLOOKUP(D1,[1]縣庫撥款收入明細表!H:DD,17,FALSE)</f>
        <v>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0</v>
      </c>
    </row>
    <row r="106" spans="2:17" ht="32.4">
      <c r="B106" s="71" t="s">
        <v>241</v>
      </c>
      <c r="D106" s="30">
        <f>HLOOKUP(D1,[1]縣庫撥款收入明細表!H:DD,20,FALSE)</f>
        <v>5000</v>
      </c>
    </row>
    <row r="107" spans="2:17" ht="32.4">
      <c r="B107" s="77" t="s">
        <v>242</v>
      </c>
      <c r="D107" s="30">
        <f>HLOOKUP(D1,[1]縣庫撥款收入明細表!H:DD,21,FALSE)</f>
        <v>22715000</v>
      </c>
    </row>
    <row r="108" spans="2:17" ht="16.5" customHeight="1"/>
    <row r="109" spans="2:17" ht="16.5" customHeight="1">
      <c r="B109" s="4" t="s">
        <v>682</v>
      </c>
      <c r="D109" s="30">
        <f>D91-D76</f>
        <v>19613000</v>
      </c>
      <c r="F109" s="30">
        <f>F91-F76</f>
        <v>5721000</v>
      </c>
      <c r="G109" s="30">
        <f t="shared" ref="G109:Q109" si="38">G91-G76</f>
        <v>1341000</v>
      </c>
      <c r="H109" s="30">
        <f t="shared" si="38"/>
        <v>1430000</v>
      </c>
      <c r="I109" s="30">
        <f t="shared" si="38"/>
        <v>1642000</v>
      </c>
      <c r="J109" s="30">
        <f t="shared" si="38"/>
        <v>1341000</v>
      </c>
      <c r="K109" s="30">
        <f t="shared" si="38"/>
        <v>1343000</v>
      </c>
      <c r="L109" s="30">
        <f t="shared" si="38"/>
        <v>1354000</v>
      </c>
      <c r="M109" s="30">
        <f t="shared" si="38"/>
        <v>1341000</v>
      </c>
      <c r="N109" s="30">
        <f t="shared" si="38"/>
        <v>2616000</v>
      </c>
      <c r="O109" s="30">
        <f t="shared" si="38"/>
        <v>1336000</v>
      </c>
      <c r="P109" s="30">
        <f t="shared" si="38"/>
        <v>73000</v>
      </c>
      <c r="Q109" s="30">
        <f t="shared" si="38"/>
        <v>75000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50" priority="1" operator="lessThan">
      <formula>0</formula>
    </cfRule>
  </conditionalFormatting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683</v>
      </c>
      <c r="D1" s="28" t="str">
        <f>VLOOKUP(C1,[1]學校編號!A:B,2,FALSE)</f>
        <v>683銅門國小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27542000</v>
      </c>
      <c r="E2" s="37"/>
      <c r="F2" s="37">
        <f>F48+F70+F76+F77+F83</f>
        <v>7735000</v>
      </c>
      <c r="G2" s="37">
        <f t="shared" ref="G2:Q2" si="0">G48+G70+G76+G77+G83</f>
        <v>1980000</v>
      </c>
      <c r="H2" s="37">
        <f t="shared" si="0"/>
        <v>2051000</v>
      </c>
      <c r="I2" s="37">
        <f t="shared" si="0"/>
        <v>2322000</v>
      </c>
      <c r="J2" s="37">
        <f t="shared" si="0"/>
        <v>1980000</v>
      </c>
      <c r="K2" s="37">
        <f t="shared" si="0"/>
        <v>1986000</v>
      </c>
      <c r="L2" s="37">
        <f t="shared" si="0"/>
        <v>2001000</v>
      </c>
      <c r="M2" s="37">
        <f t="shared" si="0"/>
        <v>1980000</v>
      </c>
      <c r="N2" s="37">
        <f t="shared" si="0"/>
        <v>3395000</v>
      </c>
      <c r="O2" s="37">
        <f t="shared" si="0"/>
        <v>1975000</v>
      </c>
      <c r="P2" s="37">
        <f t="shared" si="0"/>
        <v>73000</v>
      </c>
      <c r="Q2" s="37">
        <f t="shared" si="0"/>
        <v>64000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32000</v>
      </c>
      <c r="E15" s="37" t="s">
        <v>193</v>
      </c>
      <c r="F15" s="37">
        <f>ROUND($D15/2,-3)</f>
        <v>16000</v>
      </c>
      <c r="G15" s="37"/>
      <c r="H15" s="37"/>
      <c r="I15" s="37"/>
      <c r="J15" s="37"/>
      <c r="K15" s="37"/>
      <c r="L15" s="37">
        <f>D15-F15</f>
        <v>16000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558000</v>
      </c>
      <c r="E25" s="108"/>
      <c r="F25" s="108">
        <f>ROUND(SUM(F3:F24),-3)</f>
        <v>60000</v>
      </c>
      <c r="G25" s="108">
        <f t="shared" ref="G25:P25" si="5">ROUND(SUM(G3:G24),-3)</f>
        <v>44000</v>
      </c>
      <c r="H25" s="108">
        <f t="shared" si="5"/>
        <v>44000</v>
      </c>
      <c r="I25" s="108">
        <f t="shared" si="5"/>
        <v>44000</v>
      </c>
      <c r="J25" s="108">
        <f t="shared" si="5"/>
        <v>44000</v>
      </c>
      <c r="K25" s="108">
        <f t="shared" si="5"/>
        <v>44000</v>
      </c>
      <c r="L25" s="108">
        <f t="shared" si="5"/>
        <v>60000</v>
      </c>
      <c r="M25" s="108">
        <f t="shared" si="5"/>
        <v>44000</v>
      </c>
      <c r="N25" s="108">
        <f t="shared" si="5"/>
        <v>44000</v>
      </c>
      <c r="O25" s="108">
        <f t="shared" si="5"/>
        <v>44000</v>
      </c>
      <c r="P25" s="108">
        <f t="shared" si="5"/>
        <v>44000</v>
      </c>
      <c r="Q25" s="108">
        <f t="shared" ref="Q25:Q33" si="6">D25-SUM(F25:P25)</f>
        <v>42000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13000</v>
      </c>
      <c r="E30" s="37" t="s">
        <v>525</v>
      </c>
      <c r="F30" s="37">
        <f t="shared" si="8"/>
        <v>1083</v>
      </c>
      <c r="G30" s="37">
        <f t="shared" si="8"/>
        <v>1083</v>
      </c>
      <c r="H30" s="37">
        <f t="shared" si="8"/>
        <v>1083</v>
      </c>
      <c r="I30" s="37">
        <f t="shared" si="8"/>
        <v>1083</v>
      </c>
      <c r="J30" s="37">
        <f t="shared" si="8"/>
        <v>1083</v>
      </c>
      <c r="K30" s="37">
        <f t="shared" si="8"/>
        <v>1083</v>
      </c>
      <c r="L30" s="37">
        <f t="shared" si="8"/>
        <v>1083</v>
      </c>
      <c r="M30" s="37">
        <f t="shared" si="8"/>
        <v>1083</v>
      </c>
      <c r="N30" s="37">
        <f t="shared" si="8"/>
        <v>1083</v>
      </c>
      <c r="O30" s="37">
        <f t="shared" si="8"/>
        <v>1083</v>
      </c>
      <c r="P30" s="37">
        <f t="shared" si="8"/>
        <v>1083</v>
      </c>
      <c r="Q30" s="37">
        <f t="shared" si="6"/>
        <v>1087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7000</v>
      </c>
      <c r="E31" s="37" t="s">
        <v>525</v>
      </c>
      <c r="F31" s="37">
        <f t="shared" si="8"/>
        <v>583</v>
      </c>
      <c r="G31" s="37">
        <f t="shared" si="8"/>
        <v>583</v>
      </c>
      <c r="H31" s="37">
        <f t="shared" si="8"/>
        <v>583</v>
      </c>
      <c r="I31" s="37">
        <f t="shared" si="8"/>
        <v>583</v>
      </c>
      <c r="J31" s="37">
        <f t="shared" si="8"/>
        <v>583</v>
      </c>
      <c r="K31" s="37">
        <f t="shared" si="8"/>
        <v>583</v>
      </c>
      <c r="L31" s="37">
        <f t="shared" si="8"/>
        <v>583</v>
      </c>
      <c r="M31" s="37">
        <f t="shared" si="8"/>
        <v>583</v>
      </c>
      <c r="N31" s="37">
        <f t="shared" si="8"/>
        <v>583</v>
      </c>
      <c r="O31" s="37">
        <f t="shared" si="8"/>
        <v>583</v>
      </c>
      <c r="P31" s="37">
        <f t="shared" si="8"/>
        <v>583</v>
      </c>
      <c r="Q31" s="37">
        <f t="shared" si="6"/>
        <v>587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10000</v>
      </c>
      <c r="E36" s="37" t="s">
        <v>193</v>
      </c>
      <c r="F36" s="37">
        <f>ROUND($D36/2,-3)</f>
        <v>5000</v>
      </c>
      <c r="G36" s="37"/>
      <c r="H36" s="37"/>
      <c r="I36" s="37"/>
      <c r="J36" s="37"/>
      <c r="K36" s="37"/>
      <c r="L36" s="37">
        <f>D36-F36</f>
        <v>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296000</v>
      </c>
      <c r="E37" s="108"/>
      <c r="F37" s="108">
        <f t="shared" ref="F37:P37" si="9">ROUND(SUM(F26:F36),-3)</f>
        <v>29000</v>
      </c>
      <c r="G37" s="108">
        <f t="shared" si="9"/>
        <v>24000</v>
      </c>
      <c r="H37" s="108">
        <f t="shared" si="9"/>
        <v>24000</v>
      </c>
      <c r="I37" s="108">
        <f t="shared" si="9"/>
        <v>24000</v>
      </c>
      <c r="J37" s="108">
        <f t="shared" si="9"/>
        <v>24000</v>
      </c>
      <c r="K37" s="108">
        <f t="shared" si="9"/>
        <v>24000</v>
      </c>
      <c r="L37" s="108">
        <f t="shared" si="9"/>
        <v>29000</v>
      </c>
      <c r="M37" s="108">
        <f t="shared" si="9"/>
        <v>24000</v>
      </c>
      <c r="N37" s="108">
        <f t="shared" si="9"/>
        <v>24000</v>
      </c>
      <c r="O37" s="108">
        <f t="shared" si="9"/>
        <v>24000</v>
      </c>
      <c r="P37" s="108">
        <f t="shared" si="9"/>
        <v>24000</v>
      </c>
      <c r="Q37" s="108">
        <f>D37-SUM(F37:P37)</f>
        <v>22000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18000</v>
      </c>
      <c r="E46" s="37" t="s">
        <v>194</v>
      </c>
      <c r="F46" s="37">
        <f>ROUND($D46/3,0)</f>
        <v>6000</v>
      </c>
      <c r="G46" s="37"/>
      <c r="H46" s="37"/>
      <c r="I46" s="37"/>
      <c r="J46" s="37"/>
      <c r="K46" s="37">
        <f>ROUND($D46/3,0)</f>
        <v>6000</v>
      </c>
      <c r="L46" s="37"/>
      <c r="M46" s="37"/>
      <c r="N46" s="37">
        <f>ROUND($D46/3,0)</f>
        <v>6000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18000</v>
      </c>
      <c r="E47" s="108"/>
      <c r="F47" s="108">
        <f t="shared" ref="F47:P47" si="13">ROUND(SUM(F46),-3)</f>
        <v>6000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6000</v>
      </c>
      <c r="L47" s="108">
        <f t="shared" si="13"/>
        <v>0</v>
      </c>
      <c r="M47" s="108">
        <f t="shared" si="13"/>
        <v>0</v>
      </c>
      <c r="N47" s="108">
        <f t="shared" si="13"/>
        <v>6000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872000</v>
      </c>
      <c r="E48" s="37"/>
      <c r="F48" s="115">
        <f>F25+F37+F45+F47</f>
        <v>95000</v>
      </c>
      <c r="G48" s="115">
        <f t="shared" ref="G48:R48" si="14">G25+G37+G45+G47</f>
        <v>68000</v>
      </c>
      <c r="H48" s="115">
        <f t="shared" si="14"/>
        <v>68000</v>
      </c>
      <c r="I48" s="115">
        <f t="shared" si="14"/>
        <v>68000</v>
      </c>
      <c r="J48" s="115">
        <f t="shared" si="14"/>
        <v>68000</v>
      </c>
      <c r="K48" s="115">
        <f t="shared" si="14"/>
        <v>74000</v>
      </c>
      <c r="L48" s="115">
        <f t="shared" si="14"/>
        <v>89000</v>
      </c>
      <c r="M48" s="115">
        <f t="shared" si="14"/>
        <v>68000</v>
      </c>
      <c r="N48" s="115">
        <f t="shared" si="14"/>
        <v>74000</v>
      </c>
      <c r="O48" s="115">
        <f t="shared" si="14"/>
        <v>68000</v>
      </c>
      <c r="P48" s="115">
        <f t="shared" si="14"/>
        <v>68000</v>
      </c>
      <c r="Q48" s="115">
        <f t="shared" si="14"/>
        <v>64000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14899000</v>
      </c>
      <c r="E49" s="114" t="s">
        <v>202</v>
      </c>
      <c r="F49" s="37">
        <f>ROUND($D49/12*3,-3)</f>
        <v>3725000</v>
      </c>
      <c r="G49" s="37">
        <f>ROUND($D49/12,-3)</f>
        <v>1242000</v>
      </c>
      <c r="H49" s="37">
        <f t="shared" ref="H49:N53" si="15">ROUND($D49/12,-3)</f>
        <v>1242000</v>
      </c>
      <c r="I49" s="37">
        <f t="shared" si="15"/>
        <v>1242000</v>
      </c>
      <c r="J49" s="37">
        <f t="shared" si="15"/>
        <v>1242000</v>
      </c>
      <c r="K49" s="37">
        <f t="shared" si="15"/>
        <v>1242000</v>
      </c>
      <c r="L49" s="37">
        <f t="shared" si="15"/>
        <v>1242000</v>
      </c>
      <c r="M49" s="37">
        <f t="shared" si="15"/>
        <v>1242000</v>
      </c>
      <c r="N49" s="37">
        <f t="shared" si="15"/>
        <v>1242000</v>
      </c>
      <c r="O49" s="37">
        <f>D49-SUM(F49:N49)</f>
        <v>1238000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1349000</v>
      </c>
      <c r="E51" s="114" t="s">
        <v>202</v>
      </c>
      <c r="F51" s="37">
        <f t="shared" si="16"/>
        <v>337000</v>
      </c>
      <c r="G51" s="37">
        <f t="shared" si="17"/>
        <v>112000</v>
      </c>
      <c r="H51" s="37">
        <f t="shared" si="15"/>
        <v>112000</v>
      </c>
      <c r="I51" s="37">
        <f t="shared" si="15"/>
        <v>112000</v>
      </c>
      <c r="J51" s="37">
        <f t="shared" si="15"/>
        <v>112000</v>
      </c>
      <c r="K51" s="37">
        <f t="shared" si="15"/>
        <v>112000</v>
      </c>
      <c r="L51" s="37">
        <f t="shared" si="15"/>
        <v>112000</v>
      </c>
      <c r="M51" s="37">
        <f t="shared" si="15"/>
        <v>112000</v>
      </c>
      <c r="N51" s="37">
        <f t="shared" si="15"/>
        <v>112000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0</v>
      </c>
      <c r="E60" s="37" t="s">
        <v>195</v>
      </c>
      <c r="F60" s="37">
        <f>D60</f>
        <v>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1711000</v>
      </c>
      <c r="E62" s="37" t="s">
        <v>197</v>
      </c>
      <c r="F62" s="37"/>
      <c r="G62" s="37"/>
      <c r="H62" s="37"/>
      <c r="I62" s="37">
        <f>ROUND($D62/5,-3)</f>
        <v>342000</v>
      </c>
      <c r="J62" s="37"/>
      <c r="K62" s="37"/>
      <c r="L62" s="37"/>
      <c r="M62" s="37"/>
      <c r="N62" s="37">
        <f>D62-I62</f>
        <v>1369000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1691000</v>
      </c>
      <c r="E63" s="37" t="s">
        <v>195</v>
      </c>
      <c r="F63" s="37">
        <f>D63</f>
        <v>1691000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1473000</v>
      </c>
      <c r="E64" s="114" t="s">
        <v>202</v>
      </c>
      <c r="F64" s="37">
        <f>ROUND($D64/12*3,-3)</f>
        <v>368000</v>
      </c>
      <c r="G64" s="37">
        <f>ROUND($D64/12,-3)</f>
        <v>123000</v>
      </c>
      <c r="H64" s="37">
        <f t="shared" ref="H64:N66" si="21">ROUND($D64/12,-3)</f>
        <v>123000</v>
      </c>
      <c r="I64" s="37">
        <f t="shared" si="21"/>
        <v>123000</v>
      </c>
      <c r="J64" s="37">
        <f t="shared" si="21"/>
        <v>123000</v>
      </c>
      <c r="K64" s="37">
        <f t="shared" si="21"/>
        <v>123000</v>
      </c>
      <c r="L64" s="37">
        <f t="shared" si="21"/>
        <v>123000</v>
      </c>
      <c r="M64" s="37">
        <f t="shared" si="21"/>
        <v>123000</v>
      </c>
      <c r="N64" s="37">
        <f t="shared" si="21"/>
        <v>123000</v>
      </c>
      <c r="O64" s="37">
        <f>D64-SUM(F64:N64)</f>
        <v>121000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346000</v>
      </c>
      <c r="E65" s="114" t="s">
        <v>202</v>
      </c>
      <c r="F65" s="37">
        <f t="shared" ref="F65:F66" si="22">ROUND($D65/12*3,-3)</f>
        <v>87000</v>
      </c>
      <c r="G65" s="37">
        <f t="shared" ref="G65:G66" si="23">ROUND($D65/12,-3)</f>
        <v>29000</v>
      </c>
      <c r="H65" s="37">
        <f t="shared" si="21"/>
        <v>29000</v>
      </c>
      <c r="I65" s="37">
        <f t="shared" si="21"/>
        <v>29000</v>
      </c>
      <c r="J65" s="37">
        <f t="shared" si="21"/>
        <v>29000</v>
      </c>
      <c r="K65" s="37">
        <f t="shared" si="21"/>
        <v>29000</v>
      </c>
      <c r="L65" s="37">
        <f t="shared" si="21"/>
        <v>29000</v>
      </c>
      <c r="M65" s="37">
        <f t="shared" si="21"/>
        <v>29000</v>
      </c>
      <c r="N65" s="37">
        <f t="shared" si="21"/>
        <v>29000</v>
      </c>
      <c r="O65" s="37">
        <f t="shared" ref="O65:O66" si="24">D65-SUM(F65:N65)</f>
        <v>27000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1051000</v>
      </c>
      <c r="E66" s="114" t="s">
        <v>202</v>
      </c>
      <c r="F66" s="37">
        <f t="shared" si="22"/>
        <v>263000</v>
      </c>
      <c r="G66" s="37">
        <f t="shared" si="23"/>
        <v>88000</v>
      </c>
      <c r="H66" s="37">
        <f t="shared" si="21"/>
        <v>88000</v>
      </c>
      <c r="I66" s="37">
        <f t="shared" si="21"/>
        <v>88000</v>
      </c>
      <c r="J66" s="37">
        <f t="shared" si="21"/>
        <v>88000</v>
      </c>
      <c r="K66" s="37">
        <f t="shared" si="21"/>
        <v>88000</v>
      </c>
      <c r="L66" s="37">
        <f t="shared" si="21"/>
        <v>88000</v>
      </c>
      <c r="M66" s="37">
        <f t="shared" si="21"/>
        <v>88000</v>
      </c>
      <c r="N66" s="37">
        <f t="shared" si="21"/>
        <v>88000</v>
      </c>
      <c r="O66" s="37">
        <f t="shared" si="24"/>
        <v>84000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31000</v>
      </c>
      <c r="E67" s="37" t="s">
        <v>196</v>
      </c>
      <c r="F67" s="37"/>
      <c r="G67" s="37"/>
      <c r="H67" s="37">
        <f>D67</f>
        <v>31000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224000</v>
      </c>
      <c r="E68" s="37" t="s">
        <v>195</v>
      </c>
      <c r="F68" s="37">
        <f>D68</f>
        <v>224000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23095000</v>
      </c>
      <c r="E70" s="108"/>
      <c r="F70" s="108">
        <f t="shared" ref="F70:P70" si="25">ROUND(SUM(F49:F69),-3)</f>
        <v>6766000</v>
      </c>
      <c r="G70" s="108">
        <f t="shared" si="25"/>
        <v>1621000</v>
      </c>
      <c r="H70" s="108">
        <f t="shared" si="25"/>
        <v>1652000</v>
      </c>
      <c r="I70" s="108">
        <f t="shared" si="25"/>
        <v>1963000</v>
      </c>
      <c r="J70" s="108">
        <f t="shared" si="25"/>
        <v>1621000</v>
      </c>
      <c r="K70" s="108">
        <f t="shared" si="25"/>
        <v>1621000</v>
      </c>
      <c r="L70" s="108">
        <f t="shared" si="25"/>
        <v>1621000</v>
      </c>
      <c r="M70" s="108">
        <f t="shared" si="25"/>
        <v>1621000</v>
      </c>
      <c r="N70" s="108">
        <f t="shared" si="25"/>
        <v>2990000</v>
      </c>
      <c r="O70" s="108">
        <f t="shared" si="25"/>
        <v>1614000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3350000</v>
      </c>
      <c r="E72" s="114" t="s">
        <v>202</v>
      </c>
      <c r="F72" s="37">
        <f>ROUND($D72/12*3,-3)</f>
        <v>838000</v>
      </c>
      <c r="G72" s="37">
        <f>ROUND($D72/12,-3)</f>
        <v>279000</v>
      </c>
      <c r="H72" s="37">
        <f t="shared" ref="H72:N75" si="26">ROUND($D72/12,-3)</f>
        <v>279000</v>
      </c>
      <c r="I72" s="37">
        <f t="shared" si="26"/>
        <v>279000</v>
      </c>
      <c r="J72" s="37">
        <f t="shared" si="26"/>
        <v>279000</v>
      </c>
      <c r="K72" s="37">
        <f t="shared" si="26"/>
        <v>279000</v>
      </c>
      <c r="L72" s="37">
        <f t="shared" si="26"/>
        <v>279000</v>
      </c>
      <c r="M72" s="37">
        <f t="shared" si="26"/>
        <v>279000</v>
      </c>
      <c r="N72" s="37">
        <f t="shared" si="26"/>
        <v>279000</v>
      </c>
      <c r="O72" s="37">
        <f>D72-SUM(F72:N72)</f>
        <v>280000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145000</v>
      </c>
      <c r="E75" s="114" t="s">
        <v>202</v>
      </c>
      <c r="F75" s="37">
        <f>ROUND($D75/12*3,-3)</f>
        <v>36000</v>
      </c>
      <c r="G75" s="37">
        <f>ROUND($D75/12,-3)</f>
        <v>12000</v>
      </c>
      <c r="H75" s="37">
        <f t="shared" si="26"/>
        <v>12000</v>
      </c>
      <c r="I75" s="37">
        <f t="shared" si="26"/>
        <v>12000</v>
      </c>
      <c r="J75" s="37">
        <f t="shared" si="26"/>
        <v>12000</v>
      </c>
      <c r="K75" s="37">
        <f t="shared" si="26"/>
        <v>12000</v>
      </c>
      <c r="L75" s="37">
        <f t="shared" si="26"/>
        <v>12000</v>
      </c>
      <c r="M75" s="37">
        <f t="shared" si="26"/>
        <v>12000</v>
      </c>
      <c r="N75" s="37">
        <f t="shared" si="26"/>
        <v>12000</v>
      </c>
      <c r="O75" s="37">
        <f>D75-SUM(F75:N75)</f>
        <v>13000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3495000</v>
      </c>
      <c r="E76" s="108"/>
      <c r="F76" s="108">
        <f>ROUND(SUM(F71:F75),-3)</f>
        <v>874000</v>
      </c>
      <c r="G76" s="108">
        <f t="shared" ref="G76:N76" si="27">ROUND(SUM(G71:G75),-3)</f>
        <v>291000</v>
      </c>
      <c r="H76" s="108">
        <f t="shared" si="27"/>
        <v>291000</v>
      </c>
      <c r="I76" s="108">
        <f t="shared" si="27"/>
        <v>291000</v>
      </c>
      <c r="J76" s="108">
        <f t="shared" si="27"/>
        <v>291000</v>
      </c>
      <c r="K76" s="108">
        <f t="shared" si="27"/>
        <v>291000</v>
      </c>
      <c r="L76" s="108">
        <f t="shared" si="27"/>
        <v>291000</v>
      </c>
      <c r="M76" s="108">
        <f t="shared" si="27"/>
        <v>291000</v>
      </c>
      <c r="N76" s="108">
        <f t="shared" si="27"/>
        <v>291000</v>
      </c>
      <c r="O76" s="108">
        <f>D76-SUM(F76:N76)</f>
        <v>293000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80000</v>
      </c>
      <c r="E77" s="37" t="s">
        <v>681</v>
      </c>
      <c r="F77" s="224"/>
      <c r="G77" s="224"/>
      <c r="H77" s="224">
        <f>ROUND($D77/2,-3)</f>
        <v>40000</v>
      </c>
      <c r="I77" s="224"/>
      <c r="J77" s="224"/>
      <c r="K77" s="224"/>
      <c r="L77" s="224"/>
      <c r="M77" s="224"/>
      <c r="N77" s="224">
        <f>D77-H77</f>
        <v>40000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26670000</v>
      </c>
      <c r="E78" s="227"/>
      <c r="F78" s="227">
        <f>F76+F70+F77</f>
        <v>7640000</v>
      </c>
      <c r="G78" s="227">
        <f t="shared" ref="G78:Q78" si="29">G76+G70+G77</f>
        <v>1912000</v>
      </c>
      <c r="H78" s="227">
        <f t="shared" si="29"/>
        <v>1983000</v>
      </c>
      <c r="I78" s="227">
        <f t="shared" si="29"/>
        <v>2254000</v>
      </c>
      <c r="J78" s="227">
        <f t="shared" si="29"/>
        <v>1912000</v>
      </c>
      <c r="K78" s="227">
        <f t="shared" si="29"/>
        <v>1912000</v>
      </c>
      <c r="L78" s="227">
        <f t="shared" si="29"/>
        <v>1912000</v>
      </c>
      <c r="M78" s="227">
        <f t="shared" si="29"/>
        <v>1912000</v>
      </c>
      <c r="N78" s="227">
        <f t="shared" si="29"/>
        <v>3321000</v>
      </c>
      <c r="O78" s="227">
        <f t="shared" si="29"/>
        <v>1907000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27542000</v>
      </c>
      <c r="E87" s="37"/>
      <c r="F87" s="37">
        <f>F88+F89+F90+F91</f>
        <v>7735000</v>
      </c>
      <c r="G87" s="37">
        <f t="shared" ref="G87:Q87" si="32">G88+G89+G90+G91</f>
        <v>1980000</v>
      </c>
      <c r="H87" s="37">
        <f t="shared" si="32"/>
        <v>2051000</v>
      </c>
      <c r="I87" s="37">
        <f t="shared" si="32"/>
        <v>2322000</v>
      </c>
      <c r="J87" s="37">
        <f t="shared" si="32"/>
        <v>1980000</v>
      </c>
      <c r="K87" s="37">
        <f t="shared" si="32"/>
        <v>1986000</v>
      </c>
      <c r="L87" s="37">
        <f t="shared" si="32"/>
        <v>2001000</v>
      </c>
      <c r="M87" s="37">
        <f t="shared" si="32"/>
        <v>1980000</v>
      </c>
      <c r="N87" s="37">
        <f t="shared" si="32"/>
        <v>3395000</v>
      </c>
      <c r="O87" s="37">
        <f t="shared" si="32"/>
        <v>1975000</v>
      </c>
      <c r="P87" s="37">
        <f t="shared" si="32"/>
        <v>73000</v>
      </c>
      <c r="Q87" s="37">
        <f t="shared" si="32"/>
        <v>64000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10000</v>
      </c>
      <c r="E88" s="108" t="s">
        <v>193</v>
      </c>
      <c r="F88" s="108">
        <f>ROUND($D88/2,-3)</f>
        <v>5000</v>
      </c>
      <c r="G88" s="108"/>
      <c r="H88" s="108"/>
      <c r="I88" s="108"/>
      <c r="J88" s="108"/>
      <c r="K88" s="108"/>
      <c r="L88" s="108">
        <f>D88-F88</f>
        <v>5000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27531000</v>
      </c>
      <c r="E91" s="108"/>
      <c r="F91" s="108">
        <f>F92+F93+F94+F95</f>
        <v>7730000</v>
      </c>
      <c r="G91" s="108">
        <f t="shared" ref="G91:Q91" si="34">G92+G93+G94+G95</f>
        <v>1980000</v>
      </c>
      <c r="H91" s="108">
        <f t="shared" si="34"/>
        <v>2051000</v>
      </c>
      <c r="I91" s="108">
        <f t="shared" si="34"/>
        <v>2322000</v>
      </c>
      <c r="J91" s="108">
        <f t="shared" si="34"/>
        <v>1980000</v>
      </c>
      <c r="K91" s="108">
        <f t="shared" si="34"/>
        <v>1986000</v>
      </c>
      <c r="L91" s="108">
        <f t="shared" si="34"/>
        <v>1996000</v>
      </c>
      <c r="M91" s="108">
        <f t="shared" si="34"/>
        <v>1980000</v>
      </c>
      <c r="N91" s="108">
        <f t="shared" si="34"/>
        <v>3395000</v>
      </c>
      <c r="O91" s="108">
        <f t="shared" si="34"/>
        <v>1975000</v>
      </c>
      <c r="P91" s="108">
        <f t="shared" si="34"/>
        <v>73000</v>
      </c>
      <c r="Q91" s="108">
        <f t="shared" si="34"/>
        <v>63000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3615000</v>
      </c>
      <c r="E92" s="114" t="s">
        <v>537</v>
      </c>
      <c r="F92" s="37">
        <f>ROUND($D92/12*5,-3)</f>
        <v>1506000</v>
      </c>
      <c r="G92" s="37">
        <f>ROUND($D92/12,-3)</f>
        <v>301000</v>
      </c>
      <c r="H92" s="37">
        <f t="shared" ref="H92:L92" si="35">ROUND($D92/12,-3)</f>
        <v>301000</v>
      </c>
      <c r="I92" s="37">
        <f t="shared" si="35"/>
        <v>301000</v>
      </c>
      <c r="J92" s="37">
        <f t="shared" si="35"/>
        <v>301000</v>
      </c>
      <c r="K92" s="37">
        <f t="shared" si="35"/>
        <v>301000</v>
      </c>
      <c r="L92" s="37">
        <f t="shared" si="35"/>
        <v>301000</v>
      </c>
      <c r="M92" s="37">
        <f>D92-SUM(F92:L92)</f>
        <v>303000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23826000</v>
      </c>
      <c r="E95" s="37"/>
      <c r="F95" s="37">
        <f>F2+F86-F88-F89-F90-F92-F93-F94</f>
        <v>6216000</v>
      </c>
      <c r="G95" s="37">
        <f t="shared" ref="G95:Q95" si="37">G2-G88-G89-G90-G92-G93-G94</f>
        <v>1671000</v>
      </c>
      <c r="H95" s="37">
        <f t="shared" si="37"/>
        <v>1742000</v>
      </c>
      <c r="I95" s="37">
        <f t="shared" si="37"/>
        <v>2013000</v>
      </c>
      <c r="J95" s="37">
        <f t="shared" si="37"/>
        <v>1671000</v>
      </c>
      <c r="K95" s="37">
        <f t="shared" si="37"/>
        <v>1677000</v>
      </c>
      <c r="L95" s="37">
        <f t="shared" si="37"/>
        <v>1687000</v>
      </c>
      <c r="M95" s="37">
        <f t="shared" si="37"/>
        <v>1669000</v>
      </c>
      <c r="N95" s="37">
        <f t="shared" si="37"/>
        <v>3387000</v>
      </c>
      <c r="O95" s="37">
        <f t="shared" si="37"/>
        <v>1967000</v>
      </c>
      <c r="P95" s="37">
        <f t="shared" si="37"/>
        <v>65000</v>
      </c>
      <c r="Q95" s="37">
        <f t="shared" si="37"/>
        <v>61000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1300000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1300000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23826000</v>
      </c>
    </row>
    <row r="108" spans="2:17" ht="16.5" customHeight="1"/>
    <row r="109" spans="2:17" ht="16.5" customHeight="1">
      <c r="B109" s="4" t="s">
        <v>682</v>
      </c>
      <c r="D109" s="30">
        <f>D91-D76</f>
        <v>24036000</v>
      </c>
      <c r="F109" s="30">
        <f>F91-F76</f>
        <v>6856000</v>
      </c>
      <c r="G109" s="30">
        <f t="shared" ref="G109:Q109" si="38">G91-G76</f>
        <v>1689000</v>
      </c>
      <c r="H109" s="30">
        <f t="shared" si="38"/>
        <v>1760000</v>
      </c>
      <c r="I109" s="30">
        <f t="shared" si="38"/>
        <v>2031000</v>
      </c>
      <c r="J109" s="30">
        <f t="shared" si="38"/>
        <v>1689000</v>
      </c>
      <c r="K109" s="30">
        <f t="shared" si="38"/>
        <v>1695000</v>
      </c>
      <c r="L109" s="30">
        <f t="shared" si="38"/>
        <v>1705000</v>
      </c>
      <c r="M109" s="30">
        <f t="shared" si="38"/>
        <v>1689000</v>
      </c>
      <c r="N109" s="30">
        <f t="shared" si="38"/>
        <v>3104000</v>
      </c>
      <c r="O109" s="30">
        <f t="shared" si="38"/>
        <v>1682000</v>
      </c>
      <c r="P109" s="30">
        <f t="shared" si="38"/>
        <v>73000</v>
      </c>
      <c r="Q109" s="30">
        <f t="shared" si="38"/>
        <v>63000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48" priority="1" operator="lessThan">
      <formula>0</formula>
    </cfRule>
  </conditionalFormatting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684</v>
      </c>
      <c r="D1" s="28" t="str">
        <f>VLOOKUP(C1,[1]學校編號!A:B,2,FALSE)</f>
        <v>684水源國小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32665000</v>
      </c>
      <c r="E2" s="37"/>
      <c r="F2" s="37">
        <f>F48+F70+F76+F77+F83</f>
        <v>8980000</v>
      </c>
      <c r="G2" s="37">
        <f t="shared" ref="G2:Q2" si="0">G48+G70+G76+G77+G83</f>
        <v>2315000</v>
      </c>
      <c r="H2" s="37">
        <f t="shared" si="0"/>
        <v>2550000</v>
      </c>
      <c r="I2" s="37">
        <f t="shared" si="0"/>
        <v>2767000</v>
      </c>
      <c r="J2" s="37">
        <f t="shared" si="0"/>
        <v>2315000</v>
      </c>
      <c r="K2" s="37">
        <f t="shared" si="0"/>
        <v>2317000</v>
      </c>
      <c r="L2" s="37">
        <f t="shared" si="0"/>
        <v>2332000</v>
      </c>
      <c r="M2" s="37">
        <f t="shared" si="0"/>
        <v>2315000</v>
      </c>
      <c r="N2" s="37">
        <f t="shared" si="0"/>
        <v>4322000</v>
      </c>
      <c r="O2" s="37">
        <f t="shared" si="0"/>
        <v>2314000</v>
      </c>
      <c r="P2" s="37">
        <f t="shared" si="0"/>
        <v>74000</v>
      </c>
      <c r="Q2" s="37">
        <f t="shared" si="0"/>
        <v>64000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116000</v>
      </c>
      <c r="E13" s="37" t="s">
        <v>525</v>
      </c>
      <c r="F13" s="37">
        <f>ROUND($D13/12,0)</f>
        <v>9667</v>
      </c>
      <c r="G13" s="37">
        <f t="shared" si="1"/>
        <v>9667</v>
      </c>
      <c r="H13" s="37">
        <f t="shared" si="1"/>
        <v>9667</v>
      </c>
      <c r="I13" s="37">
        <f t="shared" si="1"/>
        <v>9667</v>
      </c>
      <c r="J13" s="37">
        <f t="shared" si="1"/>
        <v>9667</v>
      </c>
      <c r="K13" s="37">
        <f t="shared" si="1"/>
        <v>9667</v>
      </c>
      <c r="L13" s="37">
        <f t="shared" si="1"/>
        <v>9667</v>
      </c>
      <c r="M13" s="37">
        <f t="shared" si="1"/>
        <v>9667</v>
      </c>
      <c r="N13" s="37">
        <f t="shared" si="1"/>
        <v>9667</v>
      </c>
      <c r="O13" s="37">
        <f t="shared" si="1"/>
        <v>9667</v>
      </c>
      <c r="P13" s="37">
        <f t="shared" si="1"/>
        <v>9667</v>
      </c>
      <c r="Q13" s="37">
        <f>D13-SUM(F13:P13)</f>
        <v>9663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28000</v>
      </c>
      <c r="E15" s="37" t="s">
        <v>193</v>
      </c>
      <c r="F15" s="37">
        <f>ROUND($D15/2,-3)</f>
        <v>14000</v>
      </c>
      <c r="G15" s="37"/>
      <c r="H15" s="37"/>
      <c r="I15" s="37"/>
      <c r="J15" s="37"/>
      <c r="K15" s="37"/>
      <c r="L15" s="37">
        <f>D15-F15</f>
        <v>14000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48000</v>
      </c>
      <c r="E16" s="37" t="s">
        <v>525</v>
      </c>
      <c r="F16" s="37">
        <f>ROUND($D16/12,0)</f>
        <v>4000</v>
      </c>
      <c r="G16" s="37">
        <f t="shared" si="1"/>
        <v>4000</v>
      </c>
      <c r="H16" s="37">
        <f t="shared" si="1"/>
        <v>4000</v>
      </c>
      <c r="I16" s="37">
        <f t="shared" si="1"/>
        <v>4000</v>
      </c>
      <c r="J16" s="37">
        <f t="shared" si="1"/>
        <v>4000</v>
      </c>
      <c r="K16" s="37">
        <f t="shared" si="1"/>
        <v>4000</v>
      </c>
      <c r="L16" s="37">
        <f t="shared" si="1"/>
        <v>4000</v>
      </c>
      <c r="M16" s="37">
        <f t="shared" si="1"/>
        <v>4000</v>
      </c>
      <c r="N16" s="37">
        <f t="shared" si="1"/>
        <v>4000</v>
      </c>
      <c r="O16" s="37">
        <f t="shared" si="1"/>
        <v>4000</v>
      </c>
      <c r="P16" s="37">
        <f t="shared" si="1"/>
        <v>4000</v>
      </c>
      <c r="Q16" s="37">
        <f>D16-SUM(F16:P16)</f>
        <v>4000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6000</v>
      </c>
      <c r="E24" s="37" t="s">
        <v>193</v>
      </c>
      <c r="F24" s="37">
        <f>ROUND($D24/2,-3)</f>
        <v>3000</v>
      </c>
      <c r="G24" s="37"/>
      <c r="H24" s="37"/>
      <c r="I24" s="37"/>
      <c r="J24" s="37"/>
      <c r="K24" s="37"/>
      <c r="L24" s="37">
        <f>D24-F24</f>
        <v>3000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560000</v>
      </c>
      <c r="E25" s="108"/>
      <c r="F25" s="108">
        <f>ROUND(SUM(F3:F24),-3)</f>
        <v>61000</v>
      </c>
      <c r="G25" s="108">
        <f t="shared" ref="G25:P25" si="5">ROUND(SUM(G3:G24),-3)</f>
        <v>44000</v>
      </c>
      <c r="H25" s="108">
        <f t="shared" si="5"/>
        <v>44000</v>
      </c>
      <c r="I25" s="108">
        <f t="shared" si="5"/>
        <v>44000</v>
      </c>
      <c r="J25" s="108">
        <f t="shared" si="5"/>
        <v>44000</v>
      </c>
      <c r="K25" s="108">
        <f t="shared" si="5"/>
        <v>44000</v>
      </c>
      <c r="L25" s="108">
        <f t="shared" si="5"/>
        <v>61000</v>
      </c>
      <c r="M25" s="108">
        <f t="shared" si="5"/>
        <v>44000</v>
      </c>
      <c r="N25" s="108">
        <f t="shared" si="5"/>
        <v>44000</v>
      </c>
      <c r="O25" s="108">
        <f t="shared" si="5"/>
        <v>44000</v>
      </c>
      <c r="P25" s="108">
        <f t="shared" si="5"/>
        <v>44000</v>
      </c>
      <c r="Q25" s="108">
        <f t="shared" ref="Q25:Q33" si="6">D25-SUM(F25:P25)</f>
        <v>42000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21000</v>
      </c>
      <c r="E30" s="37" t="s">
        <v>525</v>
      </c>
      <c r="F30" s="37">
        <f t="shared" si="8"/>
        <v>1750</v>
      </c>
      <c r="G30" s="37">
        <f t="shared" si="8"/>
        <v>1750</v>
      </c>
      <c r="H30" s="37">
        <f t="shared" si="8"/>
        <v>1750</v>
      </c>
      <c r="I30" s="37">
        <f t="shared" si="8"/>
        <v>1750</v>
      </c>
      <c r="J30" s="37">
        <f t="shared" si="8"/>
        <v>1750</v>
      </c>
      <c r="K30" s="37">
        <f t="shared" si="8"/>
        <v>1750</v>
      </c>
      <c r="L30" s="37">
        <f t="shared" si="8"/>
        <v>1750</v>
      </c>
      <c r="M30" s="37">
        <f t="shared" si="8"/>
        <v>1750</v>
      </c>
      <c r="N30" s="37">
        <f t="shared" si="8"/>
        <v>1750</v>
      </c>
      <c r="O30" s="37">
        <f t="shared" si="8"/>
        <v>1750</v>
      </c>
      <c r="P30" s="37">
        <f t="shared" si="8"/>
        <v>1750</v>
      </c>
      <c r="Q30" s="37">
        <f t="shared" si="6"/>
        <v>1750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10000</v>
      </c>
      <c r="E31" s="37" t="s">
        <v>525</v>
      </c>
      <c r="F31" s="37">
        <f t="shared" si="8"/>
        <v>833</v>
      </c>
      <c r="G31" s="37">
        <f t="shared" si="8"/>
        <v>833</v>
      </c>
      <c r="H31" s="37">
        <f t="shared" si="8"/>
        <v>833</v>
      </c>
      <c r="I31" s="37">
        <f t="shared" si="8"/>
        <v>833</v>
      </c>
      <c r="J31" s="37">
        <f t="shared" si="8"/>
        <v>833</v>
      </c>
      <c r="K31" s="37">
        <f t="shared" si="8"/>
        <v>833</v>
      </c>
      <c r="L31" s="37">
        <f t="shared" si="8"/>
        <v>833</v>
      </c>
      <c r="M31" s="37">
        <f t="shared" si="8"/>
        <v>833</v>
      </c>
      <c r="N31" s="37">
        <f t="shared" si="8"/>
        <v>833</v>
      </c>
      <c r="O31" s="37">
        <f t="shared" si="8"/>
        <v>833</v>
      </c>
      <c r="P31" s="37">
        <f t="shared" si="8"/>
        <v>833</v>
      </c>
      <c r="Q31" s="37">
        <f t="shared" si="6"/>
        <v>837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297000</v>
      </c>
      <c r="E37" s="108"/>
      <c r="F37" s="108">
        <f t="shared" ref="F37:P37" si="9">ROUND(SUM(F26:F36),-3)</f>
        <v>25000</v>
      </c>
      <c r="G37" s="108">
        <f t="shared" si="9"/>
        <v>25000</v>
      </c>
      <c r="H37" s="108">
        <f t="shared" si="9"/>
        <v>25000</v>
      </c>
      <c r="I37" s="108">
        <f t="shared" si="9"/>
        <v>25000</v>
      </c>
      <c r="J37" s="108">
        <f t="shared" si="9"/>
        <v>25000</v>
      </c>
      <c r="K37" s="108">
        <f t="shared" si="9"/>
        <v>25000</v>
      </c>
      <c r="L37" s="108">
        <f t="shared" si="9"/>
        <v>25000</v>
      </c>
      <c r="M37" s="108">
        <f t="shared" si="9"/>
        <v>25000</v>
      </c>
      <c r="N37" s="108">
        <f t="shared" si="9"/>
        <v>25000</v>
      </c>
      <c r="O37" s="108">
        <f t="shared" si="9"/>
        <v>25000</v>
      </c>
      <c r="P37" s="108">
        <f t="shared" si="9"/>
        <v>25000</v>
      </c>
      <c r="Q37" s="108">
        <f>D37-SUM(F37:P37)</f>
        <v>22000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863000</v>
      </c>
      <c r="E48" s="37"/>
      <c r="F48" s="115">
        <f>F25+F37+F45+F47</f>
        <v>88000</v>
      </c>
      <c r="G48" s="115">
        <f t="shared" ref="G48:R48" si="14">G25+G37+G45+G47</f>
        <v>69000</v>
      </c>
      <c r="H48" s="115">
        <f t="shared" si="14"/>
        <v>69000</v>
      </c>
      <c r="I48" s="115">
        <f t="shared" si="14"/>
        <v>69000</v>
      </c>
      <c r="J48" s="115">
        <f t="shared" si="14"/>
        <v>69000</v>
      </c>
      <c r="K48" s="115">
        <f t="shared" si="14"/>
        <v>71000</v>
      </c>
      <c r="L48" s="115">
        <f t="shared" si="14"/>
        <v>86000</v>
      </c>
      <c r="M48" s="115">
        <f t="shared" si="14"/>
        <v>69000</v>
      </c>
      <c r="N48" s="115">
        <f t="shared" si="14"/>
        <v>71000</v>
      </c>
      <c r="O48" s="115">
        <f t="shared" si="14"/>
        <v>69000</v>
      </c>
      <c r="P48" s="115">
        <f t="shared" si="14"/>
        <v>69000</v>
      </c>
      <c r="Q48" s="115">
        <f t="shared" si="14"/>
        <v>64000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15368000</v>
      </c>
      <c r="E49" s="114" t="s">
        <v>202</v>
      </c>
      <c r="F49" s="37">
        <f>ROUND($D49/12*3,-3)</f>
        <v>3842000</v>
      </c>
      <c r="G49" s="37">
        <f>ROUND($D49/12,-3)</f>
        <v>1281000</v>
      </c>
      <c r="H49" s="37">
        <f t="shared" ref="H49:N53" si="15">ROUND($D49/12,-3)</f>
        <v>1281000</v>
      </c>
      <c r="I49" s="37">
        <f t="shared" si="15"/>
        <v>1281000</v>
      </c>
      <c r="J49" s="37">
        <f t="shared" si="15"/>
        <v>1281000</v>
      </c>
      <c r="K49" s="37">
        <f t="shared" si="15"/>
        <v>1281000</v>
      </c>
      <c r="L49" s="37">
        <f t="shared" si="15"/>
        <v>1281000</v>
      </c>
      <c r="M49" s="37">
        <f t="shared" si="15"/>
        <v>1281000</v>
      </c>
      <c r="N49" s="37">
        <f t="shared" si="15"/>
        <v>1281000</v>
      </c>
      <c r="O49" s="37">
        <f>D49-SUM(F49:N49)</f>
        <v>1278000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1349000</v>
      </c>
      <c r="E51" s="114" t="s">
        <v>202</v>
      </c>
      <c r="F51" s="37">
        <f t="shared" si="16"/>
        <v>337000</v>
      </c>
      <c r="G51" s="37">
        <f t="shared" si="17"/>
        <v>112000</v>
      </c>
      <c r="H51" s="37">
        <f t="shared" si="15"/>
        <v>112000</v>
      </c>
      <c r="I51" s="37">
        <f t="shared" si="15"/>
        <v>112000</v>
      </c>
      <c r="J51" s="37">
        <f t="shared" si="15"/>
        <v>112000</v>
      </c>
      <c r="K51" s="37">
        <f t="shared" si="15"/>
        <v>112000</v>
      </c>
      <c r="L51" s="37">
        <f t="shared" si="15"/>
        <v>112000</v>
      </c>
      <c r="M51" s="37">
        <f t="shared" si="15"/>
        <v>112000</v>
      </c>
      <c r="N51" s="37">
        <f t="shared" si="15"/>
        <v>112000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327000</v>
      </c>
      <c r="E60" s="37" t="s">
        <v>195</v>
      </c>
      <c r="F60" s="37">
        <f>D60</f>
        <v>327000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2258000</v>
      </c>
      <c r="E62" s="37" t="s">
        <v>197</v>
      </c>
      <c r="F62" s="37"/>
      <c r="G62" s="37"/>
      <c r="H62" s="37"/>
      <c r="I62" s="37">
        <f>ROUND($D62/5,-3)</f>
        <v>452000</v>
      </c>
      <c r="J62" s="37"/>
      <c r="K62" s="37"/>
      <c r="L62" s="37"/>
      <c r="M62" s="37"/>
      <c r="N62" s="37">
        <f>D62-I62</f>
        <v>1806000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1735000</v>
      </c>
      <c r="E63" s="37" t="s">
        <v>195</v>
      </c>
      <c r="F63" s="37">
        <f>D63</f>
        <v>1735000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1577000</v>
      </c>
      <c r="E64" s="114" t="s">
        <v>202</v>
      </c>
      <c r="F64" s="37">
        <f>ROUND($D64/12*3,-3)</f>
        <v>394000</v>
      </c>
      <c r="G64" s="37">
        <f>ROUND($D64/12,-3)</f>
        <v>131000</v>
      </c>
      <c r="H64" s="37">
        <f t="shared" ref="H64:N66" si="21">ROUND($D64/12,-3)</f>
        <v>131000</v>
      </c>
      <c r="I64" s="37">
        <f t="shared" si="21"/>
        <v>131000</v>
      </c>
      <c r="J64" s="37">
        <f t="shared" si="21"/>
        <v>131000</v>
      </c>
      <c r="K64" s="37">
        <f t="shared" si="21"/>
        <v>131000</v>
      </c>
      <c r="L64" s="37">
        <f t="shared" si="21"/>
        <v>131000</v>
      </c>
      <c r="M64" s="37">
        <f t="shared" si="21"/>
        <v>131000</v>
      </c>
      <c r="N64" s="37">
        <f t="shared" si="21"/>
        <v>131000</v>
      </c>
      <c r="O64" s="37">
        <f>D64-SUM(F64:N64)</f>
        <v>135000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391000</v>
      </c>
      <c r="E65" s="114" t="s">
        <v>202</v>
      </c>
      <c r="F65" s="37">
        <f t="shared" ref="F65:F66" si="22">ROUND($D65/12*3,-3)</f>
        <v>98000</v>
      </c>
      <c r="G65" s="37">
        <f t="shared" ref="G65:G66" si="23">ROUND($D65/12,-3)</f>
        <v>33000</v>
      </c>
      <c r="H65" s="37">
        <f t="shared" si="21"/>
        <v>33000</v>
      </c>
      <c r="I65" s="37">
        <f t="shared" si="21"/>
        <v>33000</v>
      </c>
      <c r="J65" s="37">
        <f t="shared" si="21"/>
        <v>33000</v>
      </c>
      <c r="K65" s="37">
        <f t="shared" si="21"/>
        <v>33000</v>
      </c>
      <c r="L65" s="37">
        <f t="shared" si="21"/>
        <v>33000</v>
      </c>
      <c r="M65" s="37">
        <f t="shared" si="21"/>
        <v>33000</v>
      </c>
      <c r="N65" s="37">
        <f t="shared" si="21"/>
        <v>33000</v>
      </c>
      <c r="O65" s="37">
        <f t="shared" ref="O65:O66" si="24">D65-SUM(F65:N65)</f>
        <v>29000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976000</v>
      </c>
      <c r="E66" s="114" t="s">
        <v>202</v>
      </c>
      <c r="F66" s="37">
        <f t="shared" si="22"/>
        <v>244000</v>
      </c>
      <c r="G66" s="37">
        <f t="shared" si="23"/>
        <v>81000</v>
      </c>
      <c r="H66" s="37">
        <f t="shared" si="21"/>
        <v>81000</v>
      </c>
      <c r="I66" s="37">
        <f t="shared" si="21"/>
        <v>81000</v>
      </c>
      <c r="J66" s="37">
        <f t="shared" si="21"/>
        <v>81000</v>
      </c>
      <c r="K66" s="37">
        <f t="shared" si="21"/>
        <v>81000</v>
      </c>
      <c r="L66" s="37">
        <f t="shared" si="21"/>
        <v>81000</v>
      </c>
      <c r="M66" s="37">
        <f t="shared" si="21"/>
        <v>81000</v>
      </c>
      <c r="N66" s="37">
        <f t="shared" si="21"/>
        <v>81000</v>
      </c>
      <c r="O66" s="37">
        <f t="shared" si="24"/>
        <v>84000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36000</v>
      </c>
      <c r="E67" s="37" t="s">
        <v>196</v>
      </c>
      <c r="F67" s="37"/>
      <c r="G67" s="37"/>
      <c r="H67" s="37">
        <f>D67</f>
        <v>36000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102000</v>
      </c>
      <c r="E68" s="37" t="s">
        <v>195</v>
      </c>
      <c r="F68" s="37">
        <f>D68</f>
        <v>102000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24439000</v>
      </c>
      <c r="E70" s="108"/>
      <c r="F70" s="108">
        <f t="shared" ref="F70:P70" si="25">ROUND(SUM(F49:F69),-3)</f>
        <v>7150000</v>
      </c>
      <c r="G70" s="108">
        <f t="shared" si="25"/>
        <v>1665000</v>
      </c>
      <c r="H70" s="108">
        <f t="shared" si="25"/>
        <v>1701000</v>
      </c>
      <c r="I70" s="108">
        <f t="shared" si="25"/>
        <v>2117000</v>
      </c>
      <c r="J70" s="108">
        <f t="shared" si="25"/>
        <v>1665000</v>
      </c>
      <c r="K70" s="108">
        <f t="shared" si="25"/>
        <v>1665000</v>
      </c>
      <c r="L70" s="108">
        <f t="shared" si="25"/>
        <v>1665000</v>
      </c>
      <c r="M70" s="108">
        <f t="shared" si="25"/>
        <v>1665000</v>
      </c>
      <c r="N70" s="108">
        <f t="shared" si="25"/>
        <v>3471000</v>
      </c>
      <c r="O70" s="108">
        <f t="shared" si="25"/>
        <v>1670000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6847000</v>
      </c>
      <c r="E72" s="114" t="s">
        <v>202</v>
      </c>
      <c r="F72" s="37">
        <f>ROUND($D72/12*3,-3)</f>
        <v>1712000</v>
      </c>
      <c r="G72" s="37">
        <f>ROUND($D72/12,-3)</f>
        <v>571000</v>
      </c>
      <c r="H72" s="37">
        <f t="shared" ref="H72:N75" si="26">ROUND($D72/12,-3)</f>
        <v>571000</v>
      </c>
      <c r="I72" s="37">
        <f t="shared" si="26"/>
        <v>571000</v>
      </c>
      <c r="J72" s="37">
        <f t="shared" si="26"/>
        <v>571000</v>
      </c>
      <c r="K72" s="37">
        <f t="shared" si="26"/>
        <v>571000</v>
      </c>
      <c r="L72" s="37">
        <f t="shared" si="26"/>
        <v>571000</v>
      </c>
      <c r="M72" s="37">
        <f t="shared" si="26"/>
        <v>571000</v>
      </c>
      <c r="N72" s="37">
        <f t="shared" si="26"/>
        <v>571000</v>
      </c>
      <c r="O72" s="37">
        <f>D72-SUM(F72:N72)</f>
        <v>567000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118000</v>
      </c>
      <c r="E75" s="114" t="s">
        <v>202</v>
      </c>
      <c r="F75" s="37">
        <f>ROUND($D75/12*3,-3)</f>
        <v>30000</v>
      </c>
      <c r="G75" s="37">
        <f>ROUND($D75/12,-3)</f>
        <v>10000</v>
      </c>
      <c r="H75" s="37">
        <f t="shared" si="26"/>
        <v>10000</v>
      </c>
      <c r="I75" s="37">
        <f t="shared" si="26"/>
        <v>10000</v>
      </c>
      <c r="J75" s="37">
        <f t="shared" si="26"/>
        <v>10000</v>
      </c>
      <c r="K75" s="37">
        <f t="shared" si="26"/>
        <v>10000</v>
      </c>
      <c r="L75" s="37">
        <f t="shared" si="26"/>
        <v>10000</v>
      </c>
      <c r="M75" s="37">
        <f t="shared" si="26"/>
        <v>10000</v>
      </c>
      <c r="N75" s="37">
        <f t="shared" si="26"/>
        <v>10000</v>
      </c>
      <c r="O75" s="37">
        <f>D75-SUM(F75:N75)</f>
        <v>8000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6965000</v>
      </c>
      <c r="E76" s="108"/>
      <c r="F76" s="108">
        <f>ROUND(SUM(F71:F75),-3)</f>
        <v>1742000</v>
      </c>
      <c r="G76" s="108">
        <f t="shared" ref="G76:N76" si="27">ROUND(SUM(G71:G75),-3)</f>
        <v>581000</v>
      </c>
      <c r="H76" s="108">
        <f t="shared" si="27"/>
        <v>581000</v>
      </c>
      <c r="I76" s="108">
        <f t="shared" si="27"/>
        <v>581000</v>
      </c>
      <c r="J76" s="108">
        <f t="shared" si="27"/>
        <v>581000</v>
      </c>
      <c r="K76" s="108">
        <f t="shared" si="27"/>
        <v>581000</v>
      </c>
      <c r="L76" s="108">
        <f t="shared" si="27"/>
        <v>581000</v>
      </c>
      <c r="M76" s="108">
        <f t="shared" si="27"/>
        <v>581000</v>
      </c>
      <c r="N76" s="108">
        <f t="shared" si="27"/>
        <v>581000</v>
      </c>
      <c r="O76" s="108">
        <f>D76-SUM(F76:N76)</f>
        <v>575000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398000</v>
      </c>
      <c r="E77" s="37" t="s">
        <v>681</v>
      </c>
      <c r="F77" s="224"/>
      <c r="G77" s="224"/>
      <c r="H77" s="224">
        <f>ROUND($D77/2,-3)</f>
        <v>199000</v>
      </c>
      <c r="I77" s="224"/>
      <c r="J77" s="224"/>
      <c r="K77" s="224"/>
      <c r="L77" s="224"/>
      <c r="M77" s="224"/>
      <c r="N77" s="224">
        <f>D77-H77</f>
        <v>199000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31802000</v>
      </c>
      <c r="E78" s="227"/>
      <c r="F78" s="227">
        <f>F76+F70+F77</f>
        <v>8892000</v>
      </c>
      <c r="G78" s="227">
        <f t="shared" ref="G78:Q78" si="29">G76+G70+G77</f>
        <v>2246000</v>
      </c>
      <c r="H78" s="227">
        <f t="shared" si="29"/>
        <v>2481000</v>
      </c>
      <c r="I78" s="227">
        <f t="shared" si="29"/>
        <v>2698000</v>
      </c>
      <c r="J78" s="227">
        <f t="shared" si="29"/>
        <v>2246000</v>
      </c>
      <c r="K78" s="227">
        <f t="shared" si="29"/>
        <v>2246000</v>
      </c>
      <c r="L78" s="227">
        <f t="shared" si="29"/>
        <v>2246000</v>
      </c>
      <c r="M78" s="227">
        <f t="shared" si="29"/>
        <v>2246000</v>
      </c>
      <c r="N78" s="227">
        <f t="shared" si="29"/>
        <v>4251000</v>
      </c>
      <c r="O78" s="227">
        <f t="shared" si="29"/>
        <v>2245000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32665000</v>
      </c>
      <c r="E87" s="37"/>
      <c r="F87" s="37">
        <f>F88+F89+F90+F91</f>
        <v>8980000</v>
      </c>
      <c r="G87" s="37">
        <f t="shared" ref="G87:Q87" si="32">G88+G89+G90+G91</f>
        <v>2315000</v>
      </c>
      <c r="H87" s="37">
        <f t="shared" si="32"/>
        <v>2550000</v>
      </c>
      <c r="I87" s="37">
        <f t="shared" si="32"/>
        <v>2767000</v>
      </c>
      <c r="J87" s="37">
        <f t="shared" si="32"/>
        <v>2315000</v>
      </c>
      <c r="K87" s="37">
        <f t="shared" si="32"/>
        <v>2317000</v>
      </c>
      <c r="L87" s="37">
        <f t="shared" si="32"/>
        <v>2332000</v>
      </c>
      <c r="M87" s="37">
        <f t="shared" si="32"/>
        <v>2315000</v>
      </c>
      <c r="N87" s="37">
        <f t="shared" si="32"/>
        <v>4322000</v>
      </c>
      <c r="O87" s="37">
        <f t="shared" si="32"/>
        <v>2314000</v>
      </c>
      <c r="P87" s="37">
        <f t="shared" si="32"/>
        <v>74000</v>
      </c>
      <c r="Q87" s="37">
        <f t="shared" si="32"/>
        <v>64000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6000</v>
      </c>
      <c r="E88" s="108" t="s">
        <v>193</v>
      </c>
      <c r="F88" s="108">
        <f>ROUND($D88/2,-3)</f>
        <v>3000</v>
      </c>
      <c r="G88" s="108"/>
      <c r="H88" s="108"/>
      <c r="I88" s="108"/>
      <c r="J88" s="108"/>
      <c r="K88" s="108"/>
      <c r="L88" s="108">
        <f>D88-F88</f>
        <v>3000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3000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1000</v>
      </c>
      <c r="M90" s="108"/>
      <c r="N90" s="108"/>
      <c r="O90" s="108"/>
      <c r="P90" s="108"/>
      <c r="Q90" s="108">
        <f>ROUND($D90/2,-3)</f>
        <v>2000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32656000</v>
      </c>
      <c r="E91" s="108"/>
      <c r="F91" s="108">
        <f>F92+F93+F94+F95</f>
        <v>8977000</v>
      </c>
      <c r="G91" s="108">
        <f t="shared" ref="G91:Q91" si="34">G92+G93+G94+G95</f>
        <v>2315000</v>
      </c>
      <c r="H91" s="108">
        <f t="shared" si="34"/>
        <v>2550000</v>
      </c>
      <c r="I91" s="108">
        <f t="shared" si="34"/>
        <v>2767000</v>
      </c>
      <c r="J91" s="108">
        <f t="shared" si="34"/>
        <v>2315000</v>
      </c>
      <c r="K91" s="108">
        <f t="shared" si="34"/>
        <v>2317000</v>
      </c>
      <c r="L91" s="108">
        <f t="shared" si="34"/>
        <v>2328000</v>
      </c>
      <c r="M91" s="108">
        <f t="shared" si="34"/>
        <v>2315000</v>
      </c>
      <c r="N91" s="108">
        <f t="shared" si="34"/>
        <v>4322000</v>
      </c>
      <c r="O91" s="108">
        <f t="shared" si="34"/>
        <v>2314000</v>
      </c>
      <c r="P91" s="108">
        <f t="shared" si="34"/>
        <v>74000</v>
      </c>
      <c r="Q91" s="108">
        <f t="shared" si="34"/>
        <v>62000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2315000</v>
      </c>
      <c r="E92" s="114" t="s">
        <v>537</v>
      </c>
      <c r="F92" s="37">
        <f>ROUND($D92/12*5,-3)</f>
        <v>965000</v>
      </c>
      <c r="G92" s="37">
        <f>ROUND($D92/12,-3)</f>
        <v>193000</v>
      </c>
      <c r="H92" s="37">
        <f t="shared" ref="H92:L92" si="35">ROUND($D92/12,-3)</f>
        <v>193000</v>
      </c>
      <c r="I92" s="37">
        <f t="shared" si="35"/>
        <v>193000</v>
      </c>
      <c r="J92" s="37">
        <f t="shared" si="35"/>
        <v>193000</v>
      </c>
      <c r="K92" s="37">
        <f t="shared" si="35"/>
        <v>193000</v>
      </c>
      <c r="L92" s="37">
        <f t="shared" si="35"/>
        <v>193000</v>
      </c>
      <c r="M92" s="37">
        <f>D92-SUM(F92:L92)</f>
        <v>192000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14000</v>
      </c>
      <c r="E94" s="190" t="s">
        <v>229</v>
      </c>
      <c r="F94" s="37"/>
      <c r="G94" s="37"/>
      <c r="H94" s="37">
        <f>ROUND($D94/2,-3)</f>
        <v>7000</v>
      </c>
      <c r="I94" s="37"/>
      <c r="J94" s="37"/>
      <c r="K94" s="37"/>
      <c r="L94" s="37"/>
      <c r="M94" s="37"/>
      <c r="N94" s="37"/>
      <c r="O94" s="37">
        <f>D94-H94</f>
        <v>7000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30237000</v>
      </c>
      <c r="E95" s="37"/>
      <c r="F95" s="37">
        <f>F2+F86-F88-F89-F90-F92-F93-F94</f>
        <v>8004000</v>
      </c>
      <c r="G95" s="37">
        <f t="shared" ref="G95:Q95" si="37">G2-G88-G89-G90-G92-G93-G94</f>
        <v>2114000</v>
      </c>
      <c r="H95" s="37">
        <f t="shared" si="37"/>
        <v>2342000</v>
      </c>
      <c r="I95" s="37">
        <f t="shared" si="37"/>
        <v>2566000</v>
      </c>
      <c r="J95" s="37">
        <f t="shared" si="37"/>
        <v>2114000</v>
      </c>
      <c r="K95" s="37">
        <f t="shared" si="37"/>
        <v>2116000</v>
      </c>
      <c r="L95" s="37">
        <f t="shared" si="37"/>
        <v>2127000</v>
      </c>
      <c r="M95" s="37">
        <f t="shared" si="37"/>
        <v>2115000</v>
      </c>
      <c r="N95" s="37">
        <f t="shared" si="37"/>
        <v>4314000</v>
      </c>
      <c r="O95" s="37">
        <f t="shared" si="37"/>
        <v>2299000</v>
      </c>
      <c r="P95" s="37">
        <f t="shared" si="37"/>
        <v>66000</v>
      </c>
      <c r="Q95" s="37">
        <f t="shared" si="37"/>
        <v>60000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1300000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0</v>
      </c>
    </row>
    <row r="104" spans="2:17" ht="32.4">
      <c r="B104" s="76" t="s">
        <v>240</v>
      </c>
      <c r="D104" s="30">
        <f>HLOOKUP(D1,[1]縣庫撥款收入明細表!H:DD,18,FALSE)</f>
        <v>14000</v>
      </c>
    </row>
    <row r="105" spans="2:17" ht="32.4">
      <c r="B105" s="72" t="s">
        <v>380</v>
      </c>
      <c r="D105" s="30">
        <f>HLOOKUP(D1,[1]縣庫撥款收入明細表!H:DD,19,FALSE)</f>
        <v>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30237000</v>
      </c>
    </row>
    <row r="108" spans="2:17" ht="16.5" customHeight="1"/>
    <row r="109" spans="2:17" ht="16.5" customHeight="1">
      <c r="B109" s="4" t="s">
        <v>682</v>
      </c>
      <c r="D109" s="30">
        <f>D91-D76</f>
        <v>25691000</v>
      </c>
      <c r="F109" s="30">
        <f>F91-F76</f>
        <v>7235000</v>
      </c>
      <c r="G109" s="30">
        <f t="shared" ref="G109:Q109" si="38">G91-G76</f>
        <v>1734000</v>
      </c>
      <c r="H109" s="30">
        <f t="shared" si="38"/>
        <v>1969000</v>
      </c>
      <c r="I109" s="30">
        <f t="shared" si="38"/>
        <v>2186000</v>
      </c>
      <c r="J109" s="30">
        <f t="shared" si="38"/>
        <v>1734000</v>
      </c>
      <c r="K109" s="30">
        <f t="shared" si="38"/>
        <v>1736000</v>
      </c>
      <c r="L109" s="30">
        <f t="shared" si="38"/>
        <v>1747000</v>
      </c>
      <c r="M109" s="30">
        <f t="shared" si="38"/>
        <v>1734000</v>
      </c>
      <c r="N109" s="30">
        <f t="shared" si="38"/>
        <v>3741000</v>
      </c>
      <c r="O109" s="30">
        <f t="shared" si="38"/>
        <v>1739000</v>
      </c>
      <c r="P109" s="30">
        <f t="shared" si="38"/>
        <v>74000</v>
      </c>
      <c r="Q109" s="30">
        <f t="shared" si="38"/>
        <v>62000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46" priority="1" operator="lessThan">
      <formula>0</formula>
    </cfRule>
  </conditionalFormatting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685</v>
      </c>
      <c r="D1" s="28" t="str">
        <f>VLOOKUP(C1,[1]學校編號!A:B,2,FALSE)</f>
        <v>685崇德國小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24763000</v>
      </c>
      <c r="E2" s="37"/>
      <c r="F2" s="37">
        <f>F48+F70+F76+F77+F83</f>
        <v>7360000</v>
      </c>
      <c r="G2" s="37">
        <f t="shared" ref="G2:Q2" si="0">G48+G70+G76+G77+G83</f>
        <v>1725000</v>
      </c>
      <c r="H2" s="37">
        <f t="shared" si="0"/>
        <v>1870000</v>
      </c>
      <c r="I2" s="37">
        <f t="shared" si="0"/>
        <v>2002000</v>
      </c>
      <c r="J2" s="37">
        <f t="shared" si="0"/>
        <v>1725000</v>
      </c>
      <c r="K2" s="37">
        <f t="shared" si="0"/>
        <v>1725000</v>
      </c>
      <c r="L2" s="37">
        <f t="shared" si="0"/>
        <v>1839000</v>
      </c>
      <c r="M2" s="37">
        <f t="shared" si="0"/>
        <v>1725000</v>
      </c>
      <c r="N2" s="37">
        <f t="shared" si="0"/>
        <v>2943000</v>
      </c>
      <c r="O2" s="37">
        <f t="shared" si="0"/>
        <v>1723000</v>
      </c>
      <c r="P2" s="37">
        <f t="shared" si="0"/>
        <v>69000</v>
      </c>
      <c r="Q2" s="37">
        <f t="shared" si="0"/>
        <v>57000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92000</v>
      </c>
      <c r="E13" s="37" t="s">
        <v>525</v>
      </c>
      <c r="F13" s="37">
        <f>ROUND($D13/12,0)</f>
        <v>7667</v>
      </c>
      <c r="G13" s="37">
        <f t="shared" si="1"/>
        <v>7667</v>
      </c>
      <c r="H13" s="37">
        <f t="shared" si="1"/>
        <v>7667</v>
      </c>
      <c r="I13" s="37">
        <f t="shared" si="1"/>
        <v>7667</v>
      </c>
      <c r="J13" s="37">
        <f t="shared" si="1"/>
        <v>7667</v>
      </c>
      <c r="K13" s="37">
        <f t="shared" si="1"/>
        <v>7667</v>
      </c>
      <c r="L13" s="37">
        <f t="shared" si="1"/>
        <v>7667</v>
      </c>
      <c r="M13" s="37">
        <f t="shared" si="1"/>
        <v>7667</v>
      </c>
      <c r="N13" s="37">
        <f t="shared" si="1"/>
        <v>7667</v>
      </c>
      <c r="O13" s="37">
        <f t="shared" si="1"/>
        <v>7667</v>
      </c>
      <c r="P13" s="37">
        <f t="shared" si="1"/>
        <v>7667</v>
      </c>
      <c r="Q13" s="37">
        <f>D13-SUM(F13:P13)</f>
        <v>7663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34000</v>
      </c>
      <c r="E15" s="37" t="s">
        <v>193</v>
      </c>
      <c r="F15" s="37">
        <f>ROUND($D15/2,-3)</f>
        <v>17000</v>
      </c>
      <c r="G15" s="37"/>
      <c r="H15" s="37"/>
      <c r="I15" s="37"/>
      <c r="J15" s="37"/>
      <c r="K15" s="37"/>
      <c r="L15" s="37">
        <f>D15-F15</f>
        <v>17000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72000</v>
      </c>
      <c r="E16" s="37" t="s">
        <v>525</v>
      </c>
      <c r="F16" s="37">
        <f>ROUND($D16/12,0)</f>
        <v>6000</v>
      </c>
      <c r="G16" s="37">
        <f t="shared" si="1"/>
        <v>6000</v>
      </c>
      <c r="H16" s="37">
        <f t="shared" si="1"/>
        <v>6000</v>
      </c>
      <c r="I16" s="37">
        <f t="shared" si="1"/>
        <v>6000</v>
      </c>
      <c r="J16" s="37">
        <f t="shared" si="1"/>
        <v>6000</v>
      </c>
      <c r="K16" s="37">
        <f t="shared" si="1"/>
        <v>6000</v>
      </c>
      <c r="L16" s="37">
        <f t="shared" si="1"/>
        <v>6000</v>
      </c>
      <c r="M16" s="37">
        <f t="shared" si="1"/>
        <v>6000</v>
      </c>
      <c r="N16" s="37">
        <f t="shared" si="1"/>
        <v>6000</v>
      </c>
      <c r="O16" s="37">
        <f t="shared" si="1"/>
        <v>6000</v>
      </c>
      <c r="P16" s="37">
        <f t="shared" si="1"/>
        <v>6000</v>
      </c>
      <c r="Q16" s="37">
        <f>D16-SUM(F16:P16)</f>
        <v>6000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180000</v>
      </c>
      <c r="E24" s="37" t="s">
        <v>193</v>
      </c>
      <c r="F24" s="37">
        <f>ROUND($D24/2,-3)</f>
        <v>90000</v>
      </c>
      <c r="G24" s="37"/>
      <c r="H24" s="37"/>
      <c r="I24" s="37"/>
      <c r="J24" s="37"/>
      <c r="K24" s="37"/>
      <c r="L24" s="37">
        <f>D24-F24</f>
        <v>90000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680000</v>
      </c>
      <c r="E25" s="108"/>
      <c r="F25" s="108">
        <f>ROUND(SUM(F3:F24),-3)</f>
        <v>146000</v>
      </c>
      <c r="G25" s="108">
        <f t="shared" ref="G25:P25" si="5">ROUND(SUM(G3:G24),-3)</f>
        <v>39000</v>
      </c>
      <c r="H25" s="108">
        <f t="shared" si="5"/>
        <v>39000</v>
      </c>
      <c r="I25" s="108">
        <f t="shared" si="5"/>
        <v>39000</v>
      </c>
      <c r="J25" s="108">
        <f t="shared" si="5"/>
        <v>39000</v>
      </c>
      <c r="K25" s="108">
        <f t="shared" si="5"/>
        <v>39000</v>
      </c>
      <c r="L25" s="108">
        <f t="shared" si="5"/>
        <v>146000</v>
      </c>
      <c r="M25" s="108">
        <f t="shared" si="5"/>
        <v>39000</v>
      </c>
      <c r="N25" s="108">
        <f t="shared" si="5"/>
        <v>39000</v>
      </c>
      <c r="O25" s="108">
        <f t="shared" si="5"/>
        <v>39000</v>
      </c>
      <c r="P25" s="108">
        <f t="shared" si="5"/>
        <v>39000</v>
      </c>
      <c r="Q25" s="108">
        <f t="shared" ref="Q25:Q33" si="6">D25-SUM(F25:P25)</f>
        <v>37000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19000</v>
      </c>
      <c r="E30" s="37" t="s">
        <v>525</v>
      </c>
      <c r="F30" s="37">
        <f t="shared" si="8"/>
        <v>1583</v>
      </c>
      <c r="G30" s="37">
        <f t="shared" si="8"/>
        <v>1583</v>
      </c>
      <c r="H30" s="37">
        <f t="shared" si="8"/>
        <v>1583</v>
      </c>
      <c r="I30" s="37">
        <f t="shared" si="8"/>
        <v>1583</v>
      </c>
      <c r="J30" s="37">
        <f t="shared" si="8"/>
        <v>1583</v>
      </c>
      <c r="K30" s="37">
        <f t="shared" si="8"/>
        <v>1583</v>
      </c>
      <c r="L30" s="37">
        <f t="shared" si="8"/>
        <v>1583</v>
      </c>
      <c r="M30" s="37">
        <f t="shared" si="8"/>
        <v>1583</v>
      </c>
      <c r="N30" s="37">
        <f t="shared" si="8"/>
        <v>1583</v>
      </c>
      <c r="O30" s="37">
        <f t="shared" si="8"/>
        <v>1583</v>
      </c>
      <c r="P30" s="37">
        <f t="shared" si="8"/>
        <v>1583</v>
      </c>
      <c r="Q30" s="37">
        <f t="shared" si="6"/>
        <v>1587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10000</v>
      </c>
      <c r="E31" s="37" t="s">
        <v>525</v>
      </c>
      <c r="F31" s="37">
        <f t="shared" si="8"/>
        <v>833</v>
      </c>
      <c r="G31" s="37">
        <f t="shared" si="8"/>
        <v>833</v>
      </c>
      <c r="H31" s="37">
        <f t="shared" si="8"/>
        <v>833</v>
      </c>
      <c r="I31" s="37">
        <f t="shared" si="8"/>
        <v>833</v>
      </c>
      <c r="J31" s="37">
        <f t="shared" si="8"/>
        <v>833</v>
      </c>
      <c r="K31" s="37">
        <f t="shared" si="8"/>
        <v>833</v>
      </c>
      <c r="L31" s="37">
        <f t="shared" si="8"/>
        <v>833</v>
      </c>
      <c r="M31" s="37">
        <f t="shared" si="8"/>
        <v>833</v>
      </c>
      <c r="N31" s="37">
        <f t="shared" si="8"/>
        <v>833</v>
      </c>
      <c r="O31" s="37">
        <f t="shared" si="8"/>
        <v>833</v>
      </c>
      <c r="P31" s="37">
        <f t="shared" si="8"/>
        <v>833</v>
      </c>
      <c r="Q31" s="37">
        <f t="shared" si="6"/>
        <v>837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15000</v>
      </c>
      <c r="E36" s="37" t="s">
        <v>193</v>
      </c>
      <c r="F36" s="37">
        <f>ROUND($D36/2,-3)</f>
        <v>8000</v>
      </c>
      <c r="G36" s="37"/>
      <c r="H36" s="37"/>
      <c r="I36" s="37"/>
      <c r="J36" s="37"/>
      <c r="K36" s="37"/>
      <c r="L36" s="37">
        <f>D36-F36</f>
        <v>7000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310000</v>
      </c>
      <c r="E37" s="108"/>
      <c r="F37" s="108">
        <f t="shared" ref="F37:P37" si="9">ROUND(SUM(F26:F36),-3)</f>
        <v>33000</v>
      </c>
      <c r="G37" s="108">
        <f t="shared" si="9"/>
        <v>25000</v>
      </c>
      <c r="H37" s="108">
        <f t="shared" si="9"/>
        <v>25000</v>
      </c>
      <c r="I37" s="108">
        <f t="shared" si="9"/>
        <v>25000</v>
      </c>
      <c r="J37" s="108">
        <f t="shared" si="9"/>
        <v>25000</v>
      </c>
      <c r="K37" s="108">
        <f t="shared" si="9"/>
        <v>25000</v>
      </c>
      <c r="L37" s="108">
        <f t="shared" si="9"/>
        <v>32000</v>
      </c>
      <c r="M37" s="108">
        <f t="shared" si="9"/>
        <v>25000</v>
      </c>
      <c r="N37" s="108">
        <f t="shared" si="9"/>
        <v>25000</v>
      </c>
      <c r="O37" s="108">
        <f t="shared" si="9"/>
        <v>25000</v>
      </c>
      <c r="P37" s="108">
        <f t="shared" si="9"/>
        <v>25000</v>
      </c>
      <c r="Q37" s="108">
        <f>D37-SUM(F37:P37)</f>
        <v>20000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990000</v>
      </c>
      <c r="E48" s="37"/>
      <c r="F48" s="115">
        <f>F25+F37+F45+F47</f>
        <v>179000</v>
      </c>
      <c r="G48" s="115">
        <f t="shared" ref="G48:R48" si="14">G25+G37+G45+G47</f>
        <v>64000</v>
      </c>
      <c r="H48" s="115">
        <f t="shared" si="14"/>
        <v>64000</v>
      </c>
      <c r="I48" s="115">
        <f t="shared" si="14"/>
        <v>64000</v>
      </c>
      <c r="J48" s="115">
        <f t="shared" si="14"/>
        <v>64000</v>
      </c>
      <c r="K48" s="115">
        <f t="shared" si="14"/>
        <v>64000</v>
      </c>
      <c r="L48" s="115">
        <f t="shared" si="14"/>
        <v>178000</v>
      </c>
      <c r="M48" s="115">
        <f t="shared" si="14"/>
        <v>64000</v>
      </c>
      <c r="N48" s="115">
        <f t="shared" si="14"/>
        <v>64000</v>
      </c>
      <c r="O48" s="115">
        <f t="shared" si="14"/>
        <v>64000</v>
      </c>
      <c r="P48" s="115">
        <f t="shared" si="14"/>
        <v>64000</v>
      </c>
      <c r="Q48" s="115">
        <f t="shared" si="14"/>
        <v>57000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14096000</v>
      </c>
      <c r="E49" s="114" t="s">
        <v>202</v>
      </c>
      <c r="F49" s="37">
        <f>ROUND($D49/12*3,-3)</f>
        <v>3524000</v>
      </c>
      <c r="G49" s="37">
        <f>ROUND($D49/12,-3)</f>
        <v>1175000</v>
      </c>
      <c r="H49" s="37">
        <f t="shared" ref="H49:N53" si="15">ROUND($D49/12,-3)</f>
        <v>1175000</v>
      </c>
      <c r="I49" s="37">
        <f t="shared" si="15"/>
        <v>1175000</v>
      </c>
      <c r="J49" s="37">
        <f t="shared" si="15"/>
        <v>1175000</v>
      </c>
      <c r="K49" s="37">
        <f t="shared" si="15"/>
        <v>1175000</v>
      </c>
      <c r="L49" s="37">
        <f t="shared" si="15"/>
        <v>1175000</v>
      </c>
      <c r="M49" s="37">
        <f t="shared" si="15"/>
        <v>1175000</v>
      </c>
      <c r="N49" s="37">
        <f t="shared" si="15"/>
        <v>1175000</v>
      </c>
      <c r="O49" s="37">
        <f>D49-SUM(F49:N49)</f>
        <v>1172000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456000</v>
      </c>
      <c r="E50" s="114" t="s">
        <v>202</v>
      </c>
      <c r="F50" s="37">
        <f t="shared" ref="F50:F53" si="16">ROUND($D50/12*3,-3)</f>
        <v>114000</v>
      </c>
      <c r="G50" s="37">
        <f t="shared" ref="G50:G53" si="17">ROUND($D50/12,-3)</f>
        <v>38000</v>
      </c>
      <c r="H50" s="37">
        <f t="shared" si="15"/>
        <v>38000</v>
      </c>
      <c r="I50" s="37">
        <f t="shared" si="15"/>
        <v>38000</v>
      </c>
      <c r="J50" s="37">
        <f t="shared" si="15"/>
        <v>38000</v>
      </c>
      <c r="K50" s="37">
        <f t="shared" si="15"/>
        <v>38000</v>
      </c>
      <c r="L50" s="37">
        <f t="shared" si="15"/>
        <v>38000</v>
      </c>
      <c r="M50" s="37">
        <f t="shared" si="15"/>
        <v>38000</v>
      </c>
      <c r="N50" s="37">
        <f t="shared" si="15"/>
        <v>38000</v>
      </c>
      <c r="O50" s="37">
        <f t="shared" ref="O50:O53" si="18">D50-SUM(F50:N50)</f>
        <v>38000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1349000</v>
      </c>
      <c r="E51" s="114" t="s">
        <v>202</v>
      </c>
      <c r="F51" s="37">
        <f t="shared" si="16"/>
        <v>337000</v>
      </c>
      <c r="G51" s="37">
        <f t="shared" si="17"/>
        <v>112000</v>
      </c>
      <c r="H51" s="37">
        <f t="shared" si="15"/>
        <v>112000</v>
      </c>
      <c r="I51" s="37">
        <f t="shared" si="15"/>
        <v>112000</v>
      </c>
      <c r="J51" s="37">
        <f t="shared" si="15"/>
        <v>112000</v>
      </c>
      <c r="K51" s="37">
        <f t="shared" si="15"/>
        <v>112000</v>
      </c>
      <c r="L51" s="37">
        <f t="shared" si="15"/>
        <v>112000</v>
      </c>
      <c r="M51" s="37">
        <f t="shared" si="15"/>
        <v>112000</v>
      </c>
      <c r="N51" s="37">
        <f t="shared" si="15"/>
        <v>112000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375000</v>
      </c>
      <c r="E60" s="37" t="s">
        <v>195</v>
      </c>
      <c r="F60" s="37">
        <f>D60</f>
        <v>375000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1386000</v>
      </c>
      <c r="E62" s="37" t="s">
        <v>197</v>
      </c>
      <c r="F62" s="37"/>
      <c r="G62" s="37"/>
      <c r="H62" s="37"/>
      <c r="I62" s="37">
        <f>ROUND($D62/5,-3)</f>
        <v>277000</v>
      </c>
      <c r="J62" s="37"/>
      <c r="K62" s="37"/>
      <c r="L62" s="37"/>
      <c r="M62" s="37"/>
      <c r="N62" s="37">
        <f>D62-I62</f>
        <v>1109000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1668000</v>
      </c>
      <c r="E63" s="37" t="s">
        <v>195</v>
      </c>
      <c r="F63" s="37">
        <f>D63</f>
        <v>1668000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1368000</v>
      </c>
      <c r="E64" s="114" t="s">
        <v>202</v>
      </c>
      <c r="F64" s="37">
        <f>ROUND($D64/12*3,-3)</f>
        <v>342000</v>
      </c>
      <c r="G64" s="37">
        <f>ROUND($D64/12,-3)</f>
        <v>114000</v>
      </c>
      <c r="H64" s="37">
        <f t="shared" ref="H64:N66" si="21">ROUND($D64/12,-3)</f>
        <v>114000</v>
      </c>
      <c r="I64" s="37">
        <f t="shared" si="21"/>
        <v>114000</v>
      </c>
      <c r="J64" s="37">
        <f t="shared" si="21"/>
        <v>114000</v>
      </c>
      <c r="K64" s="37">
        <f t="shared" si="21"/>
        <v>114000</v>
      </c>
      <c r="L64" s="37">
        <f t="shared" si="21"/>
        <v>114000</v>
      </c>
      <c r="M64" s="37">
        <f t="shared" si="21"/>
        <v>114000</v>
      </c>
      <c r="N64" s="37">
        <f t="shared" si="21"/>
        <v>114000</v>
      </c>
      <c r="O64" s="37">
        <f>D64-SUM(F64:N64)</f>
        <v>114000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307000</v>
      </c>
      <c r="E65" s="114" t="s">
        <v>202</v>
      </c>
      <c r="F65" s="37">
        <f t="shared" ref="F65:F66" si="22">ROUND($D65/12*3,-3)</f>
        <v>77000</v>
      </c>
      <c r="G65" s="37">
        <f t="shared" ref="G65:G66" si="23">ROUND($D65/12,-3)</f>
        <v>26000</v>
      </c>
      <c r="H65" s="37">
        <f t="shared" si="21"/>
        <v>26000</v>
      </c>
      <c r="I65" s="37">
        <f t="shared" si="21"/>
        <v>26000</v>
      </c>
      <c r="J65" s="37">
        <f t="shared" si="21"/>
        <v>26000</v>
      </c>
      <c r="K65" s="37">
        <f t="shared" si="21"/>
        <v>26000</v>
      </c>
      <c r="L65" s="37">
        <f t="shared" si="21"/>
        <v>26000</v>
      </c>
      <c r="M65" s="37">
        <f t="shared" si="21"/>
        <v>26000</v>
      </c>
      <c r="N65" s="37">
        <f t="shared" si="21"/>
        <v>26000</v>
      </c>
      <c r="O65" s="37">
        <f t="shared" ref="O65:O66" si="24">D65-SUM(F65:N65)</f>
        <v>22000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1106000</v>
      </c>
      <c r="E66" s="114" t="s">
        <v>202</v>
      </c>
      <c r="F66" s="37">
        <f t="shared" si="22"/>
        <v>277000</v>
      </c>
      <c r="G66" s="37">
        <f t="shared" si="23"/>
        <v>92000</v>
      </c>
      <c r="H66" s="37">
        <f t="shared" si="21"/>
        <v>92000</v>
      </c>
      <c r="I66" s="37">
        <f t="shared" si="21"/>
        <v>92000</v>
      </c>
      <c r="J66" s="37">
        <f t="shared" si="21"/>
        <v>92000</v>
      </c>
      <c r="K66" s="37">
        <f t="shared" si="21"/>
        <v>92000</v>
      </c>
      <c r="L66" s="37">
        <f t="shared" si="21"/>
        <v>92000</v>
      </c>
      <c r="M66" s="37">
        <f t="shared" si="21"/>
        <v>92000</v>
      </c>
      <c r="N66" s="37">
        <f t="shared" si="21"/>
        <v>92000</v>
      </c>
      <c r="O66" s="37">
        <f t="shared" si="24"/>
        <v>93000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36000</v>
      </c>
      <c r="E67" s="37" t="s">
        <v>196</v>
      </c>
      <c r="F67" s="37"/>
      <c r="G67" s="37"/>
      <c r="H67" s="37">
        <f>D67</f>
        <v>36000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144000</v>
      </c>
      <c r="E68" s="37" t="s">
        <v>195</v>
      </c>
      <c r="F68" s="37">
        <f>D68</f>
        <v>144000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22611000</v>
      </c>
      <c r="E70" s="108"/>
      <c r="F70" s="108">
        <f t="shared" ref="F70:P70" si="25">ROUND(SUM(F49:F69),-3)</f>
        <v>6929000</v>
      </c>
      <c r="G70" s="108">
        <f t="shared" si="25"/>
        <v>1584000</v>
      </c>
      <c r="H70" s="108">
        <f t="shared" si="25"/>
        <v>1620000</v>
      </c>
      <c r="I70" s="108">
        <f t="shared" si="25"/>
        <v>1861000</v>
      </c>
      <c r="J70" s="108">
        <f t="shared" si="25"/>
        <v>1584000</v>
      </c>
      <c r="K70" s="108">
        <f t="shared" si="25"/>
        <v>1584000</v>
      </c>
      <c r="L70" s="108">
        <f t="shared" si="25"/>
        <v>1584000</v>
      </c>
      <c r="M70" s="108">
        <f t="shared" si="25"/>
        <v>1584000</v>
      </c>
      <c r="N70" s="108">
        <f t="shared" si="25"/>
        <v>2693000</v>
      </c>
      <c r="O70" s="108">
        <f t="shared" si="25"/>
        <v>1583000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470000</v>
      </c>
      <c r="E72" s="114" t="s">
        <v>202</v>
      </c>
      <c r="F72" s="37">
        <f>ROUND($D72/12*3,-3)</f>
        <v>118000</v>
      </c>
      <c r="G72" s="37">
        <f>ROUND($D72/12,-3)</f>
        <v>39000</v>
      </c>
      <c r="H72" s="37">
        <f t="shared" ref="H72:N75" si="26">ROUND($D72/12,-3)</f>
        <v>39000</v>
      </c>
      <c r="I72" s="37">
        <f t="shared" si="26"/>
        <v>39000</v>
      </c>
      <c r="J72" s="37">
        <f t="shared" si="26"/>
        <v>39000</v>
      </c>
      <c r="K72" s="37">
        <f t="shared" si="26"/>
        <v>39000</v>
      </c>
      <c r="L72" s="37">
        <f t="shared" si="26"/>
        <v>39000</v>
      </c>
      <c r="M72" s="37">
        <f t="shared" si="26"/>
        <v>39000</v>
      </c>
      <c r="N72" s="37">
        <f t="shared" si="26"/>
        <v>39000</v>
      </c>
      <c r="O72" s="37">
        <f>D72-SUM(F72:N72)</f>
        <v>40000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454000</v>
      </c>
      <c r="E75" s="114" t="s">
        <v>202</v>
      </c>
      <c r="F75" s="37">
        <f>ROUND($D75/12*3,-3)</f>
        <v>114000</v>
      </c>
      <c r="G75" s="37">
        <f>ROUND($D75/12,-3)</f>
        <v>38000</v>
      </c>
      <c r="H75" s="37">
        <f t="shared" si="26"/>
        <v>38000</v>
      </c>
      <c r="I75" s="37">
        <f t="shared" si="26"/>
        <v>38000</v>
      </c>
      <c r="J75" s="37">
        <f t="shared" si="26"/>
        <v>38000</v>
      </c>
      <c r="K75" s="37">
        <f t="shared" si="26"/>
        <v>38000</v>
      </c>
      <c r="L75" s="37">
        <f t="shared" si="26"/>
        <v>38000</v>
      </c>
      <c r="M75" s="37">
        <f t="shared" si="26"/>
        <v>38000</v>
      </c>
      <c r="N75" s="37">
        <f t="shared" si="26"/>
        <v>38000</v>
      </c>
      <c r="O75" s="37">
        <f>D75-SUM(F75:N75)</f>
        <v>36000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924000</v>
      </c>
      <c r="E76" s="108"/>
      <c r="F76" s="108">
        <f>ROUND(SUM(F71:F75),-3)</f>
        <v>232000</v>
      </c>
      <c r="G76" s="108">
        <f t="shared" ref="G76:N76" si="27">ROUND(SUM(G71:G75),-3)</f>
        <v>77000</v>
      </c>
      <c r="H76" s="108">
        <f t="shared" si="27"/>
        <v>77000</v>
      </c>
      <c r="I76" s="108">
        <f t="shared" si="27"/>
        <v>77000</v>
      </c>
      <c r="J76" s="108">
        <f t="shared" si="27"/>
        <v>77000</v>
      </c>
      <c r="K76" s="108">
        <f t="shared" si="27"/>
        <v>77000</v>
      </c>
      <c r="L76" s="108">
        <f t="shared" si="27"/>
        <v>77000</v>
      </c>
      <c r="M76" s="108">
        <f t="shared" si="27"/>
        <v>77000</v>
      </c>
      <c r="N76" s="108">
        <f t="shared" si="27"/>
        <v>77000</v>
      </c>
      <c r="O76" s="108">
        <f>D76-SUM(F76:N76)</f>
        <v>76000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218000</v>
      </c>
      <c r="E77" s="37" t="s">
        <v>681</v>
      </c>
      <c r="F77" s="224"/>
      <c r="G77" s="224"/>
      <c r="H77" s="224">
        <f>ROUND($D77/2,-3)</f>
        <v>109000</v>
      </c>
      <c r="I77" s="224"/>
      <c r="J77" s="224"/>
      <c r="K77" s="224"/>
      <c r="L77" s="224"/>
      <c r="M77" s="224"/>
      <c r="N77" s="224">
        <f>D77-H77</f>
        <v>109000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23753000</v>
      </c>
      <c r="E78" s="227"/>
      <c r="F78" s="227">
        <f>F76+F70+F77</f>
        <v>7161000</v>
      </c>
      <c r="G78" s="227">
        <f t="shared" ref="G78:Q78" si="29">G76+G70+G77</f>
        <v>1661000</v>
      </c>
      <c r="H78" s="227">
        <f t="shared" si="29"/>
        <v>1806000</v>
      </c>
      <c r="I78" s="227">
        <f t="shared" si="29"/>
        <v>1938000</v>
      </c>
      <c r="J78" s="227">
        <f t="shared" si="29"/>
        <v>1661000</v>
      </c>
      <c r="K78" s="227">
        <f t="shared" si="29"/>
        <v>1661000</v>
      </c>
      <c r="L78" s="227">
        <f t="shared" si="29"/>
        <v>1661000</v>
      </c>
      <c r="M78" s="227">
        <f t="shared" si="29"/>
        <v>1661000</v>
      </c>
      <c r="N78" s="227">
        <f t="shared" si="29"/>
        <v>2879000</v>
      </c>
      <c r="O78" s="227">
        <f t="shared" si="29"/>
        <v>1659000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20000</v>
      </c>
      <c r="E80" s="108" t="s">
        <v>195</v>
      </c>
      <c r="F80" s="108">
        <f t="shared" ref="F80:F82" si="30">D80</f>
        <v>20000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20000</v>
      </c>
      <c r="E83" s="116"/>
      <c r="F83" s="116">
        <f>SUM(F79:F82)</f>
        <v>20000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-115000</v>
      </c>
      <c r="E86" s="37"/>
      <c r="F86" s="37">
        <f>D86</f>
        <v>-115000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24648000</v>
      </c>
      <c r="E87" s="37"/>
      <c r="F87" s="37">
        <f>F88+F89+F90+F91</f>
        <v>7245000</v>
      </c>
      <c r="G87" s="37">
        <f t="shared" ref="G87:Q87" si="32">G88+G89+G90+G91</f>
        <v>1725000</v>
      </c>
      <c r="H87" s="37">
        <f t="shared" si="32"/>
        <v>1870000</v>
      </c>
      <c r="I87" s="37">
        <f t="shared" si="32"/>
        <v>2002000</v>
      </c>
      <c r="J87" s="37">
        <f t="shared" si="32"/>
        <v>1725000</v>
      </c>
      <c r="K87" s="37">
        <f t="shared" si="32"/>
        <v>1725000</v>
      </c>
      <c r="L87" s="37">
        <f t="shared" si="32"/>
        <v>1839000</v>
      </c>
      <c r="M87" s="37">
        <f t="shared" si="32"/>
        <v>1725000</v>
      </c>
      <c r="N87" s="37">
        <f t="shared" si="32"/>
        <v>2943000</v>
      </c>
      <c r="O87" s="37">
        <f t="shared" si="32"/>
        <v>1723000</v>
      </c>
      <c r="P87" s="37">
        <f t="shared" si="32"/>
        <v>69000</v>
      </c>
      <c r="Q87" s="37">
        <f t="shared" si="32"/>
        <v>57000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120000</v>
      </c>
      <c r="E88" s="108" t="s">
        <v>193</v>
      </c>
      <c r="F88" s="108">
        <f>ROUND($D88/2,-3)</f>
        <v>60000</v>
      </c>
      <c r="G88" s="108"/>
      <c r="H88" s="108"/>
      <c r="I88" s="108"/>
      <c r="J88" s="108"/>
      <c r="K88" s="108"/>
      <c r="L88" s="108">
        <f>D88-F88</f>
        <v>60000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24527000</v>
      </c>
      <c r="E91" s="108"/>
      <c r="F91" s="108">
        <f>F92+F93+F94+F95</f>
        <v>7185000</v>
      </c>
      <c r="G91" s="108">
        <f t="shared" ref="G91:Q91" si="34">G92+G93+G94+G95</f>
        <v>1725000</v>
      </c>
      <c r="H91" s="108">
        <f t="shared" si="34"/>
        <v>1870000</v>
      </c>
      <c r="I91" s="108">
        <f t="shared" si="34"/>
        <v>2002000</v>
      </c>
      <c r="J91" s="108">
        <f t="shared" si="34"/>
        <v>1725000</v>
      </c>
      <c r="K91" s="108">
        <f t="shared" si="34"/>
        <v>1725000</v>
      </c>
      <c r="L91" s="108">
        <f t="shared" si="34"/>
        <v>1779000</v>
      </c>
      <c r="M91" s="108">
        <f t="shared" si="34"/>
        <v>1725000</v>
      </c>
      <c r="N91" s="108">
        <f t="shared" si="34"/>
        <v>2943000</v>
      </c>
      <c r="O91" s="108">
        <f t="shared" si="34"/>
        <v>1723000</v>
      </c>
      <c r="P91" s="108">
        <f t="shared" si="34"/>
        <v>69000</v>
      </c>
      <c r="Q91" s="108">
        <f t="shared" si="34"/>
        <v>56000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3615000</v>
      </c>
      <c r="E92" s="114" t="s">
        <v>537</v>
      </c>
      <c r="F92" s="37">
        <f>ROUND($D92/12*5,-3)</f>
        <v>1506000</v>
      </c>
      <c r="G92" s="37">
        <f>ROUND($D92/12,-3)</f>
        <v>301000</v>
      </c>
      <c r="H92" s="37">
        <f t="shared" ref="H92:L92" si="35">ROUND($D92/12,-3)</f>
        <v>301000</v>
      </c>
      <c r="I92" s="37">
        <f t="shared" si="35"/>
        <v>301000</v>
      </c>
      <c r="J92" s="37">
        <f t="shared" si="35"/>
        <v>301000</v>
      </c>
      <c r="K92" s="37">
        <f t="shared" si="35"/>
        <v>301000</v>
      </c>
      <c r="L92" s="37">
        <f t="shared" si="35"/>
        <v>301000</v>
      </c>
      <c r="M92" s="37">
        <f>D92-SUM(F92:L92)</f>
        <v>303000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14000</v>
      </c>
      <c r="E94" s="190" t="s">
        <v>229</v>
      </c>
      <c r="F94" s="37"/>
      <c r="G94" s="37"/>
      <c r="H94" s="37">
        <f>ROUND($D94/2,-3)</f>
        <v>7000</v>
      </c>
      <c r="I94" s="37"/>
      <c r="J94" s="37"/>
      <c r="K94" s="37"/>
      <c r="L94" s="37"/>
      <c r="M94" s="37"/>
      <c r="N94" s="37"/>
      <c r="O94" s="37">
        <f>D94-H94</f>
        <v>7000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20808000</v>
      </c>
      <c r="E95" s="37"/>
      <c r="F95" s="37">
        <f>F2+F86-F88-F89-F90-F92-F93-F94</f>
        <v>5671000</v>
      </c>
      <c r="G95" s="37">
        <f t="shared" ref="G95:Q95" si="37">G2-G88-G89-G90-G92-G93-G94</f>
        <v>1416000</v>
      </c>
      <c r="H95" s="37">
        <f t="shared" si="37"/>
        <v>1554000</v>
      </c>
      <c r="I95" s="37">
        <f t="shared" si="37"/>
        <v>1693000</v>
      </c>
      <c r="J95" s="37">
        <f t="shared" si="37"/>
        <v>1416000</v>
      </c>
      <c r="K95" s="37">
        <f t="shared" si="37"/>
        <v>1416000</v>
      </c>
      <c r="L95" s="37">
        <f t="shared" si="37"/>
        <v>1470000</v>
      </c>
      <c r="M95" s="37">
        <f t="shared" si="37"/>
        <v>1414000</v>
      </c>
      <c r="N95" s="37">
        <f t="shared" si="37"/>
        <v>2935000</v>
      </c>
      <c r="O95" s="37">
        <f t="shared" si="37"/>
        <v>1708000</v>
      </c>
      <c r="P95" s="37">
        <f t="shared" si="37"/>
        <v>61000</v>
      </c>
      <c r="Q95" s="37">
        <f t="shared" si="37"/>
        <v>54000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1300000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0</v>
      </c>
    </row>
    <row r="104" spans="2:17" ht="32.4">
      <c r="B104" s="76" t="s">
        <v>240</v>
      </c>
      <c r="D104" s="30">
        <f>HLOOKUP(D1,[1]縣庫撥款收入明細表!H:DD,18,FALSE)</f>
        <v>14000</v>
      </c>
    </row>
    <row r="105" spans="2:17" ht="32.4">
      <c r="B105" s="72" t="s">
        <v>380</v>
      </c>
      <c r="D105" s="30">
        <f>HLOOKUP(D1,[1]縣庫撥款收入明細表!H:DD,19,FALSE)</f>
        <v>1300000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20808000</v>
      </c>
    </row>
    <row r="108" spans="2:17" ht="16.5" customHeight="1"/>
    <row r="109" spans="2:17" ht="16.5" customHeight="1">
      <c r="B109" s="4" t="s">
        <v>682</v>
      </c>
      <c r="D109" s="30">
        <f>D91-D76</f>
        <v>23603000</v>
      </c>
      <c r="F109" s="30">
        <f>F91-F76</f>
        <v>6953000</v>
      </c>
      <c r="G109" s="30">
        <f t="shared" ref="G109:Q109" si="38">G91-G76</f>
        <v>1648000</v>
      </c>
      <c r="H109" s="30">
        <f t="shared" si="38"/>
        <v>1793000</v>
      </c>
      <c r="I109" s="30">
        <f t="shared" si="38"/>
        <v>1925000</v>
      </c>
      <c r="J109" s="30">
        <f t="shared" si="38"/>
        <v>1648000</v>
      </c>
      <c r="K109" s="30">
        <f t="shared" si="38"/>
        <v>1648000</v>
      </c>
      <c r="L109" s="30">
        <f t="shared" si="38"/>
        <v>1702000</v>
      </c>
      <c r="M109" s="30">
        <f t="shared" si="38"/>
        <v>1648000</v>
      </c>
      <c r="N109" s="30">
        <f t="shared" si="38"/>
        <v>2866000</v>
      </c>
      <c r="O109" s="30">
        <f t="shared" si="38"/>
        <v>1647000</v>
      </c>
      <c r="P109" s="30">
        <f t="shared" si="38"/>
        <v>69000</v>
      </c>
      <c r="Q109" s="30">
        <f t="shared" si="38"/>
        <v>56000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44" priority="1" operator="less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P104"/>
  <sheetViews>
    <sheetView zoomScale="89" zoomScaleNormal="89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M108" sqref="M107:M108"/>
    </sheetView>
  </sheetViews>
  <sheetFormatPr defaultColWidth="8.88671875" defaultRowHeight="16.2"/>
  <cols>
    <col min="1" max="1" width="9" style="182" bestFit="1" customWidth="1"/>
    <col min="2" max="2" width="13.109375" style="182" customWidth="1"/>
    <col min="3" max="3" width="17.88671875" style="173" customWidth="1"/>
    <col min="4" max="14" width="15.88671875" style="173" customWidth="1"/>
    <col min="15" max="15" width="20.109375" style="184" customWidth="1"/>
    <col min="16" max="250" width="8.88671875" style="173"/>
    <col min="251" max="251" width="9" style="173" bestFit="1" customWidth="1"/>
    <col min="252" max="252" width="13.109375" style="173" customWidth="1"/>
    <col min="253" max="264" width="15.88671875" style="173" customWidth="1"/>
    <col min="265" max="265" width="19.44140625" style="173" customWidth="1"/>
    <col min="266" max="266" width="18.109375" style="173" bestFit="1" customWidth="1"/>
    <col min="267" max="267" width="19.109375" style="173" bestFit="1" customWidth="1"/>
    <col min="268" max="268" width="13.109375" style="173" customWidth="1"/>
    <col min="269" max="506" width="8.88671875" style="173"/>
    <col min="507" max="507" width="9" style="173" bestFit="1" customWidth="1"/>
    <col min="508" max="508" width="13.109375" style="173" customWidth="1"/>
    <col min="509" max="520" width="15.88671875" style="173" customWidth="1"/>
    <col min="521" max="521" width="19.44140625" style="173" customWidth="1"/>
    <col min="522" max="522" width="18.109375" style="173" bestFit="1" customWidth="1"/>
    <col min="523" max="523" width="19.109375" style="173" bestFit="1" customWidth="1"/>
    <col min="524" max="524" width="13.109375" style="173" customWidth="1"/>
    <col min="525" max="762" width="8.88671875" style="173"/>
    <col min="763" max="763" width="9" style="173" bestFit="1" customWidth="1"/>
    <col min="764" max="764" width="13.109375" style="173" customWidth="1"/>
    <col min="765" max="776" width="15.88671875" style="173" customWidth="1"/>
    <col min="777" max="777" width="19.44140625" style="173" customWidth="1"/>
    <col min="778" max="778" width="18.109375" style="173" bestFit="1" customWidth="1"/>
    <col min="779" max="779" width="19.109375" style="173" bestFit="1" customWidth="1"/>
    <col min="780" max="780" width="13.109375" style="173" customWidth="1"/>
    <col min="781" max="1018" width="8.88671875" style="173"/>
    <col min="1019" max="1019" width="9" style="173" bestFit="1" customWidth="1"/>
    <col min="1020" max="1020" width="13.109375" style="173" customWidth="1"/>
    <col min="1021" max="1032" width="15.88671875" style="173" customWidth="1"/>
    <col min="1033" max="1033" width="19.44140625" style="173" customWidth="1"/>
    <col min="1034" max="1034" width="18.109375" style="173" bestFit="1" customWidth="1"/>
    <col min="1035" max="1035" width="19.109375" style="173" bestFit="1" customWidth="1"/>
    <col min="1036" max="1036" width="13.109375" style="173" customWidth="1"/>
    <col min="1037" max="1274" width="8.88671875" style="173"/>
    <col min="1275" max="1275" width="9" style="173" bestFit="1" customWidth="1"/>
    <col min="1276" max="1276" width="13.109375" style="173" customWidth="1"/>
    <col min="1277" max="1288" width="15.88671875" style="173" customWidth="1"/>
    <col min="1289" max="1289" width="19.44140625" style="173" customWidth="1"/>
    <col min="1290" max="1290" width="18.109375" style="173" bestFit="1" customWidth="1"/>
    <col min="1291" max="1291" width="19.109375" style="173" bestFit="1" customWidth="1"/>
    <col min="1292" max="1292" width="13.109375" style="173" customWidth="1"/>
    <col min="1293" max="1530" width="8.88671875" style="173"/>
    <col min="1531" max="1531" width="9" style="173" bestFit="1" customWidth="1"/>
    <col min="1532" max="1532" width="13.109375" style="173" customWidth="1"/>
    <col min="1533" max="1544" width="15.88671875" style="173" customWidth="1"/>
    <col min="1545" max="1545" width="19.44140625" style="173" customWidth="1"/>
    <col min="1546" max="1546" width="18.109375" style="173" bestFit="1" customWidth="1"/>
    <col min="1547" max="1547" width="19.109375" style="173" bestFit="1" customWidth="1"/>
    <col min="1548" max="1548" width="13.109375" style="173" customWidth="1"/>
    <col min="1549" max="1786" width="8.88671875" style="173"/>
    <col min="1787" max="1787" width="9" style="173" bestFit="1" customWidth="1"/>
    <col min="1788" max="1788" width="13.109375" style="173" customWidth="1"/>
    <col min="1789" max="1800" width="15.88671875" style="173" customWidth="1"/>
    <col min="1801" max="1801" width="19.44140625" style="173" customWidth="1"/>
    <col min="1802" max="1802" width="18.109375" style="173" bestFit="1" customWidth="1"/>
    <col min="1803" max="1803" width="19.109375" style="173" bestFit="1" customWidth="1"/>
    <col min="1804" max="1804" width="13.109375" style="173" customWidth="1"/>
    <col min="1805" max="2042" width="8.88671875" style="173"/>
    <col min="2043" max="2043" width="9" style="173" bestFit="1" customWidth="1"/>
    <col min="2044" max="2044" width="13.109375" style="173" customWidth="1"/>
    <col min="2045" max="2056" width="15.88671875" style="173" customWidth="1"/>
    <col min="2057" max="2057" width="19.44140625" style="173" customWidth="1"/>
    <col min="2058" max="2058" width="18.109375" style="173" bestFit="1" customWidth="1"/>
    <col min="2059" max="2059" width="19.109375" style="173" bestFit="1" customWidth="1"/>
    <col min="2060" max="2060" width="13.109375" style="173" customWidth="1"/>
    <col min="2061" max="2298" width="8.88671875" style="173"/>
    <col min="2299" max="2299" width="9" style="173" bestFit="1" customWidth="1"/>
    <col min="2300" max="2300" width="13.109375" style="173" customWidth="1"/>
    <col min="2301" max="2312" width="15.88671875" style="173" customWidth="1"/>
    <col min="2313" max="2313" width="19.44140625" style="173" customWidth="1"/>
    <col min="2314" max="2314" width="18.109375" style="173" bestFit="1" customWidth="1"/>
    <col min="2315" max="2315" width="19.109375" style="173" bestFit="1" customWidth="1"/>
    <col min="2316" max="2316" width="13.109375" style="173" customWidth="1"/>
    <col min="2317" max="2554" width="8.88671875" style="173"/>
    <col min="2555" max="2555" width="9" style="173" bestFit="1" customWidth="1"/>
    <col min="2556" max="2556" width="13.109375" style="173" customWidth="1"/>
    <col min="2557" max="2568" width="15.88671875" style="173" customWidth="1"/>
    <col min="2569" max="2569" width="19.44140625" style="173" customWidth="1"/>
    <col min="2570" max="2570" width="18.109375" style="173" bestFit="1" customWidth="1"/>
    <col min="2571" max="2571" width="19.109375" style="173" bestFit="1" customWidth="1"/>
    <col min="2572" max="2572" width="13.109375" style="173" customWidth="1"/>
    <col min="2573" max="2810" width="8.88671875" style="173"/>
    <col min="2811" max="2811" width="9" style="173" bestFit="1" customWidth="1"/>
    <col min="2812" max="2812" width="13.109375" style="173" customWidth="1"/>
    <col min="2813" max="2824" width="15.88671875" style="173" customWidth="1"/>
    <col min="2825" max="2825" width="19.44140625" style="173" customWidth="1"/>
    <col min="2826" max="2826" width="18.109375" style="173" bestFit="1" customWidth="1"/>
    <col min="2827" max="2827" width="19.109375" style="173" bestFit="1" customWidth="1"/>
    <col min="2828" max="2828" width="13.109375" style="173" customWidth="1"/>
    <col min="2829" max="3066" width="8.88671875" style="173"/>
    <col min="3067" max="3067" width="9" style="173" bestFit="1" customWidth="1"/>
    <col min="3068" max="3068" width="13.109375" style="173" customWidth="1"/>
    <col min="3069" max="3080" width="15.88671875" style="173" customWidth="1"/>
    <col min="3081" max="3081" width="19.44140625" style="173" customWidth="1"/>
    <col min="3082" max="3082" width="18.109375" style="173" bestFit="1" customWidth="1"/>
    <col min="3083" max="3083" width="19.109375" style="173" bestFit="1" customWidth="1"/>
    <col min="3084" max="3084" width="13.109375" style="173" customWidth="1"/>
    <col min="3085" max="3322" width="8.88671875" style="173"/>
    <col min="3323" max="3323" width="9" style="173" bestFit="1" customWidth="1"/>
    <col min="3324" max="3324" width="13.109375" style="173" customWidth="1"/>
    <col min="3325" max="3336" width="15.88671875" style="173" customWidth="1"/>
    <col min="3337" max="3337" width="19.44140625" style="173" customWidth="1"/>
    <col min="3338" max="3338" width="18.109375" style="173" bestFit="1" customWidth="1"/>
    <col min="3339" max="3339" width="19.109375" style="173" bestFit="1" customWidth="1"/>
    <col min="3340" max="3340" width="13.109375" style="173" customWidth="1"/>
    <col min="3341" max="3578" width="8.88671875" style="173"/>
    <col min="3579" max="3579" width="9" style="173" bestFit="1" customWidth="1"/>
    <col min="3580" max="3580" width="13.109375" style="173" customWidth="1"/>
    <col min="3581" max="3592" width="15.88671875" style="173" customWidth="1"/>
    <col min="3593" max="3593" width="19.44140625" style="173" customWidth="1"/>
    <col min="3594" max="3594" width="18.109375" style="173" bestFit="1" customWidth="1"/>
    <col min="3595" max="3595" width="19.109375" style="173" bestFit="1" customWidth="1"/>
    <col min="3596" max="3596" width="13.109375" style="173" customWidth="1"/>
    <col min="3597" max="3834" width="8.88671875" style="173"/>
    <col min="3835" max="3835" width="9" style="173" bestFit="1" customWidth="1"/>
    <col min="3836" max="3836" width="13.109375" style="173" customWidth="1"/>
    <col min="3837" max="3848" width="15.88671875" style="173" customWidth="1"/>
    <col min="3849" max="3849" width="19.44140625" style="173" customWidth="1"/>
    <col min="3850" max="3850" width="18.109375" style="173" bestFit="1" customWidth="1"/>
    <col min="3851" max="3851" width="19.109375" style="173" bestFit="1" customWidth="1"/>
    <col min="3852" max="3852" width="13.109375" style="173" customWidth="1"/>
    <col min="3853" max="4090" width="8.88671875" style="173"/>
    <col min="4091" max="4091" width="9" style="173" bestFit="1" customWidth="1"/>
    <col min="4092" max="4092" width="13.109375" style="173" customWidth="1"/>
    <col min="4093" max="4104" width="15.88671875" style="173" customWidth="1"/>
    <col min="4105" max="4105" width="19.44140625" style="173" customWidth="1"/>
    <col min="4106" max="4106" width="18.109375" style="173" bestFit="1" customWidth="1"/>
    <col min="4107" max="4107" width="19.109375" style="173" bestFit="1" customWidth="1"/>
    <col min="4108" max="4108" width="13.109375" style="173" customWidth="1"/>
    <col min="4109" max="4346" width="8.88671875" style="173"/>
    <col min="4347" max="4347" width="9" style="173" bestFit="1" customWidth="1"/>
    <col min="4348" max="4348" width="13.109375" style="173" customWidth="1"/>
    <col min="4349" max="4360" width="15.88671875" style="173" customWidth="1"/>
    <col min="4361" max="4361" width="19.44140625" style="173" customWidth="1"/>
    <col min="4362" max="4362" width="18.109375" style="173" bestFit="1" customWidth="1"/>
    <col min="4363" max="4363" width="19.109375" style="173" bestFit="1" customWidth="1"/>
    <col min="4364" max="4364" width="13.109375" style="173" customWidth="1"/>
    <col min="4365" max="4602" width="8.88671875" style="173"/>
    <col min="4603" max="4603" width="9" style="173" bestFit="1" customWidth="1"/>
    <col min="4604" max="4604" width="13.109375" style="173" customWidth="1"/>
    <col min="4605" max="4616" width="15.88671875" style="173" customWidth="1"/>
    <col min="4617" max="4617" width="19.44140625" style="173" customWidth="1"/>
    <col min="4618" max="4618" width="18.109375" style="173" bestFit="1" customWidth="1"/>
    <col min="4619" max="4619" width="19.109375" style="173" bestFit="1" customWidth="1"/>
    <col min="4620" max="4620" width="13.109375" style="173" customWidth="1"/>
    <col min="4621" max="4858" width="8.88671875" style="173"/>
    <col min="4859" max="4859" width="9" style="173" bestFit="1" customWidth="1"/>
    <col min="4860" max="4860" width="13.109375" style="173" customWidth="1"/>
    <col min="4861" max="4872" width="15.88671875" style="173" customWidth="1"/>
    <col min="4873" max="4873" width="19.44140625" style="173" customWidth="1"/>
    <col min="4874" max="4874" width="18.109375" style="173" bestFit="1" customWidth="1"/>
    <col min="4875" max="4875" width="19.109375" style="173" bestFit="1" customWidth="1"/>
    <col min="4876" max="4876" width="13.109375" style="173" customWidth="1"/>
    <col min="4877" max="5114" width="8.88671875" style="173"/>
    <col min="5115" max="5115" width="9" style="173" bestFit="1" customWidth="1"/>
    <col min="5116" max="5116" width="13.109375" style="173" customWidth="1"/>
    <col min="5117" max="5128" width="15.88671875" style="173" customWidth="1"/>
    <col min="5129" max="5129" width="19.44140625" style="173" customWidth="1"/>
    <col min="5130" max="5130" width="18.109375" style="173" bestFit="1" customWidth="1"/>
    <col min="5131" max="5131" width="19.109375" style="173" bestFit="1" customWidth="1"/>
    <col min="5132" max="5132" width="13.109375" style="173" customWidth="1"/>
    <col min="5133" max="5370" width="8.88671875" style="173"/>
    <col min="5371" max="5371" width="9" style="173" bestFit="1" customWidth="1"/>
    <col min="5372" max="5372" width="13.109375" style="173" customWidth="1"/>
    <col min="5373" max="5384" width="15.88671875" style="173" customWidth="1"/>
    <col min="5385" max="5385" width="19.44140625" style="173" customWidth="1"/>
    <col min="5386" max="5386" width="18.109375" style="173" bestFit="1" customWidth="1"/>
    <col min="5387" max="5387" width="19.109375" style="173" bestFit="1" customWidth="1"/>
    <col min="5388" max="5388" width="13.109375" style="173" customWidth="1"/>
    <col min="5389" max="5626" width="8.88671875" style="173"/>
    <col min="5627" max="5627" width="9" style="173" bestFit="1" customWidth="1"/>
    <col min="5628" max="5628" width="13.109375" style="173" customWidth="1"/>
    <col min="5629" max="5640" width="15.88671875" style="173" customWidth="1"/>
    <col min="5641" max="5641" width="19.44140625" style="173" customWidth="1"/>
    <col min="5642" max="5642" width="18.109375" style="173" bestFit="1" customWidth="1"/>
    <col min="5643" max="5643" width="19.109375" style="173" bestFit="1" customWidth="1"/>
    <col min="5644" max="5644" width="13.109375" style="173" customWidth="1"/>
    <col min="5645" max="5882" width="8.88671875" style="173"/>
    <col min="5883" max="5883" width="9" style="173" bestFit="1" customWidth="1"/>
    <col min="5884" max="5884" width="13.109375" style="173" customWidth="1"/>
    <col min="5885" max="5896" width="15.88671875" style="173" customWidth="1"/>
    <col min="5897" max="5897" width="19.44140625" style="173" customWidth="1"/>
    <col min="5898" max="5898" width="18.109375" style="173" bestFit="1" customWidth="1"/>
    <col min="5899" max="5899" width="19.109375" style="173" bestFit="1" customWidth="1"/>
    <col min="5900" max="5900" width="13.109375" style="173" customWidth="1"/>
    <col min="5901" max="6138" width="8.88671875" style="173"/>
    <col min="6139" max="6139" width="9" style="173" bestFit="1" customWidth="1"/>
    <col min="6140" max="6140" width="13.109375" style="173" customWidth="1"/>
    <col min="6141" max="6152" width="15.88671875" style="173" customWidth="1"/>
    <col min="6153" max="6153" width="19.44140625" style="173" customWidth="1"/>
    <col min="6154" max="6154" width="18.109375" style="173" bestFit="1" customWidth="1"/>
    <col min="6155" max="6155" width="19.109375" style="173" bestFit="1" customWidth="1"/>
    <col min="6156" max="6156" width="13.109375" style="173" customWidth="1"/>
    <col min="6157" max="6394" width="8.88671875" style="173"/>
    <col min="6395" max="6395" width="9" style="173" bestFit="1" customWidth="1"/>
    <col min="6396" max="6396" width="13.109375" style="173" customWidth="1"/>
    <col min="6397" max="6408" width="15.88671875" style="173" customWidth="1"/>
    <col min="6409" max="6409" width="19.44140625" style="173" customWidth="1"/>
    <col min="6410" max="6410" width="18.109375" style="173" bestFit="1" customWidth="1"/>
    <col min="6411" max="6411" width="19.109375" style="173" bestFit="1" customWidth="1"/>
    <col min="6412" max="6412" width="13.109375" style="173" customWidth="1"/>
    <col min="6413" max="6650" width="8.88671875" style="173"/>
    <col min="6651" max="6651" width="9" style="173" bestFit="1" customWidth="1"/>
    <col min="6652" max="6652" width="13.109375" style="173" customWidth="1"/>
    <col min="6653" max="6664" width="15.88671875" style="173" customWidth="1"/>
    <col min="6665" max="6665" width="19.44140625" style="173" customWidth="1"/>
    <col min="6666" max="6666" width="18.109375" style="173" bestFit="1" customWidth="1"/>
    <col min="6667" max="6667" width="19.109375" style="173" bestFit="1" customWidth="1"/>
    <col min="6668" max="6668" width="13.109375" style="173" customWidth="1"/>
    <col min="6669" max="6906" width="8.88671875" style="173"/>
    <col min="6907" max="6907" width="9" style="173" bestFit="1" customWidth="1"/>
    <col min="6908" max="6908" width="13.109375" style="173" customWidth="1"/>
    <col min="6909" max="6920" width="15.88671875" style="173" customWidth="1"/>
    <col min="6921" max="6921" width="19.44140625" style="173" customWidth="1"/>
    <col min="6922" max="6922" width="18.109375" style="173" bestFit="1" customWidth="1"/>
    <col min="6923" max="6923" width="19.109375" style="173" bestFit="1" customWidth="1"/>
    <col min="6924" max="6924" width="13.109375" style="173" customWidth="1"/>
    <col min="6925" max="7162" width="8.88671875" style="173"/>
    <col min="7163" max="7163" width="9" style="173" bestFit="1" customWidth="1"/>
    <col min="7164" max="7164" width="13.109375" style="173" customWidth="1"/>
    <col min="7165" max="7176" width="15.88671875" style="173" customWidth="1"/>
    <col min="7177" max="7177" width="19.44140625" style="173" customWidth="1"/>
    <col min="7178" max="7178" width="18.109375" style="173" bestFit="1" customWidth="1"/>
    <col min="7179" max="7179" width="19.109375" style="173" bestFit="1" customWidth="1"/>
    <col min="7180" max="7180" width="13.109375" style="173" customWidth="1"/>
    <col min="7181" max="7418" width="8.88671875" style="173"/>
    <col min="7419" max="7419" width="9" style="173" bestFit="1" customWidth="1"/>
    <col min="7420" max="7420" width="13.109375" style="173" customWidth="1"/>
    <col min="7421" max="7432" width="15.88671875" style="173" customWidth="1"/>
    <col min="7433" max="7433" width="19.44140625" style="173" customWidth="1"/>
    <col min="7434" max="7434" width="18.109375" style="173" bestFit="1" customWidth="1"/>
    <col min="7435" max="7435" width="19.109375" style="173" bestFit="1" customWidth="1"/>
    <col min="7436" max="7436" width="13.109375" style="173" customWidth="1"/>
    <col min="7437" max="7674" width="8.88671875" style="173"/>
    <col min="7675" max="7675" width="9" style="173" bestFit="1" customWidth="1"/>
    <col min="7676" max="7676" width="13.109375" style="173" customWidth="1"/>
    <col min="7677" max="7688" width="15.88671875" style="173" customWidth="1"/>
    <col min="7689" max="7689" width="19.44140625" style="173" customWidth="1"/>
    <col min="7690" max="7690" width="18.109375" style="173" bestFit="1" customWidth="1"/>
    <col min="7691" max="7691" width="19.109375" style="173" bestFit="1" customWidth="1"/>
    <col min="7692" max="7692" width="13.109375" style="173" customWidth="1"/>
    <col min="7693" max="7930" width="8.88671875" style="173"/>
    <col min="7931" max="7931" width="9" style="173" bestFit="1" customWidth="1"/>
    <col min="7932" max="7932" width="13.109375" style="173" customWidth="1"/>
    <col min="7933" max="7944" width="15.88671875" style="173" customWidth="1"/>
    <col min="7945" max="7945" width="19.44140625" style="173" customWidth="1"/>
    <col min="7946" max="7946" width="18.109375" style="173" bestFit="1" customWidth="1"/>
    <col min="7947" max="7947" width="19.109375" style="173" bestFit="1" customWidth="1"/>
    <col min="7948" max="7948" width="13.109375" style="173" customWidth="1"/>
    <col min="7949" max="8186" width="8.88671875" style="173"/>
    <col min="8187" max="8187" width="9" style="173" bestFit="1" customWidth="1"/>
    <col min="8188" max="8188" width="13.109375" style="173" customWidth="1"/>
    <col min="8189" max="8200" width="15.88671875" style="173" customWidth="1"/>
    <col min="8201" max="8201" width="19.44140625" style="173" customWidth="1"/>
    <col min="8202" max="8202" width="18.109375" style="173" bestFit="1" customWidth="1"/>
    <col min="8203" max="8203" width="19.109375" style="173" bestFit="1" customWidth="1"/>
    <col min="8204" max="8204" width="13.109375" style="173" customWidth="1"/>
    <col min="8205" max="8442" width="8.88671875" style="173"/>
    <col min="8443" max="8443" width="9" style="173" bestFit="1" customWidth="1"/>
    <col min="8444" max="8444" width="13.109375" style="173" customWidth="1"/>
    <col min="8445" max="8456" width="15.88671875" style="173" customWidth="1"/>
    <col min="8457" max="8457" width="19.44140625" style="173" customWidth="1"/>
    <col min="8458" max="8458" width="18.109375" style="173" bestFit="1" customWidth="1"/>
    <col min="8459" max="8459" width="19.109375" style="173" bestFit="1" customWidth="1"/>
    <col min="8460" max="8460" width="13.109375" style="173" customWidth="1"/>
    <col min="8461" max="8698" width="8.88671875" style="173"/>
    <col min="8699" max="8699" width="9" style="173" bestFit="1" customWidth="1"/>
    <col min="8700" max="8700" width="13.109375" style="173" customWidth="1"/>
    <col min="8701" max="8712" width="15.88671875" style="173" customWidth="1"/>
    <col min="8713" max="8713" width="19.44140625" style="173" customWidth="1"/>
    <col min="8714" max="8714" width="18.109375" style="173" bestFit="1" customWidth="1"/>
    <col min="8715" max="8715" width="19.109375" style="173" bestFit="1" customWidth="1"/>
    <col min="8716" max="8716" width="13.109375" style="173" customWidth="1"/>
    <col min="8717" max="8954" width="8.88671875" style="173"/>
    <col min="8955" max="8955" width="9" style="173" bestFit="1" customWidth="1"/>
    <col min="8956" max="8956" width="13.109375" style="173" customWidth="1"/>
    <col min="8957" max="8968" width="15.88671875" style="173" customWidth="1"/>
    <col min="8969" max="8969" width="19.44140625" style="173" customWidth="1"/>
    <col min="8970" max="8970" width="18.109375" style="173" bestFit="1" customWidth="1"/>
    <col min="8971" max="8971" width="19.109375" style="173" bestFit="1" customWidth="1"/>
    <col min="8972" max="8972" width="13.109375" style="173" customWidth="1"/>
    <col min="8973" max="9210" width="8.88671875" style="173"/>
    <col min="9211" max="9211" width="9" style="173" bestFit="1" customWidth="1"/>
    <col min="9212" max="9212" width="13.109375" style="173" customWidth="1"/>
    <col min="9213" max="9224" width="15.88671875" style="173" customWidth="1"/>
    <col min="9225" max="9225" width="19.44140625" style="173" customWidth="1"/>
    <col min="9226" max="9226" width="18.109375" style="173" bestFit="1" customWidth="1"/>
    <col min="9227" max="9227" width="19.109375" style="173" bestFit="1" customWidth="1"/>
    <col min="9228" max="9228" width="13.109375" style="173" customWidth="1"/>
    <col min="9229" max="9466" width="8.88671875" style="173"/>
    <col min="9467" max="9467" width="9" style="173" bestFit="1" customWidth="1"/>
    <col min="9468" max="9468" width="13.109375" style="173" customWidth="1"/>
    <col min="9469" max="9480" width="15.88671875" style="173" customWidth="1"/>
    <col min="9481" max="9481" width="19.44140625" style="173" customWidth="1"/>
    <col min="9482" max="9482" width="18.109375" style="173" bestFit="1" customWidth="1"/>
    <col min="9483" max="9483" width="19.109375" style="173" bestFit="1" customWidth="1"/>
    <col min="9484" max="9484" width="13.109375" style="173" customWidth="1"/>
    <col min="9485" max="9722" width="8.88671875" style="173"/>
    <col min="9723" max="9723" width="9" style="173" bestFit="1" customWidth="1"/>
    <col min="9724" max="9724" width="13.109375" style="173" customWidth="1"/>
    <col min="9725" max="9736" width="15.88671875" style="173" customWidth="1"/>
    <col min="9737" max="9737" width="19.44140625" style="173" customWidth="1"/>
    <col min="9738" max="9738" width="18.109375" style="173" bestFit="1" customWidth="1"/>
    <col min="9739" max="9739" width="19.109375" style="173" bestFit="1" customWidth="1"/>
    <col min="9740" max="9740" width="13.109375" style="173" customWidth="1"/>
    <col min="9741" max="9978" width="8.88671875" style="173"/>
    <col min="9979" max="9979" width="9" style="173" bestFit="1" customWidth="1"/>
    <col min="9980" max="9980" width="13.109375" style="173" customWidth="1"/>
    <col min="9981" max="9992" width="15.88671875" style="173" customWidth="1"/>
    <col min="9993" max="9993" width="19.44140625" style="173" customWidth="1"/>
    <col min="9994" max="9994" width="18.109375" style="173" bestFit="1" customWidth="1"/>
    <col min="9995" max="9995" width="19.109375" style="173" bestFit="1" customWidth="1"/>
    <col min="9996" max="9996" width="13.109375" style="173" customWidth="1"/>
    <col min="9997" max="10234" width="8.88671875" style="173"/>
    <col min="10235" max="10235" width="9" style="173" bestFit="1" customWidth="1"/>
    <col min="10236" max="10236" width="13.109375" style="173" customWidth="1"/>
    <col min="10237" max="10248" width="15.88671875" style="173" customWidth="1"/>
    <col min="10249" max="10249" width="19.44140625" style="173" customWidth="1"/>
    <col min="10250" max="10250" width="18.109375" style="173" bestFit="1" customWidth="1"/>
    <col min="10251" max="10251" width="19.109375" style="173" bestFit="1" customWidth="1"/>
    <col min="10252" max="10252" width="13.109375" style="173" customWidth="1"/>
    <col min="10253" max="10490" width="8.88671875" style="173"/>
    <col min="10491" max="10491" width="9" style="173" bestFit="1" customWidth="1"/>
    <col min="10492" max="10492" width="13.109375" style="173" customWidth="1"/>
    <col min="10493" max="10504" width="15.88671875" style="173" customWidth="1"/>
    <col min="10505" max="10505" width="19.44140625" style="173" customWidth="1"/>
    <col min="10506" max="10506" width="18.109375" style="173" bestFit="1" customWidth="1"/>
    <col min="10507" max="10507" width="19.109375" style="173" bestFit="1" customWidth="1"/>
    <col min="10508" max="10508" width="13.109375" style="173" customWidth="1"/>
    <col min="10509" max="10746" width="8.88671875" style="173"/>
    <col min="10747" max="10747" width="9" style="173" bestFit="1" customWidth="1"/>
    <col min="10748" max="10748" width="13.109375" style="173" customWidth="1"/>
    <col min="10749" max="10760" width="15.88671875" style="173" customWidth="1"/>
    <col min="10761" max="10761" width="19.44140625" style="173" customWidth="1"/>
    <col min="10762" max="10762" width="18.109375" style="173" bestFit="1" customWidth="1"/>
    <col min="10763" max="10763" width="19.109375" style="173" bestFit="1" customWidth="1"/>
    <col min="10764" max="10764" width="13.109375" style="173" customWidth="1"/>
    <col min="10765" max="11002" width="8.88671875" style="173"/>
    <col min="11003" max="11003" width="9" style="173" bestFit="1" customWidth="1"/>
    <col min="11004" max="11004" width="13.109375" style="173" customWidth="1"/>
    <col min="11005" max="11016" width="15.88671875" style="173" customWidth="1"/>
    <col min="11017" max="11017" width="19.44140625" style="173" customWidth="1"/>
    <col min="11018" max="11018" width="18.109375" style="173" bestFit="1" customWidth="1"/>
    <col min="11019" max="11019" width="19.109375" style="173" bestFit="1" customWidth="1"/>
    <col min="11020" max="11020" width="13.109375" style="173" customWidth="1"/>
    <col min="11021" max="11258" width="8.88671875" style="173"/>
    <col min="11259" max="11259" width="9" style="173" bestFit="1" customWidth="1"/>
    <col min="11260" max="11260" width="13.109375" style="173" customWidth="1"/>
    <col min="11261" max="11272" width="15.88671875" style="173" customWidth="1"/>
    <col min="11273" max="11273" width="19.44140625" style="173" customWidth="1"/>
    <col min="11274" max="11274" width="18.109375" style="173" bestFit="1" customWidth="1"/>
    <col min="11275" max="11275" width="19.109375" style="173" bestFit="1" customWidth="1"/>
    <col min="11276" max="11276" width="13.109375" style="173" customWidth="1"/>
    <col min="11277" max="11514" width="8.88671875" style="173"/>
    <col min="11515" max="11515" width="9" style="173" bestFit="1" customWidth="1"/>
    <col min="11516" max="11516" width="13.109375" style="173" customWidth="1"/>
    <col min="11517" max="11528" width="15.88671875" style="173" customWidth="1"/>
    <col min="11529" max="11529" width="19.44140625" style="173" customWidth="1"/>
    <col min="11530" max="11530" width="18.109375" style="173" bestFit="1" customWidth="1"/>
    <col min="11531" max="11531" width="19.109375" style="173" bestFit="1" customWidth="1"/>
    <col min="11532" max="11532" width="13.109375" style="173" customWidth="1"/>
    <col min="11533" max="11770" width="8.88671875" style="173"/>
    <col min="11771" max="11771" width="9" style="173" bestFit="1" customWidth="1"/>
    <col min="11772" max="11772" width="13.109375" style="173" customWidth="1"/>
    <col min="11773" max="11784" width="15.88671875" style="173" customWidth="1"/>
    <col min="11785" max="11785" width="19.44140625" style="173" customWidth="1"/>
    <col min="11786" max="11786" width="18.109375" style="173" bestFit="1" customWidth="1"/>
    <col min="11787" max="11787" width="19.109375" style="173" bestFit="1" customWidth="1"/>
    <col min="11788" max="11788" width="13.109375" style="173" customWidth="1"/>
    <col min="11789" max="12026" width="8.88671875" style="173"/>
    <col min="12027" max="12027" width="9" style="173" bestFit="1" customWidth="1"/>
    <col min="12028" max="12028" width="13.109375" style="173" customWidth="1"/>
    <col min="12029" max="12040" width="15.88671875" style="173" customWidth="1"/>
    <col min="12041" max="12041" width="19.44140625" style="173" customWidth="1"/>
    <col min="12042" max="12042" width="18.109375" style="173" bestFit="1" customWidth="1"/>
    <col min="12043" max="12043" width="19.109375" style="173" bestFit="1" customWidth="1"/>
    <col min="12044" max="12044" width="13.109375" style="173" customWidth="1"/>
    <col min="12045" max="12282" width="8.88671875" style="173"/>
    <col min="12283" max="12283" width="9" style="173" bestFit="1" customWidth="1"/>
    <col min="12284" max="12284" width="13.109375" style="173" customWidth="1"/>
    <col min="12285" max="12296" width="15.88671875" style="173" customWidth="1"/>
    <col min="12297" max="12297" width="19.44140625" style="173" customWidth="1"/>
    <col min="12298" max="12298" width="18.109375" style="173" bestFit="1" customWidth="1"/>
    <col min="12299" max="12299" width="19.109375" style="173" bestFit="1" customWidth="1"/>
    <col min="12300" max="12300" width="13.109375" style="173" customWidth="1"/>
    <col min="12301" max="12538" width="8.88671875" style="173"/>
    <col min="12539" max="12539" width="9" style="173" bestFit="1" customWidth="1"/>
    <col min="12540" max="12540" width="13.109375" style="173" customWidth="1"/>
    <col min="12541" max="12552" width="15.88671875" style="173" customWidth="1"/>
    <col min="12553" max="12553" width="19.44140625" style="173" customWidth="1"/>
    <col min="12554" max="12554" width="18.109375" style="173" bestFit="1" customWidth="1"/>
    <col min="12555" max="12555" width="19.109375" style="173" bestFit="1" customWidth="1"/>
    <col min="12556" max="12556" width="13.109375" style="173" customWidth="1"/>
    <col min="12557" max="12794" width="8.88671875" style="173"/>
    <col min="12795" max="12795" width="9" style="173" bestFit="1" customWidth="1"/>
    <col min="12796" max="12796" width="13.109375" style="173" customWidth="1"/>
    <col min="12797" max="12808" width="15.88671875" style="173" customWidth="1"/>
    <col min="12809" max="12809" width="19.44140625" style="173" customWidth="1"/>
    <col min="12810" max="12810" width="18.109375" style="173" bestFit="1" customWidth="1"/>
    <col min="12811" max="12811" width="19.109375" style="173" bestFit="1" customWidth="1"/>
    <col min="12812" max="12812" width="13.109375" style="173" customWidth="1"/>
    <col min="12813" max="13050" width="8.88671875" style="173"/>
    <col min="13051" max="13051" width="9" style="173" bestFit="1" customWidth="1"/>
    <col min="13052" max="13052" width="13.109375" style="173" customWidth="1"/>
    <col min="13053" max="13064" width="15.88671875" style="173" customWidth="1"/>
    <col min="13065" max="13065" width="19.44140625" style="173" customWidth="1"/>
    <col min="13066" max="13066" width="18.109375" style="173" bestFit="1" customWidth="1"/>
    <col min="13067" max="13067" width="19.109375" style="173" bestFit="1" customWidth="1"/>
    <col min="13068" max="13068" width="13.109375" style="173" customWidth="1"/>
    <col min="13069" max="13306" width="8.88671875" style="173"/>
    <col min="13307" max="13307" width="9" style="173" bestFit="1" customWidth="1"/>
    <col min="13308" max="13308" width="13.109375" style="173" customWidth="1"/>
    <col min="13309" max="13320" width="15.88671875" style="173" customWidth="1"/>
    <col min="13321" max="13321" width="19.44140625" style="173" customWidth="1"/>
    <col min="13322" max="13322" width="18.109375" style="173" bestFit="1" customWidth="1"/>
    <col min="13323" max="13323" width="19.109375" style="173" bestFit="1" customWidth="1"/>
    <col min="13324" max="13324" width="13.109375" style="173" customWidth="1"/>
    <col min="13325" max="13562" width="8.88671875" style="173"/>
    <col min="13563" max="13563" width="9" style="173" bestFit="1" customWidth="1"/>
    <col min="13564" max="13564" width="13.109375" style="173" customWidth="1"/>
    <col min="13565" max="13576" width="15.88671875" style="173" customWidth="1"/>
    <col min="13577" max="13577" width="19.44140625" style="173" customWidth="1"/>
    <col min="13578" max="13578" width="18.109375" style="173" bestFit="1" customWidth="1"/>
    <col min="13579" max="13579" width="19.109375" style="173" bestFit="1" customWidth="1"/>
    <col min="13580" max="13580" width="13.109375" style="173" customWidth="1"/>
    <col min="13581" max="13818" width="8.88671875" style="173"/>
    <col min="13819" max="13819" width="9" style="173" bestFit="1" customWidth="1"/>
    <col min="13820" max="13820" width="13.109375" style="173" customWidth="1"/>
    <col min="13821" max="13832" width="15.88671875" style="173" customWidth="1"/>
    <col min="13833" max="13833" width="19.44140625" style="173" customWidth="1"/>
    <col min="13834" max="13834" width="18.109375" style="173" bestFit="1" customWidth="1"/>
    <col min="13835" max="13835" width="19.109375" style="173" bestFit="1" customWidth="1"/>
    <col min="13836" max="13836" width="13.109375" style="173" customWidth="1"/>
    <col min="13837" max="14074" width="8.88671875" style="173"/>
    <col min="14075" max="14075" width="9" style="173" bestFit="1" customWidth="1"/>
    <col min="14076" max="14076" width="13.109375" style="173" customWidth="1"/>
    <col min="14077" max="14088" width="15.88671875" style="173" customWidth="1"/>
    <col min="14089" max="14089" width="19.44140625" style="173" customWidth="1"/>
    <col min="14090" max="14090" width="18.109375" style="173" bestFit="1" customWidth="1"/>
    <col min="14091" max="14091" width="19.109375" style="173" bestFit="1" customWidth="1"/>
    <col min="14092" max="14092" width="13.109375" style="173" customWidth="1"/>
    <col min="14093" max="14330" width="8.88671875" style="173"/>
    <col min="14331" max="14331" width="9" style="173" bestFit="1" customWidth="1"/>
    <col min="14332" max="14332" width="13.109375" style="173" customWidth="1"/>
    <col min="14333" max="14344" width="15.88671875" style="173" customWidth="1"/>
    <col min="14345" max="14345" width="19.44140625" style="173" customWidth="1"/>
    <col min="14346" max="14346" width="18.109375" style="173" bestFit="1" customWidth="1"/>
    <col min="14347" max="14347" width="19.109375" style="173" bestFit="1" customWidth="1"/>
    <col min="14348" max="14348" width="13.109375" style="173" customWidth="1"/>
    <col min="14349" max="14586" width="8.88671875" style="173"/>
    <col min="14587" max="14587" width="9" style="173" bestFit="1" customWidth="1"/>
    <col min="14588" max="14588" width="13.109375" style="173" customWidth="1"/>
    <col min="14589" max="14600" width="15.88671875" style="173" customWidth="1"/>
    <col min="14601" max="14601" width="19.44140625" style="173" customWidth="1"/>
    <col min="14602" max="14602" width="18.109375" style="173" bestFit="1" customWidth="1"/>
    <col min="14603" max="14603" width="19.109375" style="173" bestFit="1" customWidth="1"/>
    <col min="14604" max="14604" width="13.109375" style="173" customWidth="1"/>
    <col min="14605" max="14842" width="8.88671875" style="173"/>
    <col min="14843" max="14843" width="9" style="173" bestFit="1" customWidth="1"/>
    <col min="14844" max="14844" width="13.109375" style="173" customWidth="1"/>
    <col min="14845" max="14856" width="15.88671875" style="173" customWidth="1"/>
    <col min="14857" max="14857" width="19.44140625" style="173" customWidth="1"/>
    <col min="14858" max="14858" width="18.109375" style="173" bestFit="1" customWidth="1"/>
    <col min="14859" max="14859" width="19.109375" style="173" bestFit="1" customWidth="1"/>
    <col min="14860" max="14860" width="13.109375" style="173" customWidth="1"/>
    <col min="14861" max="15098" width="8.88671875" style="173"/>
    <col min="15099" max="15099" width="9" style="173" bestFit="1" customWidth="1"/>
    <col min="15100" max="15100" width="13.109375" style="173" customWidth="1"/>
    <col min="15101" max="15112" width="15.88671875" style="173" customWidth="1"/>
    <col min="15113" max="15113" width="19.44140625" style="173" customWidth="1"/>
    <col min="15114" max="15114" width="18.109375" style="173" bestFit="1" customWidth="1"/>
    <col min="15115" max="15115" width="19.109375" style="173" bestFit="1" customWidth="1"/>
    <col min="15116" max="15116" width="13.109375" style="173" customWidth="1"/>
    <col min="15117" max="15354" width="8.88671875" style="173"/>
    <col min="15355" max="15355" width="9" style="173" bestFit="1" customWidth="1"/>
    <col min="15356" max="15356" width="13.109375" style="173" customWidth="1"/>
    <col min="15357" max="15368" width="15.88671875" style="173" customWidth="1"/>
    <col min="15369" max="15369" width="19.44140625" style="173" customWidth="1"/>
    <col min="15370" max="15370" width="18.109375" style="173" bestFit="1" customWidth="1"/>
    <col min="15371" max="15371" width="19.109375" style="173" bestFit="1" customWidth="1"/>
    <col min="15372" max="15372" width="13.109375" style="173" customWidth="1"/>
    <col min="15373" max="15610" width="8.88671875" style="173"/>
    <col min="15611" max="15611" width="9" style="173" bestFit="1" customWidth="1"/>
    <col min="15612" max="15612" width="13.109375" style="173" customWidth="1"/>
    <col min="15613" max="15624" width="15.88671875" style="173" customWidth="1"/>
    <col min="15625" max="15625" width="19.44140625" style="173" customWidth="1"/>
    <col min="15626" max="15626" width="18.109375" style="173" bestFit="1" customWidth="1"/>
    <col min="15627" max="15627" width="19.109375" style="173" bestFit="1" customWidth="1"/>
    <col min="15628" max="15628" width="13.109375" style="173" customWidth="1"/>
    <col min="15629" max="15866" width="8.88671875" style="173"/>
    <col min="15867" max="15867" width="9" style="173" bestFit="1" customWidth="1"/>
    <col min="15868" max="15868" width="13.109375" style="173" customWidth="1"/>
    <col min="15869" max="15880" width="15.88671875" style="173" customWidth="1"/>
    <col min="15881" max="15881" width="19.44140625" style="173" customWidth="1"/>
    <col min="15882" max="15882" width="18.109375" style="173" bestFit="1" customWidth="1"/>
    <col min="15883" max="15883" width="19.109375" style="173" bestFit="1" customWidth="1"/>
    <col min="15884" max="15884" width="13.109375" style="173" customWidth="1"/>
    <col min="15885" max="16122" width="8.88671875" style="173"/>
    <col min="16123" max="16123" width="9" style="173" bestFit="1" customWidth="1"/>
    <col min="16124" max="16124" width="13.109375" style="173" customWidth="1"/>
    <col min="16125" max="16136" width="15.88671875" style="173" customWidth="1"/>
    <col min="16137" max="16137" width="19.44140625" style="173" customWidth="1"/>
    <col min="16138" max="16138" width="18.109375" style="173" bestFit="1" customWidth="1"/>
    <col min="16139" max="16139" width="19.109375" style="173" bestFit="1" customWidth="1"/>
    <col min="16140" max="16140" width="13.109375" style="173" customWidth="1"/>
    <col min="16141" max="16384" width="8.88671875" style="173"/>
  </cols>
  <sheetData>
    <row r="1" spans="1:250">
      <c r="A1" s="167"/>
      <c r="B1" s="168" t="s">
        <v>536</v>
      </c>
      <c r="C1" s="169" t="s">
        <v>556</v>
      </c>
      <c r="D1" s="169" t="s">
        <v>182</v>
      </c>
      <c r="E1" s="169" t="s">
        <v>183</v>
      </c>
      <c r="F1" s="169" t="s">
        <v>184</v>
      </c>
      <c r="G1" s="169" t="s">
        <v>185</v>
      </c>
      <c r="H1" s="169" t="s">
        <v>186</v>
      </c>
      <c r="I1" s="169" t="s">
        <v>187</v>
      </c>
      <c r="J1" s="169" t="s">
        <v>188</v>
      </c>
      <c r="K1" s="169" t="s">
        <v>189</v>
      </c>
      <c r="L1" s="169" t="s">
        <v>190</v>
      </c>
      <c r="M1" s="169" t="s">
        <v>191</v>
      </c>
      <c r="N1" s="169" t="s">
        <v>192</v>
      </c>
      <c r="O1" s="170" t="s">
        <v>220</v>
      </c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I1" s="172"/>
      <c r="BJ1" s="172"/>
      <c r="BK1" s="172"/>
      <c r="BL1" s="172"/>
      <c r="BM1" s="172"/>
      <c r="BN1" s="172"/>
      <c r="BO1" s="172"/>
      <c r="BP1" s="172"/>
      <c r="BQ1" s="172"/>
      <c r="BR1" s="172"/>
      <c r="BS1" s="172"/>
      <c r="BT1" s="172"/>
      <c r="BU1" s="172"/>
      <c r="BV1" s="172"/>
      <c r="BW1" s="172"/>
      <c r="BX1" s="172"/>
      <c r="BY1" s="172"/>
      <c r="BZ1" s="172"/>
      <c r="CA1" s="172"/>
      <c r="CB1" s="172"/>
      <c r="CC1" s="172"/>
      <c r="CD1" s="172"/>
      <c r="CE1" s="172"/>
      <c r="CF1" s="172"/>
      <c r="CG1" s="172"/>
      <c r="CH1" s="172"/>
      <c r="CI1" s="172"/>
      <c r="CJ1" s="172"/>
      <c r="CK1" s="172"/>
      <c r="CL1" s="172"/>
      <c r="CM1" s="172"/>
      <c r="CN1" s="172"/>
      <c r="CO1" s="172"/>
      <c r="CP1" s="172"/>
      <c r="CQ1" s="172"/>
      <c r="CR1" s="172"/>
      <c r="CS1" s="172"/>
      <c r="CT1" s="172"/>
      <c r="CU1" s="172"/>
      <c r="CV1" s="172"/>
      <c r="CW1" s="172"/>
      <c r="CX1" s="172"/>
      <c r="CY1" s="172"/>
      <c r="CZ1" s="172"/>
      <c r="DA1" s="172"/>
      <c r="DB1" s="172"/>
      <c r="DC1" s="172"/>
      <c r="DD1" s="172"/>
      <c r="DE1" s="172"/>
      <c r="DF1" s="172"/>
      <c r="DG1" s="172"/>
      <c r="DH1" s="172"/>
      <c r="DI1" s="172"/>
      <c r="DJ1" s="172"/>
      <c r="DK1" s="172"/>
      <c r="DL1" s="172"/>
      <c r="DM1" s="172"/>
      <c r="DN1" s="172"/>
      <c r="DO1" s="172"/>
      <c r="DP1" s="172"/>
      <c r="DQ1" s="172"/>
      <c r="DR1" s="172"/>
      <c r="DS1" s="172"/>
      <c r="DT1" s="172"/>
      <c r="DU1" s="172"/>
      <c r="DV1" s="172"/>
      <c r="DW1" s="172"/>
      <c r="DX1" s="172"/>
      <c r="DY1" s="172"/>
      <c r="DZ1" s="172"/>
      <c r="EA1" s="172"/>
      <c r="EB1" s="172"/>
      <c r="EC1" s="172"/>
      <c r="ED1" s="172"/>
      <c r="EE1" s="172"/>
      <c r="EF1" s="172"/>
      <c r="EG1" s="172"/>
      <c r="EH1" s="172"/>
      <c r="EI1" s="172"/>
      <c r="EJ1" s="172"/>
      <c r="EK1" s="172"/>
      <c r="EL1" s="172"/>
      <c r="EM1" s="172"/>
      <c r="EN1" s="172"/>
      <c r="EO1" s="172"/>
      <c r="EP1" s="172"/>
      <c r="EQ1" s="172"/>
      <c r="ER1" s="172"/>
      <c r="ES1" s="172"/>
      <c r="ET1" s="172"/>
      <c r="EU1" s="172"/>
      <c r="EV1" s="172"/>
      <c r="EW1" s="172"/>
      <c r="EX1" s="172"/>
      <c r="EY1" s="172"/>
      <c r="EZ1" s="172"/>
      <c r="FA1" s="172"/>
      <c r="FB1" s="172"/>
      <c r="FC1" s="172"/>
      <c r="FD1" s="172"/>
      <c r="FE1" s="172"/>
      <c r="FF1" s="172"/>
      <c r="FG1" s="172"/>
      <c r="FH1" s="172"/>
      <c r="FI1" s="172"/>
      <c r="FJ1" s="172"/>
      <c r="FK1" s="172"/>
      <c r="FL1" s="172"/>
      <c r="FM1" s="172"/>
      <c r="FN1" s="172"/>
      <c r="FO1" s="172"/>
      <c r="FP1" s="172"/>
      <c r="FQ1" s="172"/>
      <c r="FR1" s="172"/>
      <c r="FS1" s="172"/>
      <c r="FT1" s="172"/>
      <c r="FU1" s="172"/>
      <c r="FV1" s="172"/>
      <c r="FW1" s="172"/>
      <c r="FX1" s="172"/>
      <c r="FY1" s="172"/>
      <c r="FZ1" s="172"/>
      <c r="GA1" s="172"/>
      <c r="GB1" s="172"/>
      <c r="GC1" s="172"/>
      <c r="GD1" s="172"/>
      <c r="GE1" s="172"/>
      <c r="GF1" s="172"/>
      <c r="GG1" s="172"/>
      <c r="GH1" s="172"/>
      <c r="GI1" s="172"/>
      <c r="GJ1" s="172"/>
      <c r="GK1" s="172"/>
      <c r="GL1" s="172"/>
      <c r="GM1" s="172"/>
      <c r="GN1" s="172"/>
      <c r="GO1" s="172"/>
      <c r="GP1" s="172"/>
      <c r="GQ1" s="172"/>
      <c r="GR1" s="172"/>
      <c r="GS1" s="172"/>
      <c r="GT1" s="172"/>
      <c r="GU1" s="172"/>
      <c r="GV1" s="172"/>
      <c r="GW1" s="172"/>
      <c r="GX1" s="172"/>
      <c r="GY1" s="172"/>
      <c r="GZ1" s="172"/>
      <c r="HA1" s="172"/>
      <c r="HB1" s="172"/>
      <c r="HC1" s="172"/>
      <c r="HD1" s="172"/>
      <c r="HE1" s="172"/>
      <c r="HF1" s="172"/>
      <c r="HG1" s="172"/>
      <c r="HH1" s="172"/>
      <c r="HI1" s="172"/>
      <c r="HJ1" s="172"/>
      <c r="HK1" s="172"/>
      <c r="HL1" s="172"/>
      <c r="HM1" s="172"/>
      <c r="HN1" s="172"/>
      <c r="HO1" s="172"/>
      <c r="HP1" s="172"/>
      <c r="HQ1" s="172"/>
      <c r="HR1" s="172"/>
      <c r="HS1" s="172"/>
      <c r="HT1" s="172"/>
      <c r="HU1" s="172"/>
      <c r="HV1" s="172"/>
      <c r="HW1" s="172"/>
      <c r="HX1" s="172"/>
      <c r="HY1" s="172"/>
      <c r="HZ1" s="172"/>
      <c r="IA1" s="172"/>
      <c r="IB1" s="172"/>
      <c r="IC1" s="172"/>
      <c r="ID1" s="172"/>
      <c r="IE1" s="172"/>
      <c r="IF1" s="172"/>
      <c r="IG1" s="172"/>
      <c r="IH1" s="172"/>
      <c r="II1" s="172"/>
      <c r="IJ1" s="172"/>
      <c r="IK1" s="172"/>
      <c r="IL1" s="172"/>
      <c r="IM1" s="172"/>
      <c r="IN1" s="172"/>
      <c r="IO1" s="172"/>
      <c r="IP1" s="172"/>
    </row>
    <row r="2" spans="1:250">
      <c r="A2" s="174">
        <v>601</v>
      </c>
      <c r="B2" s="174" t="s">
        <v>557</v>
      </c>
      <c r="C2" s="175">
        <f>'601'!F109</f>
        <v>11834000</v>
      </c>
      <c r="D2" s="175">
        <f>'601'!G109</f>
        <v>2872000</v>
      </c>
      <c r="E2" s="175">
        <f>'601'!H109</f>
        <v>3009000</v>
      </c>
      <c r="F2" s="175">
        <f>'601'!I109</f>
        <v>3394000</v>
      </c>
      <c r="G2" s="175">
        <f>'601'!J109</f>
        <v>2872000</v>
      </c>
      <c r="H2" s="175">
        <f>'601'!K109</f>
        <v>2874000</v>
      </c>
      <c r="I2" s="175">
        <f>'601'!L109</f>
        <v>2905000</v>
      </c>
      <c r="J2" s="175">
        <f>'601'!M109</f>
        <v>2872000</v>
      </c>
      <c r="K2" s="175">
        <f>'601'!N109</f>
        <v>5046000</v>
      </c>
      <c r="L2" s="175">
        <f>'601'!O109</f>
        <v>2871000</v>
      </c>
      <c r="M2" s="175">
        <f>'601'!P109</f>
        <v>116000</v>
      </c>
      <c r="N2" s="175">
        <f>'601'!Q109</f>
        <v>118000</v>
      </c>
      <c r="O2" s="176">
        <f>SUM(C2:N2)</f>
        <v>40783000</v>
      </c>
    </row>
    <row r="3" spans="1:250">
      <c r="A3" s="228">
        <v>602</v>
      </c>
      <c r="B3" s="174" t="s">
        <v>558</v>
      </c>
      <c r="C3" s="175">
        <f>'602'!F109</f>
        <v>53262000</v>
      </c>
      <c r="D3" s="175">
        <f>'602'!G109</f>
        <v>12636000</v>
      </c>
      <c r="E3" s="175">
        <f>'602'!H109</f>
        <v>13564000</v>
      </c>
      <c r="F3" s="175">
        <f>'602'!I109</f>
        <v>15585000</v>
      </c>
      <c r="G3" s="175">
        <f>'602'!J109</f>
        <v>12636000</v>
      </c>
      <c r="H3" s="175">
        <f>'602'!K109</f>
        <v>12660000</v>
      </c>
      <c r="I3" s="175">
        <f>'602'!L109</f>
        <v>12739000</v>
      </c>
      <c r="J3" s="175">
        <f>'602'!M109</f>
        <v>12636000</v>
      </c>
      <c r="K3" s="175">
        <f>'602'!N109</f>
        <v>25156000</v>
      </c>
      <c r="L3" s="175">
        <f>'602'!O109</f>
        <v>12621000</v>
      </c>
      <c r="M3" s="175">
        <f>'602'!P109</f>
        <v>444000</v>
      </c>
      <c r="N3" s="175">
        <f>'602'!Q109</f>
        <v>428000</v>
      </c>
      <c r="O3" s="176">
        <f t="shared" ref="O3:O66" si="0">SUM(C3:N3)</f>
        <v>184367000</v>
      </c>
    </row>
    <row r="4" spans="1:250">
      <c r="A4" s="229">
        <v>603</v>
      </c>
      <c r="B4" s="174" t="s">
        <v>559</v>
      </c>
      <c r="C4" s="175">
        <f>'603'!F109</f>
        <v>20553000</v>
      </c>
      <c r="D4" s="175">
        <f>'603'!G109</f>
        <v>4831000</v>
      </c>
      <c r="E4" s="175">
        <f>'603'!H109</f>
        <v>5610000</v>
      </c>
      <c r="F4" s="175">
        <f>'603'!I109</f>
        <v>6029000</v>
      </c>
      <c r="G4" s="175">
        <f>'603'!J109</f>
        <v>4831000</v>
      </c>
      <c r="H4" s="175">
        <f>'603'!K109</f>
        <v>4837000</v>
      </c>
      <c r="I4" s="175">
        <f>'603'!L109</f>
        <v>4929000</v>
      </c>
      <c r="J4" s="175">
        <f>'603'!M109</f>
        <v>4831000</v>
      </c>
      <c r="K4" s="175">
        <f>'603'!N109</f>
        <v>10318000</v>
      </c>
      <c r="L4" s="175">
        <f>'603'!O109</f>
        <v>4830000</v>
      </c>
      <c r="M4" s="175">
        <f>'603'!P109</f>
        <v>143000</v>
      </c>
      <c r="N4" s="175">
        <f>'603'!Q109</f>
        <v>135000</v>
      </c>
      <c r="O4" s="176">
        <f t="shared" si="0"/>
        <v>71877000</v>
      </c>
    </row>
    <row r="5" spans="1:250">
      <c r="A5" s="228">
        <v>604</v>
      </c>
      <c r="B5" s="174" t="s">
        <v>560</v>
      </c>
      <c r="C5" s="175">
        <f>'604'!F109</f>
        <v>16211000</v>
      </c>
      <c r="D5" s="175">
        <f>'604'!G109</f>
        <v>3776000</v>
      </c>
      <c r="E5" s="175">
        <f>'604'!H109</f>
        <v>4074000</v>
      </c>
      <c r="F5" s="175">
        <f>'604'!I109</f>
        <v>4549000</v>
      </c>
      <c r="G5" s="175">
        <f>'604'!J109</f>
        <v>3782000</v>
      </c>
      <c r="H5" s="175">
        <f>'604'!K109</f>
        <v>3792000</v>
      </c>
      <c r="I5" s="175">
        <f>'604'!L109</f>
        <v>3819000</v>
      </c>
      <c r="J5" s="175">
        <f>'604'!M109</f>
        <v>3782000</v>
      </c>
      <c r="K5" s="175">
        <f>'604'!N109</f>
        <v>7066000</v>
      </c>
      <c r="L5" s="175">
        <f>'604'!O109</f>
        <v>3779000</v>
      </c>
      <c r="M5" s="175">
        <f>'604'!P109</f>
        <v>134000</v>
      </c>
      <c r="N5" s="175">
        <f>'604'!Q109</f>
        <v>127000</v>
      </c>
      <c r="O5" s="176">
        <f t="shared" si="0"/>
        <v>54891000</v>
      </c>
    </row>
    <row r="6" spans="1:250">
      <c r="A6" s="228">
        <v>605</v>
      </c>
      <c r="B6" s="174" t="s">
        <v>561</v>
      </c>
      <c r="C6" s="175">
        <f>'605'!F109</f>
        <v>31706000</v>
      </c>
      <c r="D6" s="175">
        <f>'605'!G109</f>
        <v>7343000</v>
      </c>
      <c r="E6" s="175">
        <f>'605'!H109</f>
        <v>7737000</v>
      </c>
      <c r="F6" s="175">
        <f>'605'!I109</f>
        <v>9072000</v>
      </c>
      <c r="G6" s="175">
        <f>'605'!J109</f>
        <v>7343000</v>
      </c>
      <c r="H6" s="175">
        <f>'605'!K109</f>
        <v>7357000</v>
      </c>
      <c r="I6" s="175">
        <f>'605'!L109</f>
        <v>7418000</v>
      </c>
      <c r="J6" s="175">
        <f>'605'!M109</f>
        <v>7343000</v>
      </c>
      <c r="K6" s="175">
        <f>'605'!N109</f>
        <v>14551000</v>
      </c>
      <c r="L6" s="175">
        <f>'605'!O109</f>
        <v>7343000</v>
      </c>
      <c r="M6" s="175">
        <f>'605'!P109</f>
        <v>194000</v>
      </c>
      <c r="N6" s="175">
        <f>'605'!Q109</f>
        <v>193000</v>
      </c>
      <c r="O6" s="176">
        <f t="shared" si="0"/>
        <v>107600000</v>
      </c>
    </row>
    <row r="7" spans="1:250">
      <c r="A7" s="228">
        <v>606</v>
      </c>
      <c r="B7" s="174" t="s">
        <v>562</v>
      </c>
      <c r="C7" s="175">
        <f>'606'!F109</f>
        <v>6837000</v>
      </c>
      <c r="D7" s="175">
        <f>'606'!G109</f>
        <v>1580000</v>
      </c>
      <c r="E7" s="175">
        <f>'606'!H109</f>
        <v>1738000</v>
      </c>
      <c r="F7" s="175">
        <f>'606'!I109</f>
        <v>1949000</v>
      </c>
      <c r="G7" s="175">
        <f>'606'!J109</f>
        <v>1580000</v>
      </c>
      <c r="H7" s="175">
        <f>'606'!K109</f>
        <v>1588000</v>
      </c>
      <c r="I7" s="175">
        <f>'606'!L109</f>
        <v>1593000</v>
      </c>
      <c r="J7" s="175">
        <f>'606'!M109</f>
        <v>1580000</v>
      </c>
      <c r="K7" s="175">
        <f>'606'!N109</f>
        <v>3188000</v>
      </c>
      <c r="L7" s="175">
        <f>'606'!O109</f>
        <v>1580000</v>
      </c>
      <c r="M7" s="175">
        <f>'606'!P109</f>
        <v>76000</v>
      </c>
      <c r="N7" s="175">
        <f>'606'!Q109</f>
        <v>63000</v>
      </c>
      <c r="O7" s="176">
        <f t="shared" si="0"/>
        <v>23352000</v>
      </c>
    </row>
    <row r="8" spans="1:250">
      <c r="A8" s="228">
        <v>607</v>
      </c>
      <c r="B8" s="174" t="s">
        <v>563</v>
      </c>
      <c r="C8" s="175">
        <f>'607'!F109</f>
        <v>7537000</v>
      </c>
      <c r="D8" s="175">
        <f>'607'!G109</f>
        <v>1720000</v>
      </c>
      <c r="E8" s="175">
        <f>'607'!H109</f>
        <v>1965000</v>
      </c>
      <c r="F8" s="175">
        <f>'607'!I109</f>
        <v>2134000</v>
      </c>
      <c r="G8" s="175">
        <f>'607'!J109</f>
        <v>1720000</v>
      </c>
      <c r="H8" s="175">
        <f>'607'!K109</f>
        <v>1726000</v>
      </c>
      <c r="I8" s="175">
        <f>'607'!L109</f>
        <v>1712000</v>
      </c>
      <c r="J8" s="175">
        <f>'607'!M109</f>
        <v>1720000</v>
      </c>
      <c r="K8" s="175">
        <f>'607'!N109</f>
        <v>3594000</v>
      </c>
      <c r="L8" s="175">
        <f>'607'!O109</f>
        <v>1731000</v>
      </c>
      <c r="M8" s="175">
        <f>'607'!P109</f>
        <v>72000</v>
      </c>
      <c r="N8" s="175">
        <f>'607'!Q109</f>
        <v>56000</v>
      </c>
      <c r="O8" s="176">
        <f t="shared" si="0"/>
        <v>25687000</v>
      </c>
    </row>
    <row r="9" spans="1:250">
      <c r="A9" s="228">
        <v>608</v>
      </c>
      <c r="B9" s="174" t="s">
        <v>564</v>
      </c>
      <c r="C9" s="175">
        <f>'608'!F109</f>
        <v>15337000</v>
      </c>
      <c r="D9" s="175">
        <f>'608'!G109</f>
        <v>3519000</v>
      </c>
      <c r="E9" s="175">
        <f>'608'!H109</f>
        <v>4030000</v>
      </c>
      <c r="F9" s="175">
        <f>'608'!I109</f>
        <v>4368000</v>
      </c>
      <c r="G9" s="175">
        <f>'608'!J109</f>
        <v>3519000</v>
      </c>
      <c r="H9" s="175">
        <f>'608'!K109</f>
        <v>3523000</v>
      </c>
      <c r="I9" s="175">
        <f>'608'!L109</f>
        <v>3528000</v>
      </c>
      <c r="J9" s="175">
        <f>'608'!M109</f>
        <v>3519000</v>
      </c>
      <c r="K9" s="175">
        <f>'608'!N109</f>
        <v>7365000</v>
      </c>
      <c r="L9" s="175">
        <f>'608'!O109</f>
        <v>3517000</v>
      </c>
      <c r="M9" s="175">
        <f>'608'!P109</f>
        <v>108000</v>
      </c>
      <c r="N9" s="175">
        <f>'608'!Q109</f>
        <v>99000</v>
      </c>
      <c r="O9" s="176">
        <f t="shared" si="0"/>
        <v>52432000</v>
      </c>
    </row>
    <row r="10" spans="1:250" s="234" customFormat="1">
      <c r="A10" s="228">
        <v>609</v>
      </c>
      <c r="B10" s="228" t="s">
        <v>565</v>
      </c>
      <c r="C10" s="232">
        <f>'609'!F109</f>
        <v>18866000</v>
      </c>
      <c r="D10" s="232">
        <f>'609'!G109</f>
        <v>4360000</v>
      </c>
      <c r="E10" s="232">
        <f>'609'!H109</f>
        <v>4799000</v>
      </c>
      <c r="F10" s="232">
        <f>'609'!I109</f>
        <v>5354000</v>
      </c>
      <c r="G10" s="232">
        <f>'609'!J109</f>
        <v>4360000</v>
      </c>
      <c r="H10" s="232">
        <f>'609'!K109</f>
        <v>4364000</v>
      </c>
      <c r="I10" s="232">
        <f>'609'!L109</f>
        <v>4401000</v>
      </c>
      <c r="J10" s="232">
        <f>'609'!M109</f>
        <v>4360000</v>
      </c>
      <c r="K10" s="232">
        <f>'609'!N109</f>
        <v>8692000</v>
      </c>
      <c r="L10" s="232">
        <f>'609'!O109</f>
        <v>4355000</v>
      </c>
      <c r="M10" s="232">
        <f>'609'!P109</f>
        <v>127000</v>
      </c>
      <c r="N10" s="232">
        <f>'609'!Q109</f>
        <v>134000</v>
      </c>
      <c r="O10" s="233">
        <f t="shared" si="0"/>
        <v>64172000</v>
      </c>
    </row>
    <row r="11" spans="1:250" s="234" customFormat="1">
      <c r="A11" s="228">
        <v>610</v>
      </c>
      <c r="B11" s="228" t="s">
        <v>566</v>
      </c>
      <c r="C11" s="232">
        <f>'610'!F109</f>
        <v>7118000</v>
      </c>
      <c r="D11" s="232">
        <f>'610'!G109</f>
        <v>1646000</v>
      </c>
      <c r="E11" s="232">
        <f>'610'!H109</f>
        <v>1703000</v>
      </c>
      <c r="F11" s="232">
        <f>'610'!I109</f>
        <v>2055000</v>
      </c>
      <c r="G11" s="232">
        <f>'610'!J109</f>
        <v>1646000</v>
      </c>
      <c r="H11" s="232">
        <f>'610'!K109</f>
        <v>1650000</v>
      </c>
      <c r="I11" s="232">
        <f>'610'!L109</f>
        <v>1659000</v>
      </c>
      <c r="J11" s="232">
        <f>'610'!M109</f>
        <v>1646000</v>
      </c>
      <c r="K11" s="232">
        <f>'610'!N109</f>
        <v>3313000</v>
      </c>
      <c r="L11" s="232">
        <f>'610'!O109</f>
        <v>1640000</v>
      </c>
      <c r="M11" s="232">
        <f>'610'!P109</f>
        <v>74000</v>
      </c>
      <c r="N11" s="232">
        <f>'610'!Q109</f>
        <v>69000</v>
      </c>
      <c r="O11" s="233">
        <f t="shared" si="0"/>
        <v>24219000</v>
      </c>
    </row>
    <row r="12" spans="1:250" s="234" customFormat="1">
      <c r="A12" s="228">
        <v>611</v>
      </c>
      <c r="B12" s="228" t="s">
        <v>567</v>
      </c>
      <c r="C12" s="232">
        <f>'611'!F109</f>
        <v>22174000</v>
      </c>
      <c r="D12" s="232">
        <f>'611'!G109</f>
        <v>5121000</v>
      </c>
      <c r="E12" s="232">
        <f>'611'!H109</f>
        <v>5831000</v>
      </c>
      <c r="F12" s="232">
        <f>'611'!I109</f>
        <v>6402000</v>
      </c>
      <c r="G12" s="232">
        <f>'611'!J109</f>
        <v>5121000</v>
      </c>
      <c r="H12" s="232">
        <f>'611'!K109</f>
        <v>5123000</v>
      </c>
      <c r="I12" s="232">
        <f>'611'!L109</f>
        <v>5151000</v>
      </c>
      <c r="J12" s="232">
        <f>'611'!M109</f>
        <v>5121000</v>
      </c>
      <c r="K12" s="232">
        <f>'611'!N109</f>
        <v>10859000</v>
      </c>
      <c r="L12" s="232">
        <f>'611'!O109</f>
        <v>5127000</v>
      </c>
      <c r="M12" s="232">
        <f>'611'!P109</f>
        <v>142000</v>
      </c>
      <c r="N12" s="232">
        <f>'611'!Q109</f>
        <v>133000</v>
      </c>
      <c r="O12" s="233">
        <f t="shared" si="0"/>
        <v>76305000</v>
      </c>
    </row>
    <row r="13" spans="1:250" s="234" customFormat="1">
      <c r="A13" s="228">
        <v>612</v>
      </c>
      <c r="B13" s="228" t="s">
        <v>568</v>
      </c>
      <c r="C13" s="232">
        <f>'612'!F109</f>
        <v>6817000</v>
      </c>
      <c r="D13" s="232">
        <f>'612'!G109</f>
        <v>1557000</v>
      </c>
      <c r="E13" s="232">
        <f>'612'!H109</f>
        <v>1587000</v>
      </c>
      <c r="F13" s="232">
        <f>'612'!I109</f>
        <v>1885000</v>
      </c>
      <c r="G13" s="232">
        <f>'612'!J109</f>
        <v>1557000</v>
      </c>
      <c r="H13" s="232">
        <f>'612'!K109</f>
        <v>1557000</v>
      </c>
      <c r="I13" s="232">
        <f>'612'!L109</f>
        <v>1572000</v>
      </c>
      <c r="J13" s="232">
        <f>'612'!M109</f>
        <v>1557000</v>
      </c>
      <c r="K13" s="232">
        <f>'612'!N109</f>
        <v>2873000</v>
      </c>
      <c r="L13" s="232">
        <f>'612'!O109</f>
        <v>1564000</v>
      </c>
      <c r="M13" s="232">
        <f>'612'!P109</f>
        <v>67000</v>
      </c>
      <c r="N13" s="232">
        <f>'612'!Q109</f>
        <v>61000</v>
      </c>
      <c r="O13" s="233">
        <f t="shared" si="0"/>
        <v>22654000</v>
      </c>
    </row>
    <row r="14" spans="1:250" s="234" customFormat="1">
      <c r="A14" s="228">
        <v>613</v>
      </c>
      <c r="B14" s="228" t="s">
        <v>569</v>
      </c>
      <c r="C14" s="232">
        <f>'613'!F109</f>
        <v>13232000</v>
      </c>
      <c r="D14" s="232">
        <f>'613'!G109</f>
        <v>3238000</v>
      </c>
      <c r="E14" s="232">
        <f>'613'!H109</f>
        <v>3440000</v>
      </c>
      <c r="F14" s="232">
        <f>'613'!I109</f>
        <v>3868000</v>
      </c>
      <c r="G14" s="232">
        <f>'613'!J109</f>
        <v>3248000</v>
      </c>
      <c r="H14" s="232">
        <f>'613'!K109</f>
        <v>3250000</v>
      </c>
      <c r="I14" s="232">
        <f>'613'!L109</f>
        <v>3423000</v>
      </c>
      <c r="J14" s="232">
        <f>'613'!M109</f>
        <v>3248000</v>
      </c>
      <c r="K14" s="232">
        <f>'613'!N109</f>
        <v>5805000</v>
      </c>
      <c r="L14" s="232">
        <f>'613'!O109</f>
        <v>3262000</v>
      </c>
      <c r="M14" s="232">
        <f>'613'!P109</f>
        <v>151000</v>
      </c>
      <c r="N14" s="232">
        <f>'613'!Q109</f>
        <v>148000</v>
      </c>
      <c r="O14" s="233">
        <f t="shared" si="0"/>
        <v>46313000</v>
      </c>
    </row>
    <row r="15" spans="1:250" s="234" customFormat="1">
      <c r="A15" s="228">
        <v>614</v>
      </c>
      <c r="B15" s="228" t="s">
        <v>570</v>
      </c>
      <c r="C15" s="232">
        <f>'614'!F109</f>
        <v>20343000</v>
      </c>
      <c r="D15" s="232">
        <f>'614'!G109</f>
        <v>4708000</v>
      </c>
      <c r="E15" s="232">
        <f>'614'!H109</f>
        <v>5115000</v>
      </c>
      <c r="F15" s="232">
        <f>'614'!I109</f>
        <v>5864000</v>
      </c>
      <c r="G15" s="232">
        <f>'614'!J109</f>
        <v>4708000</v>
      </c>
      <c r="H15" s="232">
        <f>'614'!K109</f>
        <v>4710000</v>
      </c>
      <c r="I15" s="232">
        <f>'614'!L109</f>
        <v>4754000</v>
      </c>
      <c r="J15" s="232">
        <f>'614'!M109</f>
        <v>4708000</v>
      </c>
      <c r="K15" s="232">
        <f>'614'!N109</f>
        <v>9654000</v>
      </c>
      <c r="L15" s="232">
        <f>'614'!O109</f>
        <v>4711000</v>
      </c>
      <c r="M15" s="232">
        <f>'614'!P109</f>
        <v>139000</v>
      </c>
      <c r="N15" s="232">
        <f>'614'!Q109</f>
        <v>139000</v>
      </c>
      <c r="O15" s="233">
        <f t="shared" si="0"/>
        <v>69553000</v>
      </c>
    </row>
    <row r="16" spans="1:250" s="234" customFormat="1">
      <c r="A16" s="228">
        <v>615</v>
      </c>
      <c r="B16" s="228" t="s">
        <v>571</v>
      </c>
      <c r="C16" s="232">
        <f>'615'!F109</f>
        <v>6988000</v>
      </c>
      <c r="D16" s="232">
        <f>'615'!G109</f>
        <v>1631000</v>
      </c>
      <c r="E16" s="232">
        <f>'615'!H109</f>
        <v>1842000</v>
      </c>
      <c r="F16" s="232">
        <f>'615'!I109</f>
        <v>1945000</v>
      </c>
      <c r="G16" s="232">
        <f>'615'!J109</f>
        <v>1631000</v>
      </c>
      <c r="H16" s="232">
        <f>'615'!K109</f>
        <v>1633000</v>
      </c>
      <c r="I16" s="232">
        <f>'615'!L109</f>
        <v>1645000</v>
      </c>
      <c r="J16" s="232">
        <f>'615'!M109</f>
        <v>1631000</v>
      </c>
      <c r="K16" s="232">
        <f>'615'!N109</f>
        <v>3074000</v>
      </c>
      <c r="L16" s="232">
        <f>'615'!O109</f>
        <v>1634000</v>
      </c>
      <c r="M16" s="232">
        <f>'615'!P109</f>
        <v>66000</v>
      </c>
      <c r="N16" s="232">
        <f>'615'!Q109</f>
        <v>63000</v>
      </c>
      <c r="O16" s="233">
        <f t="shared" si="0"/>
        <v>23783000</v>
      </c>
    </row>
    <row r="17" spans="1:15" s="237" customFormat="1">
      <c r="A17" s="228">
        <v>616</v>
      </c>
      <c r="B17" s="228" t="s">
        <v>572</v>
      </c>
      <c r="C17" s="232">
        <f>'616'!F109</f>
        <v>6249000</v>
      </c>
      <c r="D17" s="232">
        <f>'616'!G109</f>
        <v>1388000</v>
      </c>
      <c r="E17" s="232">
        <f>'616'!H109</f>
        <v>1666000</v>
      </c>
      <c r="F17" s="232">
        <f>'616'!I109</f>
        <v>1763000</v>
      </c>
      <c r="G17" s="232">
        <f>'616'!J109</f>
        <v>1388000</v>
      </c>
      <c r="H17" s="232">
        <f>'616'!K109</f>
        <v>1390000</v>
      </c>
      <c r="I17" s="232">
        <f>'616'!L109</f>
        <v>1403000</v>
      </c>
      <c r="J17" s="232">
        <f>'616'!M109</f>
        <v>1388000</v>
      </c>
      <c r="K17" s="232">
        <f>'616'!N109</f>
        <v>3137000</v>
      </c>
      <c r="L17" s="232">
        <f>'616'!O109</f>
        <v>1387000</v>
      </c>
      <c r="M17" s="232">
        <f>'616'!P109</f>
        <v>63000</v>
      </c>
      <c r="N17" s="232">
        <f>'616'!Q109</f>
        <v>59000</v>
      </c>
      <c r="O17" s="233">
        <f t="shared" si="0"/>
        <v>21281000</v>
      </c>
    </row>
    <row r="18" spans="1:15" s="237" customFormat="1">
      <c r="A18" s="228">
        <v>617</v>
      </c>
      <c r="B18" s="228" t="s">
        <v>573</v>
      </c>
      <c r="C18" s="232">
        <f>'617'!F109</f>
        <v>14076000</v>
      </c>
      <c r="D18" s="232">
        <f>'617'!G109</f>
        <v>3345000</v>
      </c>
      <c r="E18" s="232">
        <f>'617'!H109</f>
        <v>3568000</v>
      </c>
      <c r="F18" s="232">
        <f>'617'!I109</f>
        <v>3950000</v>
      </c>
      <c r="G18" s="232">
        <f>'617'!J109</f>
        <v>3345000</v>
      </c>
      <c r="H18" s="232">
        <f>'617'!K109</f>
        <v>3349000</v>
      </c>
      <c r="I18" s="232">
        <f>'617'!L109</f>
        <v>3384000</v>
      </c>
      <c r="J18" s="232">
        <f>'617'!M109</f>
        <v>3345000</v>
      </c>
      <c r="K18" s="232">
        <f>'617'!N109</f>
        <v>5940000</v>
      </c>
      <c r="L18" s="232">
        <f>'617'!O109</f>
        <v>3348000</v>
      </c>
      <c r="M18" s="232">
        <f>'617'!P109</f>
        <v>118000</v>
      </c>
      <c r="N18" s="232">
        <f>'617'!Q109</f>
        <v>121000</v>
      </c>
      <c r="O18" s="233">
        <f t="shared" si="0"/>
        <v>47889000</v>
      </c>
    </row>
    <row r="19" spans="1:15" s="279" customFormat="1">
      <c r="A19" s="229">
        <v>618</v>
      </c>
      <c r="B19" s="229" t="s">
        <v>574</v>
      </c>
      <c r="C19" s="277">
        <f>'618'!F109</f>
        <v>35022000</v>
      </c>
      <c r="D19" s="277">
        <f>'618'!G109</f>
        <v>8104000</v>
      </c>
      <c r="E19" s="277">
        <f>'618'!H109</f>
        <v>8999000</v>
      </c>
      <c r="F19" s="277">
        <f>'618'!I109</f>
        <v>9653000</v>
      </c>
      <c r="G19" s="277">
        <f>'618'!J109</f>
        <v>8104000</v>
      </c>
      <c r="H19" s="277">
        <f>'618'!K109</f>
        <v>8114000</v>
      </c>
      <c r="I19" s="277">
        <f>'618'!L109</f>
        <v>8166000</v>
      </c>
      <c r="J19" s="277">
        <f>'618'!M109</f>
        <v>8104000</v>
      </c>
      <c r="K19" s="277">
        <f>'618'!N109</f>
        <v>15064000</v>
      </c>
      <c r="L19" s="277">
        <f>'618'!O109</f>
        <v>8104000</v>
      </c>
      <c r="M19" s="277">
        <f>'618'!P109</f>
        <v>269000</v>
      </c>
      <c r="N19" s="277">
        <f>'618'!Q109</f>
        <v>258000</v>
      </c>
      <c r="O19" s="278">
        <f t="shared" si="0"/>
        <v>117961000</v>
      </c>
    </row>
    <row r="20" spans="1:15" s="279" customFormat="1">
      <c r="A20" s="229">
        <v>619</v>
      </c>
      <c r="B20" s="229" t="s">
        <v>575</v>
      </c>
      <c r="C20" s="277">
        <f>'619'!F109</f>
        <v>27944000</v>
      </c>
      <c r="D20" s="277">
        <f>'619'!G109</f>
        <v>6452000</v>
      </c>
      <c r="E20" s="277">
        <f>'619'!H109</f>
        <v>6915000</v>
      </c>
      <c r="F20" s="277">
        <f>'619'!I109</f>
        <v>8098000</v>
      </c>
      <c r="G20" s="277">
        <f>'619'!J109</f>
        <v>6452000</v>
      </c>
      <c r="H20" s="277">
        <f>'619'!K109</f>
        <v>6460000</v>
      </c>
      <c r="I20" s="277">
        <f>'619'!L109</f>
        <v>6519000</v>
      </c>
      <c r="J20" s="277">
        <f>'619'!M109</f>
        <v>6452000</v>
      </c>
      <c r="K20" s="277">
        <f>'619'!N109</f>
        <v>13388000</v>
      </c>
      <c r="L20" s="277">
        <f>'619'!O109</f>
        <v>6445000</v>
      </c>
      <c r="M20" s="277">
        <f>'619'!P109</f>
        <v>176000</v>
      </c>
      <c r="N20" s="277">
        <f>'619'!Q109</f>
        <v>184000</v>
      </c>
      <c r="O20" s="278">
        <f t="shared" si="0"/>
        <v>95485000</v>
      </c>
    </row>
    <row r="21" spans="1:15" s="279" customFormat="1">
      <c r="A21" s="229">
        <v>620</v>
      </c>
      <c r="B21" s="229" t="s">
        <v>576</v>
      </c>
      <c r="C21" s="277">
        <f>'620'!F109</f>
        <v>7628000</v>
      </c>
      <c r="D21" s="277">
        <f>'620'!G109</f>
        <v>1805000</v>
      </c>
      <c r="E21" s="277">
        <f>'620'!H109</f>
        <v>1894000</v>
      </c>
      <c r="F21" s="277">
        <f>'620'!I109</f>
        <v>2259000</v>
      </c>
      <c r="G21" s="277">
        <f>'620'!J109</f>
        <v>1812000</v>
      </c>
      <c r="H21" s="277">
        <f>'620'!K109</f>
        <v>1818000</v>
      </c>
      <c r="I21" s="277">
        <f>'620'!L109</f>
        <v>1824000</v>
      </c>
      <c r="J21" s="277">
        <f>'620'!M109</f>
        <v>1812000</v>
      </c>
      <c r="K21" s="277">
        <f>'620'!N109</f>
        <v>3635000</v>
      </c>
      <c r="L21" s="277">
        <f>'620'!O109</f>
        <v>1813000</v>
      </c>
      <c r="M21" s="277">
        <f>'620'!P109</f>
        <v>88000</v>
      </c>
      <c r="N21" s="277">
        <f>'620'!Q109</f>
        <v>81000</v>
      </c>
      <c r="O21" s="278">
        <f t="shared" si="0"/>
        <v>26469000</v>
      </c>
    </row>
    <row r="22" spans="1:15" s="279" customFormat="1">
      <c r="A22" s="229">
        <v>621</v>
      </c>
      <c r="B22" s="229" t="s">
        <v>577</v>
      </c>
      <c r="C22" s="277">
        <f>'621'!F109</f>
        <v>13753000</v>
      </c>
      <c r="D22" s="277">
        <f>'621'!G109</f>
        <v>3156000</v>
      </c>
      <c r="E22" s="277">
        <f>'621'!H109</f>
        <v>3346000</v>
      </c>
      <c r="F22" s="277">
        <f>'621'!I109</f>
        <v>3948000</v>
      </c>
      <c r="G22" s="277">
        <f>'621'!J109</f>
        <v>3156000</v>
      </c>
      <c r="H22" s="277">
        <f>'621'!K109</f>
        <v>3164000</v>
      </c>
      <c r="I22" s="277">
        <f>'621'!L109</f>
        <v>3188000</v>
      </c>
      <c r="J22" s="277">
        <f>'621'!M109</f>
        <v>3156000</v>
      </c>
      <c r="K22" s="277">
        <f>'621'!N109</f>
        <v>6462000</v>
      </c>
      <c r="L22" s="277">
        <f>'621'!O109</f>
        <v>3159000</v>
      </c>
      <c r="M22" s="277">
        <f>'621'!P109</f>
        <v>109000</v>
      </c>
      <c r="N22" s="277">
        <f>'621'!Q109</f>
        <v>106000</v>
      </c>
      <c r="O22" s="278">
        <f t="shared" si="0"/>
        <v>46703000</v>
      </c>
    </row>
    <row r="23" spans="1:15" s="279" customFormat="1">
      <c r="A23" s="229">
        <v>622</v>
      </c>
      <c r="B23" s="229" t="s">
        <v>578</v>
      </c>
      <c r="C23" s="277">
        <f>'622'!F109</f>
        <v>7271000</v>
      </c>
      <c r="D23" s="277">
        <f>'622'!G109</f>
        <v>1645000</v>
      </c>
      <c r="E23" s="277">
        <f>'622'!H109</f>
        <v>1757000</v>
      </c>
      <c r="F23" s="277">
        <f>'622'!I109</f>
        <v>2040000</v>
      </c>
      <c r="G23" s="277">
        <f>'622'!J109</f>
        <v>1645000</v>
      </c>
      <c r="H23" s="277">
        <f>'622'!K109</f>
        <v>1650000</v>
      </c>
      <c r="I23" s="277">
        <f>'622'!L109</f>
        <v>1662000</v>
      </c>
      <c r="J23" s="277">
        <f>'622'!M109</f>
        <v>1645000</v>
      </c>
      <c r="K23" s="277">
        <f>'622'!N109</f>
        <v>3310000</v>
      </c>
      <c r="L23" s="277">
        <f>'622'!O109</f>
        <v>1641000</v>
      </c>
      <c r="M23" s="277">
        <f>'622'!P109</f>
        <v>69000</v>
      </c>
      <c r="N23" s="277">
        <f>'622'!Q109</f>
        <v>58000</v>
      </c>
      <c r="O23" s="278">
        <f t="shared" si="0"/>
        <v>24393000</v>
      </c>
    </row>
    <row r="24" spans="1:15" s="279" customFormat="1">
      <c r="A24" s="229">
        <v>623</v>
      </c>
      <c r="B24" s="229" t="s">
        <v>579</v>
      </c>
      <c r="C24" s="277">
        <f>'623'!F109</f>
        <v>13034000</v>
      </c>
      <c r="D24" s="277">
        <f>'623'!G109</f>
        <v>3001000</v>
      </c>
      <c r="E24" s="277">
        <f>'623'!H109</f>
        <v>3238000</v>
      </c>
      <c r="F24" s="277">
        <f>'623'!I109</f>
        <v>3617000</v>
      </c>
      <c r="G24" s="277">
        <f>'623'!J109</f>
        <v>3001000</v>
      </c>
      <c r="H24" s="277">
        <f>'623'!K109</f>
        <v>3015000</v>
      </c>
      <c r="I24" s="277">
        <f>'623'!L109</f>
        <v>3028000</v>
      </c>
      <c r="J24" s="277">
        <f>'623'!M109</f>
        <v>3001000</v>
      </c>
      <c r="K24" s="277">
        <f>'623'!N109</f>
        <v>5660000</v>
      </c>
      <c r="L24" s="277">
        <f>'623'!O109</f>
        <v>3007000</v>
      </c>
      <c r="M24" s="277">
        <f>'623'!P109</f>
        <v>109000</v>
      </c>
      <c r="N24" s="277">
        <f>'623'!Q109</f>
        <v>106000</v>
      </c>
      <c r="O24" s="278">
        <f t="shared" si="0"/>
        <v>43817000</v>
      </c>
    </row>
    <row r="25" spans="1:15" s="279" customFormat="1">
      <c r="A25" s="229">
        <v>624</v>
      </c>
      <c r="B25" s="229" t="s">
        <v>580</v>
      </c>
      <c r="C25" s="277">
        <f>'624'!F109</f>
        <v>15134000</v>
      </c>
      <c r="D25" s="277">
        <f>'624'!G109</f>
        <v>3503000</v>
      </c>
      <c r="E25" s="277">
        <f>'624'!H109</f>
        <v>3742000</v>
      </c>
      <c r="F25" s="277">
        <f>'624'!I109</f>
        <v>4304000</v>
      </c>
      <c r="G25" s="277">
        <f>'624'!J109</f>
        <v>3503000</v>
      </c>
      <c r="H25" s="277">
        <f>'624'!K109</f>
        <v>3509000</v>
      </c>
      <c r="I25" s="277">
        <f>'624'!L109</f>
        <v>3537000</v>
      </c>
      <c r="J25" s="277">
        <f>'624'!M109</f>
        <v>3503000</v>
      </c>
      <c r="K25" s="277">
        <f>'624'!N109</f>
        <v>6893000</v>
      </c>
      <c r="L25" s="277">
        <f>'624'!O109</f>
        <v>3510000</v>
      </c>
      <c r="M25" s="277">
        <f>'624'!P109</f>
        <v>108000</v>
      </c>
      <c r="N25" s="277">
        <f>'624'!Q109</f>
        <v>112000</v>
      </c>
      <c r="O25" s="278">
        <f t="shared" si="0"/>
        <v>51358000</v>
      </c>
    </row>
    <row r="26" spans="1:15" s="279" customFormat="1">
      <c r="A26" s="229">
        <v>625</v>
      </c>
      <c r="B26" s="229" t="s">
        <v>581</v>
      </c>
      <c r="C26" s="277">
        <f>'625'!F109</f>
        <v>6541000</v>
      </c>
      <c r="D26" s="277">
        <f>'625'!G109</f>
        <v>1493000</v>
      </c>
      <c r="E26" s="277">
        <f>'625'!H109</f>
        <v>1541000</v>
      </c>
      <c r="F26" s="277">
        <f>'625'!I109</f>
        <v>1851000</v>
      </c>
      <c r="G26" s="277">
        <f>'625'!J109</f>
        <v>1499000</v>
      </c>
      <c r="H26" s="277">
        <f>'625'!K109</f>
        <v>1499000</v>
      </c>
      <c r="I26" s="277">
        <f>'625'!L109</f>
        <v>1515000</v>
      </c>
      <c r="J26" s="277">
        <f>'625'!M109</f>
        <v>1499000</v>
      </c>
      <c r="K26" s="277">
        <f>'625'!N109</f>
        <v>2902000</v>
      </c>
      <c r="L26" s="277">
        <f>'625'!O109</f>
        <v>1496000</v>
      </c>
      <c r="M26" s="277">
        <f>'625'!P109</f>
        <v>72000</v>
      </c>
      <c r="N26" s="277">
        <f>'625'!Q109</f>
        <v>66000</v>
      </c>
      <c r="O26" s="278">
        <f t="shared" si="0"/>
        <v>21974000</v>
      </c>
    </row>
    <row r="27" spans="1:15" s="279" customFormat="1">
      <c r="A27" s="229">
        <v>626</v>
      </c>
      <c r="B27" s="229" t="s">
        <v>582</v>
      </c>
      <c r="C27" s="277">
        <f>'626'!F109</f>
        <v>8902000</v>
      </c>
      <c r="D27" s="277">
        <f>'626'!G109</f>
        <v>2050000</v>
      </c>
      <c r="E27" s="277">
        <f>'626'!H109</f>
        <v>2355000</v>
      </c>
      <c r="F27" s="277">
        <f>'626'!I109</f>
        <v>2554000</v>
      </c>
      <c r="G27" s="277">
        <f>'626'!J109</f>
        <v>2050000</v>
      </c>
      <c r="H27" s="277">
        <f>'626'!K109</f>
        <v>2052000</v>
      </c>
      <c r="I27" s="277">
        <f>'626'!L109</f>
        <v>2071000</v>
      </c>
      <c r="J27" s="277">
        <f>'626'!M109</f>
        <v>2050000</v>
      </c>
      <c r="K27" s="277">
        <f>'626'!N109</f>
        <v>4339000</v>
      </c>
      <c r="L27" s="277">
        <f>'626'!O109</f>
        <v>2040000</v>
      </c>
      <c r="M27" s="277">
        <f>'626'!P109</f>
        <v>91000</v>
      </c>
      <c r="N27" s="277">
        <f>'626'!Q109</f>
        <v>89000</v>
      </c>
      <c r="O27" s="278">
        <f t="shared" si="0"/>
        <v>30643000</v>
      </c>
    </row>
    <row r="28" spans="1:15" s="279" customFormat="1">
      <c r="A28" s="229">
        <v>627</v>
      </c>
      <c r="B28" s="229" t="s">
        <v>583</v>
      </c>
      <c r="C28" s="277">
        <f>'627'!F109</f>
        <v>6384000</v>
      </c>
      <c r="D28" s="277">
        <f>'627'!G109</f>
        <v>1444000</v>
      </c>
      <c r="E28" s="277">
        <f>'627'!H109</f>
        <v>1621000</v>
      </c>
      <c r="F28" s="277">
        <f>'627'!I109</f>
        <v>1821000</v>
      </c>
      <c r="G28" s="277">
        <f>'627'!J109</f>
        <v>1444000</v>
      </c>
      <c r="H28" s="277">
        <f>'627'!K109</f>
        <v>1444000</v>
      </c>
      <c r="I28" s="277">
        <f>'627'!L109</f>
        <v>1459000</v>
      </c>
      <c r="J28" s="277">
        <f>'627'!M109</f>
        <v>1444000</v>
      </c>
      <c r="K28" s="277">
        <f>'627'!N109</f>
        <v>3098000</v>
      </c>
      <c r="L28" s="277">
        <f>'627'!O109</f>
        <v>1441000</v>
      </c>
      <c r="M28" s="277">
        <f>'627'!P109</f>
        <v>71000</v>
      </c>
      <c r="N28" s="277">
        <f>'627'!Q109</f>
        <v>72000</v>
      </c>
      <c r="O28" s="278">
        <f t="shared" si="0"/>
        <v>21743000</v>
      </c>
    </row>
    <row r="29" spans="1:15" s="279" customFormat="1">
      <c r="A29" s="229">
        <v>628</v>
      </c>
      <c r="B29" s="229" t="s">
        <v>584</v>
      </c>
      <c r="C29" s="277">
        <f>'628'!F109</f>
        <v>6800000</v>
      </c>
      <c r="D29" s="277">
        <f>'628'!G109</f>
        <v>1602000</v>
      </c>
      <c r="E29" s="277">
        <f>'628'!H109</f>
        <v>1629000</v>
      </c>
      <c r="F29" s="277">
        <f>'628'!I109</f>
        <v>1912000</v>
      </c>
      <c r="G29" s="277">
        <f>'628'!J109</f>
        <v>1602000</v>
      </c>
      <c r="H29" s="277">
        <f>'628'!K109</f>
        <v>1604000</v>
      </c>
      <c r="I29" s="277">
        <f>'628'!L109</f>
        <v>1619000</v>
      </c>
      <c r="J29" s="277">
        <f>'628'!M109</f>
        <v>1602000</v>
      </c>
      <c r="K29" s="277">
        <f>'628'!N109</f>
        <v>2843000</v>
      </c>
      <c r="L29" s="277">
        <f>'628'!O109</f>
        <v>1605000</v>
      </c>
      <c r="M29" s="277">
        <f>'628'!P109</f>
        <v>81000</v>
      </c>
      <c r="N29" s="277">
        <f>'628'!Q109</f>
        <v>82000</v>
      </c>
      <c r="O29" s="278">
        <f t="shared" si="0"/>
        <v>22981000</v>
      </c>
    </row>
    <row r="30" spans="1:15" s="279" customFormat="1">
      <c r="A30" s="229">
        <v>629</v>
      </c>
      <c r="B30" s="229" t="s">
        <v>585</v>
      </c>
      <c r="C30" s="277">
        <f>'629'!F109</f>
        <v>7406000</v>
      </c>
      <c r="D30" s="277">
        <f>'629'!G109</f>
        <v>1721000</v>
      </c>
      <c r="E30" s="277">
        <f>'629'!H109</f>
        <v>1958000</v>
      </c>
      <c r="F30" s="277">
        <f>'629'!I109</f>
        <v>2113000</v>
      </c>
      <c r="G30" s="277">
        <f>'629'!J109</f>
        <v>1721000</v>
      </c>
      <c r="H30" s="277">
        <f>'629'!K109</f>
        <v>1725000</v>
      </c>
      <c r="I30" s="277">
        <f>'629'!L109</f>
        <v>1738000</v>
      </c>
      <c r="J30" s="277">
        <f>'629'!M109</f>
        <v>1721000</v>
      </c>
      <c r="K30" s="277">
        <f>'629'!N109</f>
        <v>3496000</v>
      </c>
      <c r="L30" s="277">
        <f>'629'!O109</f>
        <v>1721000</v>
      </c>
      <c r="M30" s="277">
        <f>'629'!P109</f>
        <v>87000</v>
      </c>
      <c r="N30" s="277">
        <f>'629'!Q109</f>
        <v>84000</v>
      </c>
      <c r="O30" s="278">
        <f t="shared" si="0"/>
        <v>25491000</v>
      </c>
    </row>
    <row r="31" spans="1:15" s="279" customFormat="1">
      <c r="A31" s="229">
        <v>630</v>
      </c>
      <c r="B31" s="229" t="s">
        <v>586</v>
      </c>
      <c r="C31" s="277">
        <f>'630'!F109</f>
        <v>5757000</v>
      </c>
      <c r="D31" s="277">
        <f>'630'!G109</f>
        <v>1287000</v>
      </c>
      <c r="E31" s="277">
        <f>'630'!H109</f>
        <v>1398000</v>
      </c>
      <c r="F31" s="277">
        <f>'630'!I109</f>
        <v>1605000</v>
      </c>
      <c r="G31" s="277">
        <f>'630'!J109</f>
        <v>1292000</v>
      </c>
      <c r="H31" s="277">
        <f>'630'!K109</f>
        <v>1292000</v>
      </c>
      <c r="I31" s="277">
        <f>'630'!L109</f>
        <v>1306000</v>
      </c>
      <c r="J31" s="277">
        <f>'630'!M109</f>
        <v>1292000</v>
      </c>
      <c r="K31" s="277">
        <f>'630'!N109</f>
        <v>2605000</v>
      </c>
      <c r="L31" s="277">
        <f>'630'!O109</f>
        <v>1287000</v>
      </c>
      <c r="M31" s="277">
        <f>'630'!P109</f>
        <v>68000</v>
      </c>
      <c r="N31" s="277">
        <f>'630'!Q109</f>
        <v>78000</v>
      </c>
      <c r="O31" s="278">
        <f t="shared" si="0"/>
        <v>19267000</v>
      </c>
    </row>
    <row r="32" spans="1:15" s="279" customFormat="1">
      <c r="A32" s="229">
        <v>631</v>
      </c>
      <c r="B32" s="229" t="s">
        <v>587</v>
      </c>
      <c r="C32" s="277">
        <f>'631'!F109</f>
        <v>6461000</v>
      </c>
      <c r="D32" s="277">
        <f>'631'!G109</f>
        <v>1499000</v>
      </c>
      <c r="E32" s="277">
        <f>'631'!H109</f>
        <v>1592000</v>
      </c>
      <c r="F32" s="277">
        <f>'631'!I109</f>
        <v>1861000</v>
      </c>
      <c r="G32" s="277">
        <f>'631'!J109</f>
        <v>1499000</v>
      </c>
      <c r="H32" s="277">
        <f>'631'!K109</f>
        <v>1501000</v>
      </c>
      <c r="I32" s="277">
        <f>'631'!L109</f>
        <v>1512000</v>
      </c>
      <c r="J32" s="277">
        <f>'631'!M109</f>
        <v>1499000</v>
      </c>
      <c r="K32" s="277">
        <f>'631'!N109</f>
        <v>3010000</v>
      </c>
      <c r="L32" s="277">
        <f>'631'!O109</f>
        <v>1491000</v>
      </c>
      <c r="M32" s="277">
        <f>'631'!P109</f>
        <v>76000</v>
      </c>
      <c r="N32" s="277">
        <f>'631'!Q109</f>
        <v>73000</v>
      </c>
      <c r="O32" s="278">
        <f t="shared" si="0"/>
        <v>22074000</v>
      </c>
    </row>
    <row r="33" spans="1:15" s="279" customFormat="1">
      <c r="A33" s="229">
        <v>632</v>
      </c>
      <c r="B33" s="229" t="s">
        <v>588</v>
      </c>
      <c r="C33" s="277">
        <f>'632'!F109</f>
        <v>5325000</v>
      </c>
      <c r="D33" s="277">
        <f>'632'!G109</f>
        <v>1197000</v>
      </c>
      <c r="E33" s="277">
        <f>'632'!H109</f>
        <v>1254000</v>
      </c>
      <c r="F33" s="277">
        <f>'632'!I109</f>
        <v>1509000</v>
      </c>
      <c r="G33" s="277">
        <f>'632'!J109</f>
        <v>1197000</v>
      </c>
      <c r="H33" s="277">
        <f>'632'!K109</f>
        <v>1199000</v>
      </c>
      <c r="I33" s="277">
        <f>'632'!L109</f>
        <v>1209000</v>
      </c>
      <c r="J33" s="277">
        <f>'632'!M109</f>
        <v>1197000</v>
      </c>
      <c r="K33" s="277">
        <f>'632'!N109</f>
        <v>2481000</v>
      </c>
      <c r="L33" s="277">
        <f>'632'!O109</f>
        <v>1183000</v>
      </c>
      <c r="M33" s="277">
        <f>'632'!P109</f>
        <v>67000</v>
      </c>
      <c r="N33" s="277">
        <f>'632'!Q109</f>
        <v>58000</v>
      </c>
      <c r="O33" s="278">
        <f t="shared" si="0"/>
        <v>17876000</v>
      </c>
    </row>
    <row r="34" spans="1:15" s="279" customFormat="1">
      <c r="A34" s="229">
        <v>633</v>
      </c>
      <c r="B34" s="229" t="s">
        <v>589</v>
      </c>
      <c r="C34" s="277">
        <f>'633'!F109</f>
        <v>11842000</v>
      </c>
      <c r="D34" s="277">
        <f>'633'!G109</f>
        <v>2788000</v>
      </c>
      <c r="E34" s="277">
        <f>'633'!H109</f>
        <v>2913000</v>
      </c>
      <c r="F34" s="277">
        <f>'633'!I109</f>
        <v>3324000</v>
      </c>
      <c r="G34" s="277">
        <f>'633'!J109</f>
        <v>2801000</v>
      </c>
      <c r="H34" s="277">
        <f>'633'!K109</f>
        <v>2809000</v>
      </c>
      <c r="I34" s="277">
        <f>'633'!L109</f>
        <v>2829000</v>
      </c>
      <c r="J34" s="277">
        <f>'633'!M109</f>
        <v>2801000</v>
      </c>
      <c r="K34" s="277">
        <f>'633'!N109</f>
        <v>4897000</v>
      </c>
      <c r="L34" s="277">
        <f>'633'!O109</f>
        <v>2814000</v>
      </c>
      <c r="M34" s="277">
        <f>'633'!P109</f>
        <v>127000</v>
      </c>
      <c r="N34" s="277">
        <f>'633'!Q109</f>
        <v>122000</v>
      </c>
      <c r="O34" s="278">
        <f t="shared" si="0"/>
        <v>40067000</v>
      </c>
    </row>
    <row r="35" spans="1:15" s="279" customFormat="1">
      <c r="A35" s="229">
        <v>634</v>
      </c>
      <c r="B35" s="229" t="s">
        <v>590</v>
      </c>
      <c r="C35" s="277">
        <f>'634'!F109</f>
        <v>6187000</v>
      </c>
      <c r="D35" s="277">
        <f>'634'!G109</f>
        <v>1445000</v>
      </c>
      <c r="E35" s="277">
        <f>'634'!H109</f>
        <v>1545000</v>
      </c>
      <c r="F35" s="277">
        <f>'634'!I109</f>
        <v>1700000</v>
      </c>
      <c r="G35" s="277">
        <f>'634'!J109</f>
        <v>1451000</v>
      </c>
      <c r="H35" s="277">
        <f>'634'!K109</f>
        <v>1455000</v>
      </c>
      <c r="I35" s="277">
        <f>'634'!L109</f>
        <v>1467000</v>
      </c>
      <c r="J35" s="277">
        <f>'634'!M109</f>
        <v>1451000</v>
      </c>
      <c r="K35" s="277">
        <f>'634'!N109</f>
        <v>2502000</v>
      </c>
      <c r="L35" s="277">
        <f>'634'!O109</f>
        <v>1451000</v>
      </c>
      <c r="M35" s="277">
        <f>'634'!P109</f>
        <v>75000</v>
      </c>
      <c r="N35" s="277">
        <f>'634'!Q109</f>
        <v>67000</v>
      </c>
      <c r="O35" s="278">
        <f t="shared" si="0"/>
        <v>20796000</v>
      </c>
    </row>
    <row r="36" spans="1:15" s="279" customFormat="1">
      <c r="A36" s="229">
        <v>635</v>
      </c>
      <c r="B36" s="229" t="s">
        <v>591</v>
      </c>
      <c r="C36" s="277">
        <f>'635'!F109</f>
        <v>5492000</v>
      </c>
      <c r="D36" s="277">
        <f>'635'!G109</f>
        <v>1292000</v>
      </c>
      <c r="E36" s="277">
        <f>'635'!H109</f>
        <v>1355000</v>
      </c>
      <c r="F36" s="277">
        <f>'635'!I109</f>
        <v>1539000</v>
      </c>
      <c r="G36" s="277">
        <f>'635'!J109</f>
        <v>1292000</v>
      </c>
      <c r="H36" s="277">
        <f>'635'!K109</f>
        <v>1292000</v>
      </c>
      <c r="I36" s="277">
        <f>'635'!L109</f>
        <v>1303000</v>
      </c>
      <c r="J36" s="277">
        <f>'635'!M109</f>
        <v>1292000</v>
      </c>
      <c r="K36" s="277">
        <f>'635'!N109</f>
        <v>2326000</v>
      </c>
      <c r="L36" s="277">
        <f>'635'!O109</f>
        <v>1288000</v>
      </c>
      <c r="M36" s="277">
        <f>'635'!P109</f>
        <v>72000</v>
      </c>
      <c r="N36" s="277">
        <f>'635'!Q109</f>
        <v>64000</v>
      </c>
      <c r="O36" s="278">
        <f t="shared" si="0"/>
        <v>18607000</v>
      </c>
    </row>
    <row r="37" spans="1:15" s="279" customFormat="1">
      <c r="A37" s="229">
        <v>636</v>
      </c>
      <c r="B37" s="229" t="s">
        <v>592</v>
      </c>
      <c r="C37" s="277">
        <f>'636'!F109</f>
        <v>6278000</v>
      </c>
      <c r="D37" s="277">
        <f>'636'!G109</f>
        <v>1446000</v>
      </c>
      <c r="E37" s="277">
        <f>'636'!H109</f>
        <v>1685000</v>
      </c>
      <c r="F37" s="277">
        <f>'636'!I109</f>
        <v>1714000</v>
      </c>
      <c r="G37" s="277">
        <f>'636'!J109</f>
        <v>1446000</v>
      </c>
      <c r="H37" s="277">
        <f>'636'!K109</f>
        <v>1448000</v>
      </c>
      <c r="I37" s="277">
        <f>'636'!L109</f>
        <v>1460000</v>
      </c>
      <c r="J37" s="277">
        <f>'636'!M109</f>
        <v>1446000</v>
      </c>
      <c r="K37" s="277">
        <f>'636'!N109</f>
        <v>2732000</v>
      </c>
      <c r="L37" s="277">
        <f>'636'!O109</f>
        <v>1439000</v>
      </c>
      <c r="M37" s="277">
        <f>'636'!P109</f>
        <v>72000</v>
      </c>
      <c r="N37" s="277">
        <f>'636'!Q109</f>
        <v>64000</v>
      </c>
      <c r="O37" s="278">
        <f t="shared" si="0"/>
        <v>21230000</v>
      </c>
    </row>
    <row r="38" spans="1:15" s="279" customFormat="1">
      <c r="A38" s="229">
        <v>638</v>
      </c>
      <c r="B38" s="229" t="s">
        <v>593</v>
      </c>
      <c r="C38" s="277">
        <f>'638'!F109</f>
        <v>6712000</v>
      </c>
      <c r="D38" s="277">
        <f>'638'!G109</f>
        <v>1572000</v>
      </c>
      <c r="E38" s="277">
        <f>'638'!H109</f>
        <v>1665000</v>
      </c>
      <c r="F38" s="277">
        <f>'638'!I109</f>
        <v>1905000</v>
      </c>
      <c r="G38" s="277">
        <f>'638'!J109</f>
        <v>1578000</v>
      </c>
      <c r="H38" s="277">
        <f>'638'!K109</f>
        <v>1580000</v>
      </c>
      <c r="I38" s="277">
        <f>'638'!L109</f>
        <v>1591000</v>
      </c>
      <c r="J38" s="277">
        <f>'638'!M109</f>
        <v>1578000</v>
      </c>
      <c r="K38" s="277">
        <f>'638'!N109</f>
        <v>2929000</v>
      </c>
      <c r="L38" s="277">
        <f>'638'!O109</f>
        <v>1580000</v>
      </c>
      <c r="M38" s="277">
        <f>'638'!P109</f>
        <v>80000</v>
      </c>
      <c r="N38" s="277">
        <f>'638'!Q109</f>
        <v>76000</v>
      </c>
      <c r="O38" s="278">
        <f t="shared" si="0"/>
        <v>22846000</v>
      </c>
    </row>
    <row r="39" spans="1:15" s="279" customFormat="1">
      <c r="A39" s="229">
        <v>639</v>
      </c>
      <c r="B39" s="229" t="s">
        <v>594</v>
      </c>
      <c r="C39" s="277">
        <f>'639'!F109</f>
        <v>7417000</v>
      </c>
      <c r="D39" s="277">
        <f>'639'!G109</f>
        <v>1709000</v>
      </c>
      <c r="E39" s="277">
        <f>'639'!H109</f>
        <v>1911000</v>
      </c>
      <c r="F39" s="277">
        <f>'639'!I109</f>
        <v>2070000</v>
      </c>
      <c r="G39" s="277">
        <f>'639'!J109</f>
        <v>1709000</v>
      </c>
      <c r="H39" s="277">
        <f>'639'!K109</f>
        <v>1713000</v>
      </c>
      <c r="I39" s="277">
        <f>'639'!L109</f>
        <v>1728000</v>
      </c>
      <c r="J39" s="277">
        <f>'639'!M109</f>
        <v>1709000</v>
      </c>
      <c r="K39" s="277">
        <f>'639'!N109</f>
        <v>3330000</v>
      </c>
      <c r="L39" s="277">
        <f>'639'!O109</f>
        <v>1698000</v>
      </c>
      <c r="M39" s="277">
        <f>'639'!P109</f>
        <v>70000</v>
      </c>
      <c r="N39" s="277">
        <f>'639'!Q109</f>
        <v>72000</v>
      </c>
      <c r="O39" s="278">
        <f t="shared" si="0"/>
        <v>25136000</v>
      </c>
    </row>
    <row r="40" spans="1:15" s="279" customFormat="1">
      <c r="A40" s="229">
        <v>641</v>
      </c>
      <c r="B40" s="229" t="s">
        <v>595</v>
      </c>
      <c r="C40" s="277">
        <f>'641'!F109</f>
        <v>8455000</v>
      </c>
      <c r="D40" s="277">
        <f>'641'!G109</f>
        <v>1953000</v>
      </c>
      <c r="E40" s="277">
        <f>'641'!H109</f>
        <v>2211000</v>
      </c>
      <c r="F40" s="277">
        <f>'641'!I109</f>
        <v>2325000</v>
      </c>
      <c r="G40" s="277">
        <f>'641'!J109</f>
        <v>1961000</v>
      </c>
      <c r="H40" s="277">
        <f>'641'!K109</f>
        <v>1967000</v>
      </c>
      <c r="I40" s="277">
        <f>'641'!L109</f>
        <v>1982000</v>
      </c>
      <c r="J40" s="277">
        <f>'641'!M109</f>
        <v>1961000</v>
      </c>
      <c r="K40" s="277">
        <f>'641'!N109</f>
        <v>3616000</v>
      </c>
      <c r="L40" s="277">
        <f>'641'!O109</f>
        <v>1950000</v>
      </c>
      <c r="M40" s="277">
        <f>'641'!P109</f>
        <v>93000</v>
      </c>
      <c r="N40" s="277">
        <f>'641'!Q109</f>
        <v>86000</v>
      </c>
      <c r="O40" s="278">
        <f t="shared" si="0"/>
        <v>28560000</v>
      </c>
    </row>
    <row r="41" spans="1:15" s="279" customFormat="1">
      <c r="A41" s="229">
        <v>642</v>
      </c>
      <c r="B41" s="229" t="s">
        <v>596</v>
      </c>
      <c r="C41" s="277">
        <f>'642'!F109</f>
        <v>6885000</v>
      </c>
      <c r="D41" s="277">
        <f>'642'!G109</f>
        <v>1615000</v>
      </c>
      <c r="E41" s="277">
        <f>'642'!H109</f>
        <v>1675000</v>
      </c>
      <c r="F41" s="277">
        <f>'642'!I109</f>
        <v>1894000</v>
      </c>
      <c r="G41" s="277">
        <f>'642'!J109</f>
        <v>1621000</v>
      </c>
      <c r="H41" s="277">
        <f>'642'!K109</f>
        <v>1625000</v>
      </c>
      <c r="I41" s="277">
        <f>'642'!L109</f>
        <v>1688000</v>
      </c>
      <c r="J41" s="277">
        <f>'642'!M109</f>
        <v>1621000</v>
      </c>
      <c r="K41" s="277">
        <f>'642'!N109</f>
        <v>2698000</v>
      </c>
      <c r="L41" s="277">
        <f>'642'!O109</f>
        <v>1618000</v>
      </c>
      <c r="M41" s="277">
        <f>'642'!P109</f>
        <v>78000</v>
      </c>
      <c r="N41" s="277">
        <f>'642'!Q109</f>
        <v>74000</v>
      </c>
      <c r="O41" s="278">
        <f t="shared" si="0"/>
        <v>23092000</v>
      </c>
    </row>
    <row r="42" spans="1:15" s="279" customFormat="1">
      <c r="A42" s="229">
        <v>645</v>
      </c>
      <c r="B42" s="229" t="s">
        <v>597</v>
      </c>
      <c r="C42" s="277">
        <f>'645'!F109</f>
        <v>6922000</v>
      </c>
      <c r="D42" s="277">
        <f>'645'!G109</f>
        <v>1640000</v>
      </c>
      <c r="E42" s="277">
        <f>'645'!H109</f>
        <v>1720000</v>
      </c>
      <c r="F42" s="277">
        <f>'645'!I109</f>
        <v>1966000</v>
      </c>
      <c r="G42" s="277">
        <f>'645'!J109</f>
        <v>1646000</v>
      </c>
      <c r="H42" s="277">
        <f>'645'!K109</f>
        <v>1652000</v>
      </c>
      <c r="I42" s="277">
        <f>'645'!L109</f>
        <v>1662000</v>
      </c>
      <c r="J42" s="277">
        <f>'645'!M109</f>
        <v>1646000</v>
      </c>
      <c r="K42" s="277">
        <f>'645'!N109</f>
        <v>2947000</v>
      </c>
      <c r="L42" s="277">
        <f>'645'!O109</f>
        <v>1647000</v>
      </c>
      <c r="M42" s="277">
        <f>'645'!P109</f>
        <v>79000</v>
      </c>
      <c r="N42" s="277">
        <f>'645'!Q109</f>
        <v>67000</v>
      </c>
      <c r="O42" s="278">
        <f t="shared" si="0"/>
        <v>23594000</v>
      </c>
    </row>
    <row r="43" spans="1:15" s="279" customFormat="1">
      <c r="A43" s="229">
        <v>647</v>
      </c>
      <c r="B43" s="229" t="s">
        <v>598</v>
      </c>
      <c r="C43" s="277">
        <f>'647'!F109</f>
        <v>13428000</v>
      </c>
      <c r="D43" s="277">
        <f>'647'!G109</f>
        <v>3086000</v>
      </c>
      <c r="E43" s="277">
        <f>'647'!H109</f>
        <v>3285000</v>
      </c>
      <c r="F43" s="277">
        <f>'647'!I109</f>
        <v>3597000</v>
      </c>
      <c r="G43" s="277">
        <f>'647'!J109</f>
        <v>3096000</v>
      </c>
      <c r="H43" s="277">
        <f>'647'!K109</f>
        <v>3102000</v>
      </c>
      <c r="I43" s="277">
        <f>'647'!L109</f>
        <v>3132000</v>
      </c>
      <c r="J43" s="277">
        <f>'647'!M109</f>
        <v>3096000</v>
      </c>
      <c r="K43" s="277">
        <f>'647'!N109</f>
        <v>5177000</v>
      </c>
      <c r="L43" s="277">
        <f>'647'!O109</f>
        <v>3097000</v>
      </c>
      <c r="M43" s="277">
        <f>'647'!P109</f>
        <v>126000</v>
      </c>
      <c r="N43" s="277">
        <f>'647'!Q109</f>
        <v>131000</v>
      </c>
      <c r="O43" s="278">
        <f t="shared" si="0"/>
        <v>44353000</v>
      </c>
    </row>
    <row r="44" spans="1:15" s="279" customFormat="1">
      <c r="A44" s="229">
        <v>648</v>
      </c>
      <c r="B44" s="229" t="s">
        <v>599</v>
      </c>
      <c r="C44" s="277">
        <f>'648'!F109</f>
        <v>6129000</v>
      </c>
      <c r="D44" s="277">
        <f>'648'!G109</f>
        <v>1438000</v>
      </c>
      <c r="E44" s="277">
        <f>'648'!H109</f>
        <v>1506000</v>
      </c>
      <c r="F44" s="277">
        <f>'648'!I109</f>
        <v>1701000</v>
      </c>
      <c r="G44" s="277">
        <f>'648'!J109</f>
        <v>1438000</v>
      </c>
      <c r="H44" s="277">
        <f>'648'!K109</f>
        <v>1440000</v>
      </c>
      <c r="I44" s="277">
        <f>'648'!L109</f>
        <v>1442000</v>
      </c>
      <c r="J44" s="277">
        <f>'648'!M109</f>
        <v>1438000</v>
      </c>
      <c r="K44" s="277">
        <f>'648'!N109</f>
        <v>2532000</v>
      </c>
      <c r="L44" s="277">
        <f>'648'!O109</f>
        <v>1441000</v>
      </c>
      <c r="M44" s="277">
        <f>'648'!P109</f>
        <v>77000</v>
      </c>
      <c r="N44" s="277">
        <f>'648'!Q109</f>
        <v>79000</v>
      </c>
      <c r="O44" s="278">
        <f t="shared" si="0"/>
        <v>20661000</v>
      </c>
    </row>
    <row r="45" spans="1:15" s="279" customFormat="1">
      <c r="A45" s="229">
        <v>649</v>
      </c>
      <c r="B45" s="229" t="s">
        <v>600</v>
      </c>
      <c r="C45" s="277">
        <f>'649'!F109</f>
        <v>4541000</v>
      </c>
      <c r="D45" s="277">
        <f>'649'!G109</f>
        <v>1032000</v>
      </c>
      <c r="E45" s="277">
        <f>'649'!H109</f>
        <v>1045000</v>
      </c>
      <c r="F45" s="277">
        <f>'649'!I109</f>
        <v>1183000</v>
      </c>
      <c r="G45" s="277">
        <f>'649'!J109</f>
        <v>1032000</v>
      </c>
      <c r="H45" s="277">
        <f>'649'!K109</f>
        <v>1040000</v>
      </c>
      <c r="I45" s="277">
        <f>'649'!L109</f>
        <v>1046000</v>
      </c>
      <c r="J45" s="277">
        <f>'649'!M109</f>
        <v>1032000</v>
      </c>
      <c r="K45" s="277">
        <f>'649'!N109</f>
        <v>1642000</v>
      </c>
      <c r="L45" s="277">
        <f>'649'!O109</f>
        <v>1033000</v>
      </c>
      <c r="M45" s="277">
        <f>'649'!P109</f>
        <v>68000</v>
      </c>
      <c r="N45" s="277">
        <f>'649'!Q109</f>
        <v>66000</v>
      </c>
      <c r="O45" s="278">
        <f t="shared" si="0"/>
        <v>14760000</v>
      </c>
    </row>
    <row r="46" spans="1:15" s="279" customFormat="1">
      <c r="A46" s="229">
        <v>650</v>
      </c>
      <c r="B46" s="229" t="s">
        <v>601</v>
      </c>
      <c r="C46" s="277">
        <f>'650'!F109</f>
        <v>4741000</v>
      </c>
      <c r="D46" s="277">
        <f>'650'!G109</f>
        <v>1058000</v>
      </c>
      <c r="E46" s="277">
        <f>'650'!H109</f>
        <v>1090000</v>
      </c>
      <c r="F46" s="277">
        <f>'650'!I109</f>
        <v>1297000</v>
      </c>
      <c r="G46" s="277">
        <f>'650'!J109</f>
        <v>1058000</v>
      </c>
      <c r="H46" s="277">
        <f>'650'!K109</f>
        <v>1062000</v>
      </c>
      <c r="I46" s="277">
        <f>'650'!L109</f>
        <v>1070000</v>
      </c>
      <c r="J46" s="277">
        <f>'650'!M109</f>
        <v>1058000</v>
      </c>
      <c r="K46" s="277">
        <f>'650'!N109</f>
        <v>2034000</v>
      </c>
      <c r="L46" s="277">
        <f>'650'!O109</f>
        <v>1058000</v>
      </c>
      <c r="M46" s="277">
        <f>'650'!P109</f>
        <v>66000</v>
      </c>
      <c r="N46" s="277">
        <f>'650'!Q109</f>
        <v>66000</v>
      </c>
      <c r="O46" s="278">
        <f t="shared" si="0"/>
        <v>15658000</v>
      </c>
    </row>
    <row r="47" spans="1:15" s="279" customFormat="1">
      <c r="A47" s="229">
        <v>651</v>
      </c>
      <c r="B47" s="229" t="s">
        <v>602</v>
      </c>
      <c r="C47" s="277">
        <f>'651'!F109</f>
        <v>6091000</v>
      </c>
      <c r="D47" s="277">
        <f>'651'!G109</f>
        <v>1372000</v>
      </c>
      <c r="E47" s="277">
        <f>'651'!H109</f>
        <v>1467000</v>
      </c>
      <c r="F47" s="277">
        <f>'651'!I109</f>
        <v>1624000</v>
      </c>
      <c r="G47" s="277">
        <f>'651'!J109</f>
        <v>1372000</v>
      </c>
      <c r="H47" s="277">
        <f>'651'!K109</f>
        <v>1372000</v>
      </c>
      <c r="I47" s="277">
        <f>'651'!L109</f>
        <v>1388000</v>
      </c>
      <c r="J47" s="277">
        <f>'651'!M109</f>
        <v>1372000</v>
      </c>
      <c r="K47" s="277">
        <f>'651'!N109</f>
        <v>2449000</v>
      </c>
      <c r="L47" s="277">
        <f>'651'!O109</f>
        <v>1369000</v>
      </c>
      <c r="M47" s="277">
        <f>'651'!P109</f>
        <v>63000</v>
      </c>
      <c r="N47" s="277">
        <f>'651'!Q109</f>
        <v>61000</v>
      </c>
      <c r="O47" s="278">
        <f t="shared" si="0"/>
        <v>20000000</v>
      </c>
    </row>
    <row r="48" spans="1:15" s="279" customFormat="1">
      <c r="A48" s="229">
        <v>652</v>
      </c>
      <c r="B48" s="229" t="s">
        <v>603</v>
      </c>
      <c r="C48" s="277">
        <f>'652'!F109</f>
        <v>6079000</v>
      </c>
      <c r="D48" s="277">
        <f>'652'!G109</f>
        <v>1433000</v>
      </c>
      <c r="E48" s="277">
        <f>'652'!H109</f>
        <v>1465000</v>
      </c>
      <c r="F48" s="277">
        <f>'652'!I109</f>
        <v>1662000</v>
      </c>
      <c r="G48" s="277">
        <f>'652'!J109</f>
        <v>1433000</v>
      </c>
      <c r="H48" s="277">
        <f>'652'!K109</f>
        <v>1435000</v>
      </c>
      <c r="I48" s="277">
        <f>'652'!L109</f>
        <v>1449000</v>
      </c>
      <c r="J48" s="277">
        <f>'652'!M109</f>
        <v>1433000</v>
      </c>
      <c r="K48" s="277">
        <f>'652'!N109</f>
        <v>2369000</v>
      </c>
      <c r="L48" s="277">
        <f>'652'!O109</f>
        <v>1425000</v>
      </c>
      <c r="M48" s="277">
        <f>'652'!P109</f>
        <v>75000</v>
      </c>
      <c r="N48" s="277">
        <f>'652'!Q109</f>
        <v>63000</v>
      </c>
      <c r="O48" s="278">
        <f t="shared" si="0"/>
        <v>20321000</v>
      </c>
    </row>
    <row r="49" spans="1:15" s="279" customFormat="1">
      <c r="A49" s="229">
        <v>653</v>
      </c>
      <c r="B49" s="229" t="s">
        <v>604</v>
      </c>
      <c r="C49" s="277">
        <f>'653'!F109</f>
        <v>6083000</v>
      </c>
      <c r="D49" s="277">
        <f>'653'!G109</f>
        <v>1395000</v>
      </c>
      <c r="E49" s="277">
        <f>'653'!H109</f>
        <v>1435000</v>
      </c>
      <c r="F49" s="277">
        <f>'653'!I109</f>
        <v>1644000</v>
      </c>
      <c r="G49" s="277">
        <f>'653'!J109</f>
        <v>1395000</v>
      </c>
      <c r="H49" s="277">
        <f>'653'!K109</f>
        <v>1399000</v>
      </c>
      <c r="I49" s="277">
        <f>'653'!L109</f>
        <v>1412000</v>
      </c>
      <c r="J49" s="277">
        <f>'653'!M109</f>
        <v>1395000</v>
      </c>
      <c r="K49" s="277">
        <f>'653'!N109</f>
        <v>2422000</v>
      </c>
      <c r="L49" s="277">
        <f>'653'!O109</f>
        <v>1387000</v>
      </c>
      <c r="M49" s="277">
        <f>'653'!P109</f>
        <v>68000</v>
      </c>
      <c r="N49" s="277">
        <f>'653'!Q109</f>
        <v>56000</v>
      </c>
      <c r="O49" s="278">
        <f t="shared" si="0"/>
        <v>20091000</v>
      </c>
    </row>
    <row r="50" spans="1:15" s="279" customFormat="1">
      <c r="A50" s="229">
        <v>654</v>
      </c>
      <c r="B50" s="229" t="s">
        <v>605</v>
      </c>
      <c r="C50" s="277">
        <f>'654'!F109</f>
        <v>7340000</v>
      </c>
      <c r="D50" s="277">
        <f>'654'!G109</f>
        <v>1739000</v>
      </c>
      <c r="E50" s="277">
        <f>'654'!H109</f>
        <v>1763000</v>
      </c>
      <c r="F50" s="277">
        <f>'654'!I109</f>
        <v>1993000</v>
      </c>
      <c r="G50" s="277">
        <f>'654'!J109</f>
        <v>1745000</v>
      </c>
      <c r="H50" s="277">
        <f>'654'!K109</f>
        <v>1747000</v>
      </c>
      <c r="I50" s="277">
        <f>'654'!L109</f>
        <v>1762000</v>
      </c>
      <c r="J50" s="277">
        <f>'654'!M109</f>
        <v>1745000</v>
      </c>
      <c r="K50" s="277">
        <f>'654'!N109</f>
        <v>2718000</v>
      </c>
      <c r="L50" s="277">
        <f>'654'!O109</f>
        <v>1751000</v>
      </c>
      <c r="M50" s="277">
        <f>'654'!P109</f>
        <v>85000</v>
      </c>
      <c r="N50" s="277">
        <f>'654'!Q109</f>
        <v>81000</v>
      </c>
      <c r="O50" s="278">
        <f t="shared" si="0"/>
        <v>24469000</v>
      </c>
    </row>
    <row r="51" spans="1:15" s="279" customFormat="1">
      <c r="A51" s="229">
        <v>655</v>
      </c>
      <c r="B51" s="229" t="s">
        <v>606</v>
      </c>
      <c r="C51" s="277">
        <f>'655'!F109</f>
        <v>3963000</v>
      </c>
      <c r="D51" s="277">
        <f>'655'!G109</f>
        <v>888000</v>
      </c>
      <c r="E51" s="277">
        <f>'655'!H109</f>
        <v>1063000</v>
      </c>
      <c r="F51" s="277">
        <f>'655'!I109</f>
        <v>1053000</v>
      </c>
      <c r="G51" s="277">
        <f>'655'!J109</f>
        <v>888000</v>
      </c>
      <c r="H51" s="277">
        <f>'655'!K109</f>
        <v>888000</v>
      </c>
      <c r="I51" s="277">
        <f>'655'!L109</f>
        <v>898000</v>
      </c>
      <c r="J51" s="277">
        <f>'655'!M109</f>
        <v>888000</v>
      </c>
      <c r="K51" s="277">
        <f>'655'!N109</f>
        <v>1709000</v>
      </c>
      <c r="L51" s="277">
        <f>'655'!O109</f>
        <v>894000</v>
      </c>
      <c r="M51" s="277">
        <f>'655'!P109</f>
        <v>61000</v>
      </c>
      <c r="N51" s="277">
        <f>'655'!Q109</f>
        <v>62000</v>
      </c>
      <c r="O51" s="278">
        <f t="shared" si="0"/>
        <v>13255000</v>
      </c>
    </row>
    <row r="52" spans="1:15" s="279" customFormat="1">
      <c r="A52" s="229">
        <v>656</v>
      </c>
      <c r="B52" s="229" t="s">
        <v>607</v>
      </c>
      <c r="C52" s="277">
        <f>'656'!F109</f>
        <v>5633000</v>
      </c>
      <c r="D52" s="277">
        <f>'656'!G109</f>
        <v>1309000</v>
      </c>
      <c r="E52" s="277">
        <f>'656'!H109</f>
        <v>1461000</v>
      </c>
      <c r="F52" s="277">
        <f>'656'!I109</f>
        <v>1562000</v>
      </c>
      <c r="G52" s="277">
        <f>'656'!J109</f>
        <v>1309000</v>
      </c>
      <c r="H52" s="277">
        <f>'656'!K109</f>
        <v>1311000</v>
      </c>
      <c r="I52" s="277">
        <f>'656'!L109</f>
        <v>1344000</v>
      </c>
      <c r="J52" s="277">
        <f>'656'!M109</f>
        <v>1309000</v>
      </c>
      <c r="K52" s="277">
        <f>'656'!N109</f>
        <v>2463000</v>
      </c>
      <c r="L52" s="277">
        <f>'656'!O109</f>
        <v>1306000</v>
      </c>
      <c r="M52" s="277">
        <f>'656'!P109</f>
        <v>72000</v>
      </c>
      <c r="N52" s="277">
        <f>'656'!Q109</f>
        <v>61000</v>
      </c>
      <c r="O52" s="278">
        <f t="shared" si="0"/>
        <v>19140000</v>
      </c>
    </row>
    <row r="53" spans="1:15" s="279" customFormat="1">
      <c r="A53" s="229">
        <v>657</v>
      </c>
      <c r="B53" s="229" t="s">
        <v>608</v>
      </c>
      <c r="C53" s="277">
        <f>'657'!F109</f>
        <v>5264000</v>
      </c>
      <c r="D53" s="277">
        <f>'657'!G109</f>
        <v>1279000</v>
      </c>
      <c r="E53" s="277">
        <f>'657'!H109</f>
        <v>1331000</v>
      </c>
      <c r="F53" s="277">
        <f>'657'!I109</f>
        <v>1459000</v>
      </c>
      <c r="G53" s="277">
        <f>'657'!J109</f>
        <v>1285000</v>
      </c>
      <c r="H53" s="277">
        <f>'657'!K109</f>
        <v>1289000</v>
      </c>
      <c r="I53" s="277">
        <f>'657'!L109</f>
        <v>1298000</v>
      </c>
      <c r="J53" s="277">
        <f>'657'!M109</f>
        <v>1285000</v>
      </c>
      <c r="K53" s="277">
        <f>'657'!N109</f>
        <v>1995000</v>
      </c>
      <c r="L53" s="277">
        <f>'657'!O109</f>
        <v>1286000</v>
      </c>
      <c r="M53" s="277">
        <f>'657'!P109</f>
        <v>81000</v>
      </c>
      <c r="N53" s="277">
        <f>'657'!Q109</f>
        <v>70000</v>
      </c>
      <c r="O53" s="278">
        <f t="shared" si="0"/>
        <v>17922000</v>
      </c>
    </row>
    <row r="54" spans="1:15" s="279" customFormat="1">
      <c r="A54" s="229">
        <v>658</v>
      </c>
      <c r="B54" s="229" t="s">
        <v>609</v>
      </c>
      <c r="C54" s="277">
        <f>'658'!F109</f>
        <v>20286000</v>
      </c>
      <c r="D54" s="277">
        <f>'658'!G109</f>
        <v>4688000</v>
      </c>
      <c r="E54" s="277">
        <f>'658'!H109</f>
        <v>5118000</v>
      </c>
      <c r="F54" s="277">
        <f>'658'!I109</f>
        <v>5622000</v>
      </c>
      <c r="G54" s="277">
        <f>'658'!J109</f>
        <v>4705000</v>
      </c>
      <c r="H54" s="277">
        <f>'658'!K109</f>
        <v>4711000</v>
      </c>
      <c r="I54" s="277">
        <f>'658'!L109</f>
        <v>4750000</v>
      </c>
      <c r="J54" s="277">
        <f>'658'!M109</f>
        <v>4705000</v>
      </c>
      <c r="K54" s="277">
        <f>'658'!N109</f>
        <v>8645000</v>
      </c>
      <c r="L54" s="277">
        <f>'658'!O109</f>
        <v>4702000</v>
      </c>
      <c r="M54" s="277">
        <f>'658'!P109</f>
        <v>241000</v>
      </c>
      <c r="N54" s="277">
        <f>'658'!Q109</f>
        <v>247000</v>
      </c>
      <c r="O54" s="278">
        <f t="shared" si="0"/>
        <v>68420000</v>
      </c>
    </row>
    <row r="55" spans="1:15" s="279" customFormat="1">
      <c r="A55" s="229">
        <v>659</v>
      </c>
      <c r="B55" s="229" t="s">
        <v>610</v>
      </c>
      <c r="C55" s="277">
        <f>'659'!F109</f>
        <v>6330000</v>
      </c>
      <c r="D55" s="277">
        <f>'659'!G109</f>
        <v>1452000</v>
      </c>
      <c r="E55" s="277">
        <f>'659'!H109</f>
        <v>1530000</v>
      </c>
      <c r="F55" s="277">
        <f>'659'!I109</f>
        <v>1696000</v>
      </c>
      <c r="G55" s="277">
        <f>'659'!J109</f>
        <v>1452000</v>
      </c>
      <c r="H55" s="277">
        <f>'659'!K109</f>
        <v>1452000</v>
      </c>
      <c r="I55" s="277">
        <f>'659'!L109</f>
        <v>1469000</v>
      </c>
      <c r="J55" s="277">
        <f>'659'!M109</f>
        <v>1452000</v>
      </c>
      <c r="K55" s="277">
        <f>'659'!N109</f>
        <v>2476000</v>
      </c>
      <c r="L55" s="277">
        <f>'659'!O109</f>
        <v>1460000</v>
      </c>
      <c r="M55" s="277">
        <f>'659'!P109</f>
        <v>65000</v>
      </c>
      <c r="N55" s="277">
        <f>'659'!Q109</f>
        <v>60000</v>
      </c>
      <c r="O55" s="278">
        <f t="shared" si="0"/>
        <v>20894000</v>
      </c>
    </row>
    <row r="56" spans="1:15" s="279" customFormat="1">
      <c r="A56" s="229">
        <v>660</v>
      </c>
      <c r="B56" s="229" t="s">
        <v>611</v>
      </c>
      <c r="C56" s="277">
        <f>'660'!F109</f>
        <v>6771000</v>
      </c>
      <c r="D56" s="277">
        <f>'660'!G109</f>
        <v>1547000</v>
      </c>
      <c r="E56" s="277">
        <f>'660'!H109</f>
        <v>1616000</v>
      </c>
      <c r="F56" s="277">
        <f>'660'!I109</f>
        <v>1776000</v>
      </c>
      <c r="G56" s="277">
        <f>'660'!J109</f>
        <v>1553000</v>
      </c>
      <c r="H56" s="277">
        <f>'660'!K109</f>
        <v>1557000</v>
      </c>
      <c r="I56" s="277">
        <f>'660'!L109</f>
        <v>1570000</v>
      </c>
      <c r="J56" s="277">
        <f>'660'!M109</f>
        <v>1553000</v>
      </c>
      <c r="K56" s="277">
        <f>'660'!N109</f>
        <v>2467000</v>
      </c>
      <c r="L56" s="277">
        <f>'660'!O109</f>
        <v>1545000</v>
      </c>
      <c r="M56" s="277">
        <f>'660'!P109</f>
        <v>80000</v>
      </c>
      <c r="N56" s="277">
        <f>'660'!Q109</f>
        <v>69000</v>
      </c>
      <c r="O56" s="278">
        <f t="shared" si="0"/>
        <v>22104000</v>
      </c>
    </row>
    <row r="57" spans="1:15" s="279" customFormat="1">
      <c r="A57" s="229">
        <v>661</v>
      </c>
      <c r="B57" s="229" t="s">
        <v>612</v>
      </c>
      <c r="C57" s="277">
        <f>'661'!F109</f>
        <v>4655000</v>
      </c>
      <c r="D57" s="277">
        <f>'661'!G109</f>
        <v>1098000</v>
      </c>
      <c r="E57" s="277">
        <f>'661'!H109</f>
        <v>1125000</v>
      </c>
      <c r="F57" s="277">
        <f>'661'!I109</f>
        <v>1292000</v>
      </c>
      <c r="G57" s="277">
        <f>'661'!J109</f>
        <v>1098000</v>
      </c>
      <c r="H57" s="277">
        <f>'661'!K109</f>
        <v>1098000</v>
      </c>
      <c r="I57" s="277">
        <f>'661'!L109</f>
        <v>1151000</v>
      </c>
      <c r="J57" s="277">
        <f>'661'!M109</f>
        <v>1098000</v>
      </c>
      <c r="K57" s="277">
        <f>'661'!N109</f>
        <v>1889000</v>
      </c>
      <c r="L57" s="277">
        <f>'661'!O109</f>
        <v>1095000</v>
      </c>
      <c r="M57" s="277">
        <f>'661'!P109</f>
        <v>69000</v>
      </c>
      <c r="N57" s="277">
        <f>'661'!Q109</f>
        <v>75000</v>
      </c>
      <c r="O57" s="278">
        <f t="shared" si="0"/>
        <v>15743000</v>
      </c>
    </row>
    <row r="58" spans="1:15" s="279" customFormat="1">
      <c r="A58" s="229">
        <v>662</v>
      </c>
      <c r="B58" s="229" t="s">
        <v>613</v>
      </c>
      <c r="C58" s="277">
        <f>'662'!F109</f>
        <v>4920000</v>
      </c>
      <c r="D58" s="277">
        <f>'662'!G109</f>
        <v>1180000</v>
      </c>
      <c r="E58" s="277">
        <f>'662'!H109</f>
        <v>1196000</v>
      </c>
      <c r="F58" s="277">
        <f>'662'!I109</f>
        <v>1250000</v>
      </c>
      <c r="G58" s="277">
        <f>'662'!J109</f>
        <v>1180000</v>
      </c>
      <c r="H58" s="277">
        <f>'662'!K109</f>
        <v>1182000</v>
      </c>
      <c r="I58" s="277">
        <f>'662'!L109</f>
        <v>1196000</v>
      </c>
      <c r="J58" s="277">
        <f>'662'!M109</f>
        <v>1180000</v>
      </c>
      <c r="K58" s="277">
        <f>'662'!N109</f>
        <v>1464000</v>
      </c>
      <c r="L58" s="277">
        <f>'662'!O109</f>
        <v>1177000</v>
      </c>
      <c r="M58" s="277">
        <f>'662'!P109</f>
        <v>65000</v>
      </c>
      <c r="N58" s="277">
        <f>'662'!Q109</f>
        <v>59000</v>
      </c>
      <c r="O58" s="278">
        <f t="shared" si="0"/>
        <v>16049000</v>
      </c>
    </row>
    <row r="59" spans="1:15" s="279" customFormat="1">
      <c r="A59" s="229">
        <v>663</v>
      </c>
      <c r="B59" s="229" t="s">
        <v>614</v>
      </c>
      <c r="C59" s="277">
        <f>'663'!F109</f>
        <v>5669000</v>
      </c>
      <c r="D59" s="277">
        <f>'663'!G109</f>
        <v>1343000</v>
      </c>
      <c r="E59" s="277">
        <f>'663'!H109</f>
        <v>1404000</v>
      </c>
      <c r="F59" s="277">
        <f>'663'!I109</f>
        <v>1509000</v>
      </c>
      <c r="G59" s="277">
        <f>'663'!J109</f>
        <v>1353000</v>
      </c>
      <c r="H59" s="277">
        <f>'663'!K109</f>
        <v>1355000</v>
      </c>
      <c r="I59" s="277">
        <f>'663'!L109</f>
        <v>1394000</v>
      </c>
      <c r="J59" s="277">
        <f>'663'!M109</f>
        <v>1353000</v>
      </c>
      <c r="K59" s="277">
        <f>'663'!N109</f>
        <v>1949000</v>
      </c>
      <c r="L59" s="277">
        <f>'663'!O109</f>
        <v>1345000</v>
      </c>
      <c r="M59" s="277">
        <f>'663'!P109</f>
        <v>87000</v>
      </c>
      <c r="N59" s="277">
        <f>'663'!Q109</f>
        <v>72000</v>
      </c>
      <c r="O59" s="278">
        <f t="shared" si="0"/>
        <v>18833000</v>
      </c>
    </row>
    <row r="60" spans="1:15" s="279" customFormat="1">
      <c r="A60" s="229">
        <v>664</v>
      </c>
      <c r="B60" s="229" t="s">
        <v>615</v>
      </c>
      <c r="C60" s="277">
        <f>'664'!F109</f>
        <v>4486000</v>
      </c>
      <c r="D60" s="277">
        <f>'664'!G109</f>
        <v>1012000</v>
      </c>
      <c r="E60" s="277">
        <f>'664'!H109</f>
        <v>1040000</v>
      </c>
      <c r="F60" s="277">
        <f>'664'!I109</f>
        <v>1163000</v>
      </c>
      <c r="G60" s="277">
        <f>'664'!J109</f>
        <v>1012000</v>
      </c>
      <c r="H60" s="277">
        <f>'664'!K109</f>
        <v>1012000</v>
      </c>
      <c r="I60" s="277">
        <f>'664'!L109</f>
        <v>1026000</v>
      </c>
      <c r="J60" s="277">
        <f>'664'!M109</f>
        <v>1012000</v>
      </c>
      <c r="K60" s="277">
        <f>'664'!N109</f>
        <v>1633000</v>
      </c>
      <c r="L60" s="277">
        <f>'664'!O109</f>
        <v>1003000</v>
      </c>
      <c r="M60" s="277">
        <f>'664'!P109</f>
        <v>63000</v>
      </c>
      <c r="N60" s="277">
        <f>'664'!Q109</f>
        <v>62000</v>
      </c>
      <c r="O60" s="278">
        <f t="shared" si="0"/>
        <v>14524000</v>
      </c>
    </row>
    <row r="61" spans="1:15" s="279" customFormat="1">
      <c r="A61" s="229">
        <v>665</v>
      </c>
      <c r="B61" s="229" t="s">
        <v>616</v>
      </c>
      <c r="C61" s="277">
        <f>'665'!F109</f>
        <v>14265000</v>
      </c>
      <c r="D61" s="277">
        <f>'665'!G109</f>
        <v>3289000</v>
      </c>
      <c r="E61" s="277">
        <f>'665'!H109</f>
        <v>3410000</v>
      </c>
      <c r="F61" s="277">
        <f>'665'!I109</f>
        <v>3933000</v>
      </c>
      <c r="G61" s="277">
        <f>'665'!J109</f>
        <v>3289000</v>
      </c>
      <c r="H61" s="277">
        <f>'665'!K109</f>
        <v>3293000</v>
      </c>
      <c r="I61" s="277">
        <f>'665'!L109</f>
        <v>3320000</v>
      </c>
      <c r="J61" s="277">
        <f>'665'!M109</f>
        <v>3289000</v>
      </c>
      <c r="K61" s="277">
        <f>'665'!N109</f>
        <v>5937000</v>
      </c>
      <c r="L61" s="277">
        <f>'665'!O109</f>
        <v>3291000</v>
      </c>
      <c r="M61" s="277">
        <f>'665'!P109</f>
        <v>94000</v>
      </c>
      <c r="N61" s="277">
        <f>'665'!Q109</f>
        <v>99000</v>
      </c>
      <c r="O61" s="278">
        <f t="shared" si="0"/>
        <v>47509000</v>
      </c>
    </row>
    <row r="62" spans="1:15" s="279" customFormat="1">
      <c r="A62" s="229">
        <v>666</v>
      </c>
      <c r="B62" s="229" t="s">
        <v>617</v>
      </c>
      <c r="C62" s="277">
        <f>'666'!F109</f>
        <v>4888000</v>
      </c>
      <c r="D62" s="277">
        <f>'666'!G109</f>
        <v>1194000</v>
      </c>
      <c r="E62" s="277">
        <f>'666'!H109</f>
        <v>1245000</v>
      </c>
      <c r="F62" s="277">
        <f>'666'!I109</f>
        <v>1326000</v>
      </c>
      <c r="G62" s="277">
        <f>'666'!J109</f>
        <v>1202000</v>
      </c>
      <c r="H62" s="277">
        <f>'666'!K109</f>
        <v>1202000</v>
      </c>
      <c r="I62" s="277">
        <f>'666'!L109</f>
        <v>1213000</v>
      </c>
      <c r="J62" s="277">
        <f>'666'!M109</f>
        <v>1202000</v>
      </c>
      <c r="K62" s="277">
        <f>'666'!N109</f>
        <v>1704000</v>
      </c>
      <c r="L62" s="277">
        <f>'666'!O109</f>
        <v>1196000</v>
      </c>
      <c r="M62" s="277">
        <f>'666'!P109</f>
        <v>84000</v>
      </c>
      <c r="N62" s="277">
        <f>'666'!Q109</f>
        <v>73000</v>
      </c>
      <c r="O62" s="278">
        <f t="shared" si="0"/>
        <v>16529000</v>
      </c>
    </row>
    <row r="63" spans="1:15" s="279" customFormat="1">
      <c r="A63" s="229">
        <v>667</v>
      </c>
      <c r="B63" s="229" t="s">
        <v>618</v>
      </c>
      <c r="C63" s="277">
        <f>'667'!F109</f>
        <v>5985000</v>
      </c>
      <c r="D63" s="277">
        <f>'667'!G109</f>
        <v>1391000</v>
      </c>
      <c r="E63" s="277">
        <f>'667'!H109</f>
        <v>1438000</v>
      </c>
      <c r="F63" s="277">
        <f>'667'!I109</f>
        <v>1619000</v>
      </c>
      <c r="G63" s="277">
        <f>'667'!J109</f>
        <v>1391000</v>
      </c>
      <c r="H63" s="277">
        <f>'667'!K109</f>
        <v>1393000</v>
      </c>
      <c r="I63" s="277">
        <f>'667'!L109</f>
        <v>1390000</v>
      </c>
      <c r="J63" s="277">
        <f>'667'!M109</f>
        <v>1391000</v>
      </c>
      <c r="K63" s="277">
        <f>'667'!N109</f>
        <v>2331000</v>
      </c>
      <c r="L63" s="277">
        <f>'667'!O109</f>
        <v>1389000</v>
      </c>
      <c r="M63" s="277">
        <f>'667'!P109</f>
        <v>70000</v>
      </c>
      <c r="N63" s="277">
        <f>'667'!Q109</f>
        <v>67000</v>
      </c>
      <c r="O63" s="278">
        <f t="shared" si="0"/>
        <v>19855000</v>
      </c>
    </row>
    <row r="64" spans="1:15" s="279" customFormat="1">
      <c r="A64" s="229">
        <v>668</v>
      </c>
      <c r="B64" s="229" t="s">
        <v>619</v>
      </c>
      <c r="C64" s="277">
        <f>'668'!F109</f>
        <v>6620000</v>
      </c>
      <c r="D64" s="277">
        <f>'668'!G109</f>
        <v>1525000</v>
      </c>
      <c r="E64" s="277">
        <f>'668'!H109</f>
        <v>1906000</v>
      </c>
      <c r="F64" s="277">
        <f>'668'!I109</f>
        <v>1833000</v>
      </c>
      <c r="G64" s="277">
        <f>'668'!J109</f>
        <v>1525000</v>
      </c>
      <c r="H64" s="277">
        <f>'668'!K109</f>
        <v>1529000</v>
      </c>
      <c r="I64" s="277">
        <f>'668'!L109</f>
        <v>1541000</v>
      </c>
      <c r="J64" s="277">
        <f>'668'!M109</f>
        <v>1525000</v>
      </c>
      <c r="K64" s="277">
        <f>'668'!N109</f>
        <v>3114000</v>
      </c>
      <c r="L64" s="277">
        <f>'668'!O109</f>
        <v>1524000</v>
      </c>
      <c r="M64" s="277">
        <f>'668'!P109</f>
        <v>65000</v>
      </c>
      <c r="N64" s="277">
        <f>'668'!Q109</f>
        <v>61000</v>
      </c>
      <c r="O64" s="278">
        <f t="shared" si="0"/>
        <v>22768000</v>
      </c>
    </row>
    <row r="65" spans="1:15" s="279" customFormat="1">
      <c r="A65" s="229">
        <v>669</v>
      </c>
      <c r="B65" s="229" t="s">
        <v>620</v>
      </c>
      <c r="C65" s="277">
        <f>'669'!F109</f>
        <v>5779000</v>
      </c>
      <c r="D65" s="277">
        <f>'669'!G109</f>
        <v>1340000</v>
      </c>
      <c r="E65" s="277">
        <f>'669'!H109</f>
        <v>1554000</v>
      </c>
      <c r="F65" s="277">
        <f>'669'!I109</f>
        <v>1602000</v>
      </c>
      <c r="G65" s="277">
        <f>'669'!J109</f>
        <v>1340000</v>
      </c>
      <c r="H65" s="277">
        <f>'669'!K109</f>
        <v>1340000</v>
      </c>
      <c r="I65" s="277">
        <f>'669'!L109</f>
        <v>1354000</v>
      </c>
      <c r="J65" s="277">
        <f>'669'!M109</f>
        <v>1340000</v>
      </c>
      <c r="K65" s="277">
        <f>'669'!N109</f>
        <v>2586000</v>
      </c>
      <c r="L65" s="277">
        <f>'669'!O109</f>
        <v>1341000</v>
      </c>
      <c r="M65" s="277">
        <f>'669'!P109</f>
        <v>72000</v>
      </c>
      <c r="N65" s="277">
        <f>'669'!Q109</f>
        <v>64000</v>
      </c>
      <c r="O65" s="278">
        <f t="shared" si="0"/>
        <v>19712000</v>
      </c>
    </row>
    <row r="66" spans="1:15" s="279" customFormat="1">
      <c r="A66" s="229">
        <v>670</v>
      </c>
      <c r="B66" s="229" t="s">
        <v>621</v>
      </c>
      <c r="C66" s="277">
        <f>'670'!F109</f>
        <v>7552000</v>
      </c>
      <c r="D66" s="277">
        <f>'670'!G109</f>
        <v>1778000</v>
      </c>
      <c r="E66" s="277">
        <f>'670'!H109</f>
        <v>2046000</v>
      </c>
      <c r="F66" s="277">
        <f>'670'!I109</f>
        <v>2056000</v>
      </c>
      <c r="G66" s="277">
        <f>'670'!J109</f>
        <v>1783000</v>
      </c>
      <c r="H66" s="277">
        <f>'670'!K109</f>
        <v>1791000</v>
      </c>
      <c r="I66" s="277">
        <f>'670'!L109</f>
        <v>1804000</v>
      </c>
      <c r="J66" s="277">
        <f>'670'!M109</f>
        <v>1783000</v>
      </c>
      <c r="K66" s="277">
        <f>'670'!N109</f>
        <v>3088000</v>
      </c>
      <c r="L66" s="277">
        <f>'670'!O109</f>
        <v>1775000</v>
      </c>
      <c r="M66" s="277">
        <f>'670'!P109</f>
        <v>111000</v>
      </c>
      <c r="N66" s="277">
        <f>'670'!Q109</f>
        <v>97000</v>
      </c>
      <c r="O66" s="278">
        <f t="shared" si="0"/>
        <v>25664000</v>
      </c>
    </row>
    <row r="67" spans="1:15" s="279" customFormat="1">
      <c r="A67" s="229">
        <v>671</v>
      </c>
      <c r="B67" s="229" t="s">
        <v>622</v>
      </c>
      <c r="C67" s="277">
        <f>'671'!F109</f>
        <v>4821000</v>
      </c>
      <c r="D67" s="277">
        <f>'671'!G109</f>
        <v>1086000</v>
      </c>
      <c r="E67" s="277">
        <f>'671'!H109</f>
        <v>1103000</v>
      </c>
      <c r="F67" s="277">
        <f>'671'!I109</f>
        <v>1274000</v>
      </c>
      <c r="G67" s="277">
        <f>'671'!J109</f>
        <v>1086000</v>
      </c>
      <c r="H67" s="277">
        <f>'671'!K109</f>
        <v>1086000</v>
      </c>
      <c r="I67" s="277">
        <f>'671'!L109</f>
        <v>1100000</v>
      </c>
      <c r="J67" s="277">
        <f>'671'!M109</f>
        <v>1086000</v>
      </c>
      <c r="K67" s="277">
        <f>'671'!N109</f>
        <v>1840000</v>
      </c>
      <c r="L67" s="277">
        <f>'671'!O109</f>
        <v>1085000</v>
      </c>
      <c r="M67" s="277">
        <f>'671'!P109</f>
        <v>63000</v>
      </c>
      <c r="N67" s="277">
        <f>'671'!Q109</f>
        <v>63000</v>
      </c>
      <c r="O67" s="278">
        <f t="shared" ref="O67:O102" si="1">SUM(C67:N67)</f>
        <v>15693000</v>
      </c>
    </row>
    <row r="68" spans="1:15" s="279" customFormat="1">
      <c r="A68" s="229">
        <v>672</v>
      </c>
      <c r="B68" s="229" t="s">
        <v>623</v>
      </c>
      <c r="C68" s="277">
        <f>'672'!F109</f>
        <v>4498000</v>
      </c>
      <c r="D68" s="277">
        <f>'672'!G109</f>
        <v>1089000</v>
      </c>
      <c r="E68" s="277">
        <f>'672'!H109</f>
        <v>1122000</v>
      </c>
      <c r="F68" s="277">
        <f>'672'!I109</f>
        <v>1235000</v>
      </c>
      <c r="G68" s="277">
        <f>'672'!J109</f>
        <v>1094000</v>
      </c>
      <c r="H68" s="277">
        <f>'672'!K109</f>
        <v>1096000</v>
      </c>
      <c r="I68" s="277">
        <f>'672'!L109</f>
        <v>1109000</v>
      </c>
      <c r="J68" s="277">
        <f>'672'!M109</f>
        <v>1094000</v>
      </c>
      <c r="K68" s="277">
        <f>'672'!N109</f>
        <v>1636000</v>
      </c>
      <c r="L68" s="277">
        <f>'672'!O109</f>
        <v>1080000</v>
      </c>
      <c r="M68" s="277">
        <f>'672'!P109</f>
        <v>79000</v>
      </c>
      <c r="N68" s="277">
        <f>'672'!Q109</f>
        <v>72000</v>
      </c>
      <c r="O68" s="278">
        <f t="shared" si="1"/>
        <v>15204000</v>
      </c>
    </row>
    <row r="69" spans="1:15" s="279" customFormat="1">
      <c r="A69" s="229">
        <v>673</v>
      </c>
      <c r="B69" s="229" t="s">
        <v>624</v>
      </c>
      <c r="C69" s="277">
        <f>'673'!F109</f>
        <v>5085000</v>
      </c>
      <c r="D69" s="277">
        <f>'673'!G109</f>
        <v>1186000</v>
      </c>
      <c r="E69" s="277">
        <f>'673'!H109</f>
        <v>1204000</v>
      </c>
      <c r="F69" s="277">
        <f>'673'!I109</f>
        <v>1379000</v>
      </c>
      <c r="G69" s="277">
        <f>'673'!J109</f>
        <v>1186000</v>
      </c>
      <c r="H69" s="277">
        <f>'673'!K109</f>
        <v>1186000</v>
      </c>
      <c r="I69" s="277">
        <f>'673'!L109</f>
        <v>1200000</v>
      </c>
      <c r="J69" s="277">
        <f>'673'!M109</f>
        <v>1186000</v>
      </c>
      <c r="K69" s="277">
        <f>'673'!N109</f>
        <v>1965000</v>
      </c>
      <c r="L69" s="277">
        <f>'673'!O109</f>
        <v>1184000</v>
      </c>
      <c r="M69" s="277">
        <f>'673'!P109</f>
        <v>74000</v>
      </c>
      <c r="N69" s="277">
        <f>'673'!Q109</f>
        <v>59000</v>
      </c>
      <c r="O69" s="278">
        <f t="shared" si="1"/>
        <v>16894000</v>
      </c>
    </row>
    <row r="70" spans="1:15" s="279" customFormat="1">
      <c r="A70" s="229">
        <v>674</v>
      </c>
      <c r="B70" s="229" t="s">
        <v>625</v>
      </c>
      <c r="C70" s="277">
        <f>'674'!F109</f>
        <v>5891000</v>
      </c>
      <c r="D70" s="277">
        <f>'674'!G109</f>
        <v>1390000</v>
      </c>
      <c r="E70" s="277">
        <f>'674'!H109</f>
        <v>1431000</v>
      </c>
      <c r="F70" s="277">
        <f>'674'!I109</f>
        <v>1587000</v>
      </c>
      <c r="G70" s="277">
        <f>'674'!J109</f>
        <v>1397000</v>
      </c>
      <c r="H70" s="277">
        <f>'674'!K109</f>
        <v>1403000</v>
      </c>
      <c r="I70" s="277">
        <f>'674'!L109</f>
        <v>1412000</v>
      </c>
      <c r="J70" s="277">
        <f>'674'!M109</f>
        <v>1397000</v>
      </c>
      <c r="K70" s="277">
        <f>'674'!N109</f>
        <v>2164000</v>
      </c>
      <c r="L70" s="277">
        <f>'674'!O109</f>
        <v>1391000</v>
      </c>
      <c r="M70" s="277">
        <f>'674'!P109</f>
        <v>84000</v>
      </c>
      <c r="N70" s="277">
        <f>'674'!Q109</f>
        <v>78000</v>
      </c>
      <c r="O70" s="278">
        <f t="shared" si="1"/>
        <v>19625000</v>
      </c>
    </row>
    <row r="71" spans="1:15" s="279" customFormat="1">
      <c r="A71" s="229">
        <v>675</v>
      </c>
      <c r="B71" s="229" t="s">
        <v>626</v>
      </c>
      <c r="C71" s="277">
        <f>'675'!F109</f>
        <v>5689000</v>
      </c>
      <c r="D71" s="277">
        <f>'675'!G109</f>
        <v>1380000</v>
      </c>
      <c r="E71" s="277">
        <f>'675'!H109</f>
        <v>1503000</v>
      </c>
      <c r="F71" s="277">
        <f>'675'!I109</f>
        <v>1622000</v>
      </c>
      <c r="G71" s="277">
        <f>'675'!J109</f>
        <v>1380000</v>
      </c>
      <c r="H71" s="277">
        <f>'675'!K109</f>
        <v>1382000</v>
      </c>
      <c r="I71" s="277">
        <f>'675'!L109</f>
        <v>1397000</v>
      </c>
      <c r="J71" s="277">
        <f>'675'!M109</f>
        <v>1380000</v>
      </c>
      <c r="K71" s="277">
        <f>'675'!N109</f>
        <v>2458000</v>
      </c>
      <c r="L71" s="277">
        <f>'675'!O109</f>
        <v>1379000</v>
      </c>
      <c r="M71" s="277">
        <f>'675'!P109</f>
        <v>80000</v>
      </c>
      <c r="N71" s="277">
        <f>'675'!Q109</f>
        <v>77000</v>
      </c>
      <c r="O71" s="278">
        <f t="shared" si="1"/>
        <v>19727000</v>
      </c>
    </row>
    <row r="72" spans="1:15" s="279" customFormat="1">
      <c r="A72" s="229">
        <v>676</v>
      </c>
      <c r="B72" s="229" t="s">
        <v>627</v>
      </c>
      <c r="C72" s="277">
        <f>'676'!F109</f>
        <v>5392000</v>
      </c>
      <c r="D72" s="277">
        <f>'676'!G109</f>
        <v>1249000</v>
      </c>
      <c r="E72" s="277">
        <f>'676'!H109</f>
        <v>1390000</v>
      </c>
      <c r="F72" s="277">
        <f>'676'!I109</f>
        <v>1436000</v>
      </c>
      <c r="G72" s="277">
        <f>'676'!J109</f>
        <v>1249000</v>
      </c>
      <c r="H72" s="277">
        <f>'676'!K109</f>
        <v>1251000</v>
      </c>
      <c r="I72" s="277">
        <f>'676'!L109</f>
        <v>1264000</v>
      </c>
      <c r="J72" s="277">
        <f>'676'!M109</f>
        <v>1249000</v>
      </c>
      <c r="K72" s="277">
        <f>'676'!N109</f>
        <v>2125000</v>
      </c>
      <c r="L72" s="277">
        <f>'676'!O109</f>
        <v>1229000</v>
      </c>
      <c r="M72" s="277">
        <f>'676'!P109</f>
        <v>64000</v>
      </c>
      <c r="N72" s="277">
        <f>'676'!Q109</f>
        <v>67000</v>
      </c>
      <c r="O72" s="278">
        <f t="shared" si="1"/>
        <v>17965000</v>
      </c>
    </row>
    <row r="73" spans="1:15" s="279" customFormat="1">
      <c r="A73" s="229">
        <v>678</v>
      </c>
      <c r="B73" s="229" t="s">
        <v>628</v>
      </c>
      <c r="C73" s="277">
        <f>'678'!F109</f>
        <v>5289000</v>
      </c>
      <c r="D73" s="277">
        <f>'678'!G109</f>
        <v>1172000</v>
      </c>
      <c r="E73" s="277">
        <f>'678'!H109</f>
        <v>1217000</v>
      </c>
      <c r="F73" s="277">
        <f>'678'!I109</f>
        <v>1440000</v>
      </c>
      <c r="G73" s="277">
        <f>'678'!J109</f>
        <v>1179000</v>
      </c>
      <c r="H73" s="277">
        <f>'678'!K109</f>
        <v>1179000</v>
      </c>
      <c r="I73" s="277">
        <f>'678'!L109</f>
        <v>1188000</v>
      </c>
      <c r="J73" s="277">
        <f>'678'!M109</f>
        <v>1179000</v>
      </c>
      <c r="K73" s="277">
        <f>'678'!N109</f>
        <v>2225000</v>
      </c>
      <c r="L73" s="277">
        <f>'678'!O109</f>
        <v>1175000</v>
      </c>
      <c r="M73" s="277">
        <f>'678'!P109</f>
        <v>81000</v>
      </c>
      <c r="N73" s="277">
        <f>'678'!Q109</f>
        <v>77000</v>
      </c>
      <c r="O73" s="278">
        <f t="shared" si="1"/>
        <v>17401000</v>
      </c>
    </row>
    <row r="74" spans="1:15" s="279" customFormat="1">
      <c r="A74" s="229">
        <v>679</v>
      </c>
      <c r="B74" s="229" t="s">
        <v>629</v>
      </c>
      <c r="C74" s="277">
        <f>'679'!F109</f>
        <v>8319000</v>
      </c>
      <c r="D74" s="277">
        <f>'679'!G109</f>
        <v>1958000</v>
      </c>
      <c r="E74" s="277">
        <f>'679'!H109</f>
        <v>1995000</v>
      </c>
      <c r="F74" s="277">
        <f>'679'!I109</f>
        <v>2292000</v>
      </c>
      <c r="G74" s="277">
        <f>'679'!J109</f>
        <v>1958000</v>
      </c>
      <c r="H74" s="277">
        <f>'679'!K109</f>
        <v>1964000</v>
      </c>
      <c r="I74" s="277">
        <f>'679'!L109</f>
        <v>1976000</v>
      </c>
      <c r="J74" s="277">
        <f>'679'!M109</f>
        <v>1958000</v>
      </c>
      <c r="K74" s="277">
        <f>'679'!N109</f>
        <v>3305000</v>
      </c>
      <c r="L74" s="277">
        <f>'679'!O109</f>
        <v>1963000</v>
      </c>
      <c r="M74" s="277">
        <f>'679'!P109</f>
        <v>83000</v>
      </c>
      <c r="N74" s="277">
        <f>'679'!Q109</f>
        <v>87000</v>
      </c>
      <c r="O74" s="278">
        <f t="shared" si="1"/>
        <v>27858000</v>
      </c>
    </row>
    <row r="75" spans="1:15" s="279" customFormat="1">
      <c r="A75" s="229">
        <v>680</v>
      </c>
      <c r="B75" s="229" t="s">
        <v>630</v>
      </c>
      <c r="C75" s="277">
        <f>'680'!F109</f>
        <v>7336000</v>
      </c>
      <c r="D75" s="277">
        <f>'680'!G109</f>
        <v>1728000</v>
      </c>
      <c r="E75" s="277">
        <f>'680'!H109</f>
        <v>1861000</v>
      </c>
      <c r="F75" s="277">
        <f>'680'!I109</f>
        <v>2103000</v>
      </c>
      <c r="G75" s="277">
        <f>'680'!J109</f>
        <v>1728000</v>
      </c>
      <c r="H75" s="277">
        <f>'680'!K109</f>
        <v>1730000</v>
      </c>
      <c r="I75" s="277">
        <f>'680'!L109</f>
        <v>1744000</v>
      </c>
      <c r="J75" s="277">
        <f>'680'!M109</f>
        <v>1728000</v>
      </c>
      <c r="K75" s="277">
        <f>'680'!N109</f>
        <v>3335000</v>
      </c>
      <c r="L75" s="277">
        <f>'680'!O109</f>
        <v>1739000</v>
      </c>
      <c r="M75" s="277">
        <f>'680'!P109</f>
        <v>75000</v>
      </c>
      <c r="N75" s="277">
        <f>'680'!Q109</f>
        <v>69000</v>
      </c>
      <c r="O75" s="278">
        <f t="shared" si="1"/>
        <v>25176000</v>
      </c>
    </row>
    <row r="76" spans="1:15" s="279" customFormat="1">
      <c r="A76" s="229">
        <v>681</v>
      </c>
      <c r="B76" s="229" t="s">
        <v>631</v>
      </c>
      <c r="C76" s="277">
        <f>'681'!F109</f>
        <v>7304000</v>
      </c>
      <c r="D76" s="277">
        <f>'681'!G109</f>
        <v>1783000</v>
      </c>
      <c r="E76" s="277">
        <f>'681'!H109</f>
        <v>1833000</v>
      </c>
      <c r="F76" s="277">
        <f>'681'!I109</f>
        <v>2055000</v>
      </c>
      <c r="G76" s="277">
        <f>'681'!J109</f>
        <v>1790000</v>
      </c>
      <c r="H76" s="277">
        <f>'681'!K109</f>
        <v>1794000</v>
      </c>
      <c r="I76" s="277">
        <f>'681'!L109</f>
        <v>2045000</v>
      </c>
      <c r="J76" s="277">
        <f>'681'!M109</f>
        <v>1790000</v>
      </c>
      <c r="K76" s="277">
        <f>'681'!N109</f>
        <v>2827000</v>
      </c>
      <c r="L76" s="277">
        <f>'681'!O109</f>
        <v>1785000</v>
      </c>
      <c r="M76" s="277">
        <f>'681'!P109</f>
        <v>85000</v>
      </c>
      <c r="N76" s="277">
        <f>'681'!Q109</f>
        <v>76000</v>
      </c>
      <c r="O76" s="278">
        <f t="shared" si="1"/>
        <v>25167000</v>
      </c>
    </row>
    <row r="77" spans="1:15" s="279" customFormat="1">
      <c r="A77" s="229">
        <v>682</v>
      </c>
      <c r="B77" s="229" t="s">
        <v>632</v>
      </c>
      <c r="C77" s="277">
        <f>'682'!F109</f>
        <v>5721000</v>
      </c>
      <c r="D77" s="277">
        <f>'682'!G109</f>
        <v>1341000</v>
      </c>
      <c r="E77" s="277">
        <f>'682'!H109</f>
        <v>1430000</v>
      </c>
      <c r="F77" s="277">
        <f>'682'!I109</f>
        <v>1642000</v>
      </c>
      <c r="G77" s="277">
        <f>'682'!J109</f>
        <v>1341000</v>
      </c>
      <c r="H77" s="277">
        <f>'682'!K109</f>
        <v>1343000</v>
      </c>
      <c r="I77" s="277">
        <f>'682'!L109</f>
        <v>1354000</v>
      </c>
      <c r="J77" s="277">
        <f>'682'!M109</f>
        <v>1341000</v>
      </c>
      <c r="K77" s="277">
        <f>'682'!N109</f>
        <v>2616000</v>
      </c>
      <c r="L77" s="277">
        <f>'682'!O109</f>
        <v>1336000</v>
      </c>
      <c r="M77" s="277">
        <f>'682'!P109</f>
        <v>73000</v>
      </c>
      <c r="N77" s="277">
        <f>'682'!Q109</f>
        <v>75000</v>
      </c>
      <c r="O77" s="278">
        <f t="shared" si="1"/>
        <v>19613000</v>
      </c>
    </row>
    <row r="78" spans="1:15" s="279" customFormat="1">
      <c r="A78" s="229">
        <v>683</v>
      </c>
      <c r="B78" s="229" t="s">
        <v>633</v>
      </c>
      <c r="C78" s="277">
        <f>'683'!F109</f>
        <v>6856000</v>
      </c>
      <c r="D78" s="277">
        <f>'683'!G109</f>
        <v>1689000</v>
      </c>
      <c r="E78" s="277">
        <f>'683'!H109</f>
        <v>1760000</v>
      </c>
      <c r="F78" s="277">
        <f>'683'!I109</f>
        <v>2031000</v>
      </c>
      <c r="G78" s="277">
        <f>'683'!J109</f>
        <v>1689000</v>
      </c>
      <c r="H78" s="277">
        <f>'683'!K109</f>
        <v>1695000</v>
      </c>
      <c r="I78" s="277">
        <f>'683'!L109</f>
        <v>1705000</v>
      </c>
      <c r="J78" s="277">
        <f>'683'!M109</f>
        <v>1689000</v>
      </c>
      <c r="K78" s="277">
        <f>'683'!N109</f>
        <v>3104000</v>
      </c>
      <c r="L78" s="277">
        <f>'683'!O109</f>
        <v>1682000</v>
      </c>
      <c r="M78" s="277">
        <f>'683'!P109</f>
        <v>73000</v>
      </c>
      <c r="N78" s="277">
        <f>'683'!Q109</f>
        <v>63000</v>
      </c>
      <c r="O78" s="278">
        <f t="shared" si="1"/>
        <v>24036000</v>
      </c>
    </row>
    <row r="79" spans="1:15" s="279" customFormat="1">
      <c r="A79" s="229">
        <v>684</v>
      </c>
      <c r="B79" s="229" t="s">
        <v>634</v>
      </c>
      <c r="C79" s="277">
        <f>'684'!F109</f>
        <v>7235000</v>
      </c>
      <c r="D79" s="277">
        <f>'684'!G109</f>
        <v>1734000</v>
      </c>
      <c r="E79" s="277">
        <f>'684'!H109</f>
        <v>1969000</v>
      </c>
      <c r="F79" s="277">
        <f>'684'!I109</f>
        <v>2186000</v>
      </c>
      <c r="G79" s="277">
        <f>'684'!J109</f>
        <v>1734000</v>
      </c>
      <c r="H79" s="277">
        <f>'684'!K109</f>
        <v>1736000</v>
      </c>
      <c r="I79" s="277">
        <f>'684'!L109</f>
        <v>1747000</v>
      </c>
      <c r="J79" s="277">
        <f>'684'!M109</f>
        <v>1734000</v>
      </c>
      <c r="K79" s="277">
        <f>'684'!N109</f>
        <v>3741000</v>
      </c>
      <c r="L79" s="277">
        <f>'684'!O109</f>
        <v>1739000</v>
      </c>
      <c r="M79" s="277">
        <f>'684'!P109</f>
        <v>74000</v>
      </c>
      <c r="N79" s="277">
        <f>'684'!Q109</f>
        <v>62000</v>
      </c>
      <c r="O79" s="278">
        <f t="shared" si="1"/>
        <v>25691000</v>
      </c>
    </row>
    <row r="80" spans="1:15" s="279" customFormat="1">
      <c r="A80" s="229">
        <v>685</v>
      </c>
      <c r="B80" s="229" t="s">
        <v>635</v>
      </c>
      <c r="C80" s="277">
        <f>'685'!F109</f>
        <v>6953000</v>
      </c>
      <c r="D80" s="277">
        <f>'685'!G109</f>
        <v>1648000</v>
      </c>
      <c r="E80" s="277">
        <f>'685'!H109</f>
        <v>1793000</v>
      </c>
      <c r="F80" s="277">
        <f>'685'!I109</f>
        <v>1925000</v>
      </c>
      <c r="G80" s="277">
        <f>'685'!J109</f>
        <v>1648000</v>
      </c>
      <c r="H80" s="277">
        <f>'685'!K109</f>
        <v>1648000</v>
      </c>
      <c r="I80" s="277">
        <f>'685'!L109</f>
        <v>1702000</v>
      </c>
      <c r="J80" s="277">
        <f>'685'!M109</f>
        <v>1648000</v>
      </c>
      <c r="K80" s="277">
        <f>'685'!N109</f>
        <v>2866000</v>
      </c>
      <c r="L80" s="277">
        <f>'685'!O109</f>
        <v>1647000</v>
      </c>
      <c r="M80" s="277">
        <f>'685'!P109</f>
        <v>69000</v>
      </c>
      <c r="N80" s="277">
        <f>'685'!Q109</f>
        <v>56000</v>
      </c>
      <c r="O80" s="278">
        <f t="shared" si="1"/>
        <v>23603000</v>
      </c>
    </row>
    <row r="81" spans="1:15" s="279" customFormat="1">
      <c r="A81" s="229">
        <v>686</v>
      </c>
      <c r="B81" s="229" t="s">
        <v>636</v>
      </c>
      <c r="C81" s="277">
        <f>'686'!F109</f>
        <v>7348000</v>
      </c>
      <c r="D81" s="277">
        <f>'686'!G109</f>
        <v>1760000</v>
      </c>
      <c r="E81" s="277">
        <f>'686'!H109</f>
        <v>1868000</v>
      </c>
      <c r="F81" s="277">
        <f>'686'!I109</f>
        <v>2090000</v>
      </c>
      <c r="G81" s="277">
        <f>'686'!J109</f>
        <v>1769000</v>
      </c>
      <c r="H81" s="277">
        <f>'686'!K109</f>
        <v>1776000</v>
      </c>
      <c r="I81" s="277">
        <f>'686'!L109</f>
        <v>1887000</v>
      </c>
      <c r="J81" s="277">
        <f>'686'!M109</f>
        <v>1769000</v>
      </c>
      <c r="K81" s="277">
        <f>'686'!N109</f>
        <v>3073000</v>
      </c>
      <c r="L81" s="277">
        <f>'686'!O109</f>
        <v>1757000</v>
      </c>
      <c r="M81" s="277">
        <f>'686'!P109</f>
        <v>85000</v>
      </c>
      <c r="N81" s="277">
        <f>'686'!Q109</f>
        <v>84000</v>
      </c>
      <c r="O81" s="278">
        <f t="shared" si="1"/>
        <v>25266000</v>
      </c>
    </row>
    <row r="82" spans="1:15" s="279" customFormat="1">
      <c r="A82" s="229">
        <v>687</v>
      </c>
      <c r="B82" s="229" t="s">
        <v>637</v>
      </c>
      <c r="C82" s="277">
        <f>'687'!F109</f>
        <v>6664000</v>
      </c>
      <c r="D82" s="277">
        <f>'687'!G109</f>
        <v>1549000</v>
      </c>
      <c r="E82" s="277">
        <f>'687'!H109</f>
        <v>1574000</v>
      </c>
      <c r="F82" s="277">
        <f>'687'!I109</f>
        <v>1885000</v>
      </c>
      <c r="G82" s="277">
        <f>'687'!J109</f>
        <v>1549000</v>
      </c>
      <c r="H82" s="277">
        <f>'687'!K109</f>
        <v>1551000</v>
      </c>
      <c r="I82" s="277">
        <f>'687'!L109</f>
        <v>1564000</v>
      </c>
      <c r="J82" s="277">
        <f>'687'!M109</f>
        <v>1549000</v>
      </c>
      <c r="K82" s="277">
        <f>'687'!N109</f>
        <v>2895000</v>
      </c>
      <c r="L82" s="277">
        <f>'687'!O109</f>
        <v>1541000</v>
      </c>
      <c r="M82" s="277">
        <f>'687'!P109</f>
        <v>77000</v>
      </c>
      <c r="N82" s="277">
        <f>'687'!Q109</f>
        <v>66000</v>
      </c>
      <c r="O82" s="278">
        <f t="shared" si="1"/>
        <v>22464000</v>
      </c>
    </row>
    <row r="83" spans="1:15" s="279" customFormat="1">
      <c r="A83" s="229">
        <v>688</v>
      </c>
      <c r="B83" s="229" t="s">
        <v>638</v>
      </c>
      <c r="C83" s="277">
        <f>'688'!F109</f>
        <v>7172000</v>
      </c>
      <c r="D83" s="277">
        <f>'688'!G109</f>
        <v>1692000</v>
      </c>
      <c r="E83" s="277">
        <f>'688'!H109</f>
        <v>1837000</v>
      </c>
      <c r="F83" s="277">
        <f>'688'!I109</f>
        <v>2049000</v>
      </c>
      <c r="G83" s="277">
        <f>'688'!J109</f>
        <v>1692000</v>
      </c>
      <c r="H83" s="277">
        <f>'688'!K109</f>
        <v>1696000</v>
      </c>
      <c r="I83" s="277">
        <f>'688'!L109</f>
        <v>1708000</v>
      </c>
      <c r="J83" s="277">
        <f>'688'!M109</f>
        <v>1692000</v>
      </c>
      <c r="K83" s="277">
        <f>'688'!N109</f>
        <v>3239000</v>
      </c>
      <c r="L83" s="277">
        <f>'688'!O109</f>
        <v>1677000</v>
      </c>
      <c r="M83" s="277">
        <f>'688'!P109</f>
        <v>72000</v>
      </c>
      <c r="N83" s="277">
        <f>'688'!Q109</f>
        <v>69000</v>
      </c>
      <c r="O83" s="278">
        <f t="shared" si="1"/>
        <v>24595000</v>
      </c>
    </row>
    <row r="84" spans="1:15" s="279" customFormat="1">
      <c r="A84" s="229">
        <v>689</v>
      </c>
      <c r="B84" s="229" t="s">
        <v>639</v>
      </c>
      <c r="C84" s="277">
        <f>'689'!F109</f>
        <v>6632000</v>
      </c>
      <c r="D84" s="277">
        <f>'689'!G109</f>
        <v>1520000</v>
      </c>
      <c r="E84" s="277">
        <f>'689'!H109</f>
        <v>1696000</v>
      </c>
      <c r="F84" s="277">
        <f>'689'!I109</f>
        <v>1891000</v>
      </c>
      <c r="G84" s="277">
        <f>'689'!J109</f>
        <v>1520000</v>
      </c>
      <c r="H84" s="277">
        <f>'689'!K109</f>
        <v>1520000</v>
      </c>
      <c r="I84" s="277">
        <f>'689'!L109</f>
        <v>1536000</v>
      </c>
      <c r="J84" s="277">
        <f>'689'!M109</f>
        <v>1520000</v>
      </c>
      <c r="K84" s="277">
        <f>'689'!N109</f>
        <v>3147000</v>
      </c>
      <c r="L84" s="277">
        <f>'689'!O109</f>
        <v>1518000</v>
      </c>
      <c r="M84" s="277">
        <f>'689'!P109</f>
        <v>64000</v>
      </c>
      <c r="N84" s="277">
        <f>'689'!Q109</f>
        <v>59000</v>
      </c>
      <c r="O84" s="278">
        <f t="shared" si="1"/>
        <v>22623000</v>
      </c>
    </row>
    <row r="85" spans="1:15" s="279" customFormat="1">
      <c r="A85" s="229">
        <v>690</v>
      </c>
      <c r="B85" s="229" t="s">
        <v>640</v>
      </c>
      <c r="C85" s="277">
        <f>'690'!F109</f>
        <v>8269000</v>
      </c>
      <c r="D85" s="277">
        <f>'690'!G109</f>
        <v>1903000</v>
      </c>
      <c r="E85" s="277">
        <f>'690'!H109</f>
        <v>2112000</v>
      </c>
      <c r="F85" s="277">
        <f>'690'!I109</f>
        <v>2252000</v>
      </c>
      <c r="G85" s="277">
        <f>'690'!J109</f>
        <v>1903000</v>
      </c>
      <c r="H85" s="277">
        <f>'690'!K109</f>
        <v>1905000</v>
      </c>
      <c r="I85" s="277">
        <f>'690'!L109</f>
        <v>1926000</v>
      </c>
      <c r="J85" s="277">
        <f>'690'!M109</f>
        <v>1903000</v>
      </c>
      <c r="K85" s="277">
        <f>'690'!N109</f>
        <v>3477000</v>
      </c>
      <c r="L85" s="277">
        <f>'690'!O109</f>
        <v>1896000</v>
      </c>
      <c r="M85" s="277">
        <f>'690'!P109</f>
        <v>82000</v>
      </c>
      <c r="N85" s="277">
        <f>'690'!Q109</f>
        <v>82000</v>
      </c>
      <c r="O85" s="278">
        <f t="shared" si="1"/>
        <v>27710000</v>
      </c>
    </row>
    <row r="86" spans="1:15" s="279" customFormat="1">
      <c r="A86" s="229">
        <v>691</v>
      </c>
      <c r="B86" s="229" t="s">
        <v>641</v>
      </c>
      <c r="C86" s="277">
        <f>'691'!F109</f>
        <v>6954000</v>
      </c>
      <c r="D86" s="277">
        <f>'691'!G109</f>
        <v>1649000</v>
      </c>
      <c r="E86" s="277">
        <f>'691'!H109</f>
        <v>1681000</v>
      </c>
      <c r="F86" s="277">
        <f>'691'!I109</f>
        <v>1955000</v>
      </c>
      <c r="G86" s="277">
        <f>'691'!J109</f>
        <v>1649000</v>
      </c>
      <c r="H86" s="277">
        <f>'691'!K109</f>
        <v>1651000</v>
      </c>
      <c r="I86" s="277">
        <f>'691'!L109</f>
        <v>1665000</v>
      </c>
      <c r="J86" s="277">
        <f>'691'!M109</f>
        <v>1649000</v>
      </c>
      <c r="K86" s="277">
        <f>'691'!N109</f>
        <v>2876000</v>
      </c>
      <c r="L86" s="277">
        <f>'691'!O109</f>
        <v>1650000</v>
      </c>
      <c r="M86" s="277">
        <f>'691'!P109</f>
        <v>75000</v>
      </c>
      <c r="N86" s="277">
        <f>'691'!Q109</f>
        <v>61000</v>
      </c>
      <c r="O86" s="278">
        <f t="shared" si="1"/>
        <v>23515000</v>
      </c>
    </row>
    <row r="87" spans="1:15" s="279" customFormat="1">
      <c r="A87" s="229">
        <v>692</v>
      </c>
      <c r="B87" s="229" t="s">
        <v>642</v>
      </c>
      <c r="C87" s="277">
        <f>'692'!F109</f>
        <v>7020000</v>
      </c>
      <c r="D87" s="277">
        <f>'692'!G109</f>
        <v>1656000</v>
      </c>
      <c r="E87" s="277">
        <f>'692'!H109</f>
        <v>1813000</v>
      </c>
      <c r="F87" s="277">
        <f>'692'!I109</f>
        <v>1960000</v>
      </c>
      <c r="G87" s="277">
        <f>'692'!J109</f>
        <v>1656000</v>
      </c>
      <c r="H87" s="277">
        <f>'692'!K109</f>
        <v>1656000</v>
      </c>
      <c r="I87" s="277">
        <f>'692'!L109</f>
        <v>1671000</v>
      </c>
      <c r="J87" s="277">
        <f>'692'!M109</f>
        <v>1656000</v>
      </c>
      <c r="K87" s="277">
        <f>'692'!N109</f>
        <v>3001000</v>
      </c>
      <c r="L87" s="277">
        <f>'692'!O109</f>
        <v>1655000</v>
      </c>
      <c r="M87" s="277">
        <f>'692'!P109</f>
        <v>72000</v>
      </c>
      <c r="N87" s="277">
        <f>'692'!Q109</f>
        <v>67000</v>
      </c>
      <c r="O87" s="278">
        <f t="shared" si="1"/>
        <v>23883000</v>
      </c>
    </row>
    <row r="88" spans="1:15" s="279" customFormat="1">
      <c r="A88" s="229">
        <v>693</v>
      </c>
      <c r="B88" s="229" t="s">
        <v>643</v>
      </c>
      <c r="C88" s="277">
        <f>'693'!F109</f>
        <v>5892000</v>
      </c>
      <c r="D88" s="277">
        <f>'693'!G109</f>
        <v>1363000</v>
      </c>
      <c r="E88" s="277">
        <f>'693'!H109</f>
        <v>1534000</v>
      </c>
      <c r="F88" s="277">
        <f>'693'!I109</f>
        <v>1667000</v>
      </c>
      <c r="G88" s="277">
        <f>'693'!J109</f>
        <v>1363000</v>
      </c>
      <c r="H88" s="277">
        <f>'693'!K109</f>
        <v>1363000</v>
      </c>
      <c r="I88" s="277">
        <f>'693'!L109</f>
        <v>1378000</v>
      </c>
      <c r="J88" s="277">
        <f>'693'!M109</f>
        <v>1363000</v>
      </c>
      <c r="K88" s="277">
        <f>'693'!N109</f>
        <v>2730000</v>
      </c>
      <c r="L88" s="277">
        <f>'693'!O109</f>
        <v>1363000</v>
      </c>
      <c r="M88" s="277">
        <f>'693'!P109</f>
        <v>69000</v>
      </c>
      <c r="N88" s="277">
        <f>'693'!Q109</f>
        <v>64000</v>
      </c>
      <c r="O88" s="278">
        <f t="shared" si="1"/>
        <v>20149000</v>
      </c>
    </row>
    <row r="89" spans="1:15" s="279" customFormat="1">
      <c r="A89" s="229">
        <v>694</v>
      </c>
      <c r="B89" s="229" t="s">
        <v>644</v>
      </c>
      <c r="C89" s="277">
        <f>'694'!F109</f>
        <v>6775000</v>
      </c>
      <c r="D89" s="277">
        <f>'694'!G109</f>
        <v>1626000</v>
      </c>
      <c r="E89" s="277">
        <f>'694'!H109</f>
        <v>1705000</v>
      </c>
      <c r="F89" s="277">
        <f>'694'!I109</f>
        <v>1974000</v>
      </c>
      <c r="G89" s="277">
        <f>'694'!J109</f>
        <v>1626000</v>
      </c>
      <c r="H89" s="277">
        <f>'694'!K109</f>
        <v>1628000</v>
      </c>
      <c r="I89" s="277">
        <f>'694'!L109</f>
        <v>1683000</v>
      </c>
      <c r="J89" s="277">
        <f>'694'!M109</f>
        <v>1626000</v>
      </c>
      <c r="K89" s="277">
        <f>'694'!N109</f>
        <v>3072000</v>
      </c>
      <c r="L89" s="277">
        <f>'694'!O109</f>
        <v>1618000</v>
      </c>
      <c r="M89" s="277">
        <f>'694'!P109</f>
        <v>75000</v>
      </c>
      <c r="N89" s="277">
        <f>'694'!Q109</f>
        <v>69000</v>
      </c>
      <c r="O89" s="278">
        <f t="shared" si="1"/>
        <v>23477000</v>
      </c>
    </row>
    <row r="90" spans="1:15" s="279" customFormat="1">
      <c r="A90" s="229">
        <v>695</v>
      </c>
      <c r="B90" s="229" t="s">
        <v>645</v>
      </c>
      <c r="C90" s="277">
        <f>'695'!F109</f>
        <v>7752000</v>
      </c>
      <c r="D90" s="277">
        <f>'695'!G109</f>
        <v>1792000</v>
      </c>
      <c r="E90" s="277">
        <f>'695'!H109</f>
        <v>1995000</v>
      </c>
      <c r="F90" s="277">
        <f>'695'!I109</f>
        <v>2114000</v>
      </c>
      <c r="G90" s="277">
        <f>'695'!J109</f>
        <v>1792000</v>
      </c>
      <c r="H90" s="277">
        <f>'695'!K109</f>
        <v>1796000</v>
      </c>
      <c r="I90" s="277">
        <f>'695'!L109</f>
        <v>1808000</v>
      </c>
      <c r="J90" s="277">
        <f>'695'!M109</f>
        <v>1792000</v>
      </c>
      <c r="K90" s="277">
        <f>'695'!N109</f>
        <v>3253000</v>
      </c>
      <c r="L90" s="277">
        <f>'695'!O109</f>
        <v>1787000</v>
      </c>
      <c r="M90" s="277">
        <f>'695'!P109</f>
        <v>76000</v>
      </c>
      <c r="N90" s="277">
        <f>'695'!Q109</f>
        <v>76000</v>
      </c>
      <c r="O90" s="278">
        <f t="shared" si="1"/>
        <v>26033000</v>
      </c>
    </row>
    <row r="91" spans="1:15" s="279" customFormat="1">
      <c r="A91" s="229">
        <v>696</v>
      </c>
      <c r="B91" s="229" t="s">
        <v>646</v>
      </c>
      <c r="C91" s="277">
        <f>'696'!F109</f>
        <v>7078000</v>
      </c>
      <c r="D91" s="277">
        <f>'696'!G109</f>
        <v>1715000</v>
      </c>
      <c r="E91" s="277">
        <f>'696'!H109</f>
        <v>1732000</v>
      </c>
      <c r="F91" s="277">
        <f>'696'!I109</f>
        <v>2090000</v>
      </c>
      <c r="G91" s="277">
        <f>'696'!J109</f>
        <v>1715000</v>
      </c>
      <c r="H91" s="277">
        <f>'696'!K109</f>
        <v>1717000</v>
      </c>
      <c r="I91" s="277">
        <f>'696'!L109</f>
        <v>1731000</v>
      </c>
      <c r="J91" s="277">
        <f>'696'!M109</f>
        <v>1715000</v>
      </c>
      <c r="K91" s="277">
        <f>'696'!N109</f>
        <v>3222000</v>
      </c>
      <c r="L91" s="277">
        <f>'696'!O109</f>
        <v>1714000</v>
      </c>
      <c r="M91" s="277">
        <f>'696'!P109</f>
        <v>76000</v>
      </c>
      <c r="N91" s="277">
        <f>'696'!Q109</f>
        <v>61000</v>
      </c>
      <c r="O91" s="278">
        <f t="shared" si="1"/>
        <v>24566000</v>
      </c>
    </row>
    <row r="92" spans="1:15" s="279" customFormat="1">
      <c r="A92" s="229">
        <v>697</v>
      </c>
      <c r="B92" s="229" t="s">
        <v>647</v>
      </c>
      <c r="C92" s="277">
        <f>'697'!F109</f>
        <v>6974000</v>
      </c>
      <c r="D92" s="277">
        <f>'697'!G109</f>
        <v>1643000</v>
      </c>
      <c r="E92" s="277">
        <f>'697'!H109</f>
        <v>1727000</v>
      </c>
      <c r="F92" s="277">
        <f>'697'!I109</f>
        <v>1956000</v>
      </c>
      <c r="G92" s="277">
        <f>'697'!J109</f>
        <v>1643000</v>
      </c>
      <c r="H92" s="277">
        <f>'697'!K109</f>
        <v>1643000</v>
      </c>
      <c r="I92" s="277">
        <f>'697'!L109</f>
        <v>1660000</v>
      </c>
      <c r="J92" s="277">
        <f>'697'!M109</f>
        <v>1643000</v>
      </c>
      <c r="K92" s="277">
        <f>'697'!N109</f>
        <v>2951000</v>
      </c>
      <c r="L92" s="277">
        <f>'697'!O109</f>
        <v>1645000</v>
      </c>
      <c r="M92" s="277">
        <f>'697'!P109</f>
        <v>67000</v>
      </c>
      <c r="N92" s="277">
        <f>'697'!Q109</f>
        <v>64000</v>
      </c>
      <c r="O92" s="278">
        <f t="shared" si="1"/>
        <v>23616000</v>
      </c>
    </row>
    <row r="93" spans="1:15" s="279" customFormat="1">
      <c r="A93" s="229">
        <v>698</v>
      </c>
      <c r="B93" s="229" t="s">
        <v>648</v>
      </c>
      <c r="C93" s="277">
        <f>'698'!F109</f>
        <v>6927000</v>
      </c>
      <c r="D93" s="277">
        <f>'698'!G109</f>
        <v>1611000</v>
      </c>
      <c r="E93" s="277">
        <f>'698'!H109</f>
        <v>1648000</v>
      </c>
      <c r="F93" s="277">
        <f>'698'!I109</f>
        <v>1948000</v>
      </c>
      <c r="G93" s="277">
        <f>'698'!J109</f>
        <v>1616000</v>
      </c>
      <c r="H93" s="277">
        <f>'698'!K109</f>
        <v>1616000</v>
      </c>
      <c r="I93" s="277">
        <f>'698'!L109</f>
        <v>1632000</v>
      </c>
      <c r="J93" s="277">
        <f>'698'!M109</f>
        <v>1616000</v>
      </c>
      <c r="K93" s="277">
        <f>'698'!N109</f>
        <v>2923000</v>
      </c>
      <c r="L93" s="277">
        <f>'698'!O109</f>
        <v>1612000</v>
      </c>
      <c r="M93" s="277">
        <f>'698'!P109</f>
        <v>75000</v>
      </c>
      <c r="N93" s="277">
        <f>'698'!Q109</f>
        <v>63000</v>
      </c>
      <c r="O93" s="278">
        <f t="shared" si="1"/>
        <v>23287000</v>
      </c>
    </row>
    <row r="94" spans="1:15" s="279" customFormat="1">
      <c r="A94" s="229">
        <v>699</v>
      </c>
      <c r="B94" s="229" t="s">
        <v>649</v>
      </c>
      <c r="C94" s="277">
        <f>'699'!F109</f>
        <v>6342000</v>
      </c>
      <c r="D94" s="277">
        <f>'699'!G109</f>
        <v>1496000</v>
      </c>
      <c r="E94" s="277">
        <f>'699'!H109</f>
        <v>1715000</v>
      </c>
      <c r="F94" s="277">
        <f>'699'!I109</f>
        <v>1826000</v>
      </c>
      <c r="G94" s="277">
        <f>'699'!J109</f>
        <v>1496000</v>
      </c>
      <c r="H94" s="277">
        <f>'699'!K109</f>
        <v>1498000</v>
      </c>
      <c r="I94" s="277">
        <f>'699'!L109</f>
        <v>1509000</v>
      </c>
      <c r="J94" s="277">
        <f>'699'!M109</f>
        <v>1496000</v>
      </c>
      <c r="K94" s="277">
        <f>'699'!N109</f>
        <v>3009000</v>
      </c>
      <c r="L94" s="277">
        <f>'699'!O109</f>
        <v>1492000</v>
      </c>
      <c r="M94" s="277">
        <f>'699'!P109</f>
        <v>72000</v>
      </c>
      <c r="N94" s="277">
        <f>'699'!Q109</f>
        <v>64000</v>
      </c>
      <c r="O94" s="278">
        <f t="shared" si="1"/>
        <v>22015000</v>
      </c>
    </row>
    <row r="95" spans="1:15" s="279" customFormat="1">
      <c r="A95" s="229">
        <v>700</v>
      </c>
      <c r="B95" s="229" t="s">
        <v>650</v>
      </c>
      <c r="C95" s="277">
        <f>'700'!F109</f>
        <v>6904000</v>
      </c>
      <c r="D95" s="277">
        <f>'700'!G109</f>
        <v>1632000</v>
      </c>
      <c r="E95" s="277">
        <f>'700'!H109</f>
        <v>1702000</v>
      </c>
      <c r="F95" s="277">
        <f>'700'!I109</f>
        <v>1963000</v>
      </c>
      <c r="G95" s="277">
        <f>'700'!J109</f>
        <v>1643000</v>
      </c>
      <c r="H95" s="277">
        <f>'700'!K109</f>
        <v>1645000</v>
      </c>
      <c r="I95" s="277">
        <f>'700'!L109</f>
        <v>1660000</v>
      </c>
      <c r="J95" s="277">
        <f>'700'!M109</f>
        <v>1643000</v>
      </c>
      <c r="K95" s="277">
        <f>'700'!N109</f>
        <v>2897000</v>
      </c>
      <c r="L95" s="277">
        <f>'700'!O109</f>
        <v>1633000</v>
      </c>
      <c r="M95" s="277">
        <f>'700'!P109</f>
        <v>81000</v>
      </c>
      <c r="N95" s="277">
        <f>'700'!Q109</f>
        <v>72000</v>
      </c>
      <c r="O95" s="278">
        <f t="shared" si="1"/>
        <v>23475000</v>
      </c>
    </row>
    <row r="96" spans="1:15" s="279" customFormat="1">
      <c r="A96" s="229">
        <v>701</v>
      </c>
      <c r="B96" s="229" t="s">
        <v>651</v>
      </c>
      <c r="C96" s="277">
        <f>'701'!F109</f>
        <v>6545000</v>
      </c>
      <c r="D96" s="277">
        <f>'701'!G109</f>
        <v>1585000</v>
      </c>
      <c r="E96" s="277">
        <f>'701'!H109</f>
        <v>1660000</v>
      </c>
      <c r="F96" s="277">
        <f>'701'!I109</f>
        <v>1863000</v>
      </c>
      <c r="G96" s="277">
        <f>'701'!J109</f>
        <v>1595000</v>
      </c>
      <c r="H96" s="277">
        <f>'701'!K109</f>
        <v>1599000</v>
      </c>
      <c r="I96" s="277">
        <f>'701'!L109</f>
        <v>1612000</v>
      </c>
      <c r="J96" s="277">
        <f>'701'!M109</f>
        <v>1595000</v>
      </c>
      <c r="K96" s="277">
        <f>'701'!N109</f>
        <v>2647000</v>
      </c>
      <c r="L96" s="277">
        <f>'701'!O109</f>
        <v>1589000</v>
      </c>
      <c r="M96" s="277">
        <f>'701'!P109</f>
        <v>87000</v>
      </c>
      <c r="N96" s="277">
        <f>'701'!Q109</f>
        <v>76000</v>
      </c>
      <c r="O96" s="278">
        <f t="shared" si="1"/>
        <v>22453000</v>
      </c>
    </row>
    <row r="97" spans="1:15" s="279" customFormat="1">
      <c r="A97" s="229">
        <v>702</v>
      </c>
      <c r="B97" s="229" t="s">
        <v>652</v>
      </c>
      <c r="C97" s="277">
        <f>'702'!F109</f>
        <v>6198000</v>
      </c>
      <c r="D97" s="277">
        <f>'702'!G109</f>
        <v>1447000</v>
      </c>
      <c r="E97" s="277">
        <f>'702'!H109</f>
        <v>1605000</v>
      </c>
      <c r="F97" s="277">
        <f>'702'!I109</f>
        <v>1752000</v>
      </c>
      <c r="G97" s="277">
        <f>'702'!J109</f>
        <v>1447000</v>
      </c>
      <c r="H97" s="277">
        <f>'702'!K109</f>
        <v>1447000</v>
      </c>
      <c r="I97" s="277">
        <f>'702'!L109</f>
        <v>1464000</v>
      </c>
      <c r="J97" s="277">
        <f>'702'!M109</f>
        <v>1447000</v>
      </c>
      <c r="K97" s="277">
        <f>'702'!N109</f>
        <v>2808000</v>
      </c>
      <c r="L97" s="277">
        <f>'702'!O109</f>
        <v>1444000</v>
      </c>
      <c r="M97" s="277">
        <f>'702'!P109</f>
        <v>70000</v>
      </c>
      <c r="N97" s="277">
        <f>'702'!Q109</f>
        <v>60000</v>
      </c>
      <c r="O97" s="278">
        <f t="shared" si="1"/>
        <v>21189000</v>
      </c>
    </row>
    <row r="98" spans="1:15" s="279" customFormat="1">
      <c r="A98" s="229">
        <v>703</v>
      </c>
      <c r="B98" s="229" t="s">
        <v>653</v>
      </c>
      <c r="C98" s="277">
        <f>'703'!F109</f>
        <v>5372000</v>
      </c>
      <c r="D98" s="277">
        <f>'703'!G109</f>
        <v>1281000</v>
      </c>
      <c r="E98" s="277">
        <f>'703'!H109</f>
        <v>1431000</v>
      </c>
      <c r="F98" s="277">
        <f>'703'!I109</f>
        <v>1527000</v>
      </c>
      <c r="G98" s="277">
        <f>'703'!J109</f>
        <v>1281000</v>
      </c>
      <c r="H98" s="277">
        <f>'703'!K109</f>
        <v>1283000</v>
      </c>
      <c r="I98" s="277">
        <f>'703'!L109</f>
        <v>1295000</v>
      </c>
      <c r="J98" s="277">
        <f>'703'!M109</f>
        <v>1281000</v>
      </c>
      <c r="K98" s="277">
        <f>'703'!N109</f>
        <v>2405000</v>
      </c>
      <c r="L98" s="277">
        <f>'703'!O109</f>
        <v>1288000</v>
      </c>
      <c r="M98" s="277">
        <f>'703'!P109</f>
        <v>72000</v>
      </c>
      <c r="N98" s="277">
        <f>'703'!Q109</f>
        <v>62000</v>
      </c>
      <c r="O98" s="278">
        <f t="shared" si="1"/>
        <v>18578000</v>
      </c>
    </row>
    <row r="99" spans="1:15" s="279" customFormat="1">
      <c r="A99" s="229">
        <v>705</v>
      </c>
      <c r="B99" s="229" t="s">
        <v>654</v>
      </c>
      <c r="C99" s="277">
        <f>'705'!F109</f>
        <v>4874000</v>
      </c>
      <c r="D99" s="277">
        <f>'705'!G109</f>
        <v>1107000</v>
      </c>
      <c r="E99" s="277">
        <f>'705'!H109</f>
        <v>1161000</v>
      </c>
      <c r="F99" s="277">
        <f>'705'!I109</f>
        <v>1282000</v>
      </c>
      <c r="G99" s="277">
        <f>'705'!J109</f>
        <v>1107000</v>
      </c>
      <c r="H99" s="277">
        <f>'705'!K109</f>
        <v>1109000</v>
      </c>
      <c r="I99" s="277">
        <f>'705'!L109</f>
        <v>1118000</v>
      </c>
      <c r="J99" s="277">
        <f>'705'!M109</f>
        <v>1107000</v>
      </c>
      <c r="K99" s="277">
        <f>'705'!N109</f>
        <v>1847000</v>
      </c>
      <c r="L99" s="277">
        <f>'705'!O109</f>
        <v>1102000</v>
      </c>
      <c r="M99" s="277">
        <f>'705'!P109</f>
        <v>66000</v>
      </c>
      <c r="N99" s="277">
        <f>'705'!Q109</f>
        <v>67000</v>
      </c>
      <c r="O99" s="278">
        <f t="shared" si="1"/>
        <v>15947000</v>
      </c>
    </row>
    <row r="100" spans="1:15" s="279" customFormat="1">
      <c r="A100" s="229">
        <v>706</v>
      </c>
      <c r="B100" s="229" t="s">
        <v>655</v>
      </c>
      <c r="C100" s="277">
        <f>'706'!F109</f>
        <v>4929000</v>
      </c>
      <c r="D100" s="277">
        <f>'706'!G109</f>
        <v>1078000</v>
      </c>
      <c r="E100" s="277">
        <f>'706'!H109</f>
        <v>1099000</v>
      </c>
      <c r="F100" s="277">
        <f>'706'!I109</f>
        <v>1276000</v>
      </c>
      <c r="G100" s="277">
        <f>'706'!J109</f>
        <v>1078000</v>
      </c>
      <c r="H100" s="277">
        <f>'706'!K109</f>
        <v>1080000</v>
      </c>
      <c r="I100" s="277">
        <f>'706'!L109</f>
        <v>1091000</v>
      </c>
      <c r="J100" s="277">
        <f>'706'!M109</f>
        <v>1078000</v>
      </c>
      <c r="K100" s="277">
        <f>'706'!N109</f>
        <v>1875000</v>
      </c>
      <c r="L100" s="277">
        <f>'706'!O109</f>
        <v>1076000</v>
      </c>
      <c r="M100" s="277">
        <f>'706'!P109</f>
        <v>70000</v>
      </c>
      <c r="N100" s="277">
        <f>'706'!Q109</f>
        <v>81000</v>
      </c>
      <c r="O100" s="278">
        <f t="shared" si="1"/>
        <v>15811000</v>
      </c>
    </row>
    <row r="101" spans="1:15" s="279" customFormat="1">
      <c r="A101" s="229">
        <v>707</v>
      </c>
      <c r="B101" s="229" t="s">
        <v>656</v>
      </c>
      <c r="C101" s="277">
        <f>'707'!F109</f>
        <v>20786000</v>
      </c>
      <c r="D101" s="277">
        <f>'707'!G109</f>
        <v>4834000</v>
      </c>
      <c r="E101" s="277">
        <f>'707'!H109</f>
        <v>5141000</v>
      </c>
      <c r="F101" s="277">
        <f>'707'!I109</f>
        <v>5813000</v>
      </c>
      <c r="G101" s="277">
        <f>'707'!J109</f>
        <v>4840000</v>
      </c>
      <c r="H101" s="277">
        <f>'707'!K109</f>
        <v>4840000</v>
      </c>
      <c r="I101" s="277">
        <f>'707'!L109</f>
        <v>4888000</v>
      </c>
      <c r="J101" s="277">
        <f>'707'!M109</f>
        <v>4840000</v>
      </c>
      <c r="K101" s="277">
        <f>'707'!N109</f>
        <v>8918000</v>
      </c>
      <c r="L101" s="277">
        <f>'707'!O109</f>
        <v>4835000</v>
      </c>
      <c r="M101" s="277">
        <f>'707'!P109</f>
        <v>148000</v>
      </c>
      <c r="N101" s="277">
        <f>'707'!Q109</f>
        <v>141000</v>
      </c>
      <c r="O101" s="278">
        <f t="shared" si="1"/>
        <v>70024000</v>
      </c>
    </row>
    <row r="102" spans="1:15" s="279" customFormat="1">
      <c r="A102" s="229">
        <v>708</v>
      </c>
      <c r="B102" s="229" t="s">
        <v>657</v>
      </c>
      <c r="C102" s="277">
        <f>'708'!F109</f>
        <v>5521000</v>
      </c>
      <c r="D102" s="277">
        <f>'708'!G109</f>
        <v>1314000</v>
      </c>
      <c r="E102" s="277">
        <f>'708'!H109</f>
        <v>1348000</v>
      </c>
      <c r="F102" s="277">
        <f>'708'!I109</f>
        <v>1512000</v>
      </c>
      <c r="G102" s="277">
        <f>'708'!J109</f>
        <v>1321000</v>
      </c>
      <c r="H102" s="277">
        <f>'708'!K109</f>
        <v>1321000</v>
      </c>
      <c r="I102" s="277">
        <f>'708'!L109</f>
        <v>1341000</v>
      </c>
      <c r="J102" s="277">
        <f>'708'!M109</f>
        <v>1321000</v>
      </c>
      <c r="K102" s="277">
        <f>'708'!N109</f>
        <v>2055000</v>
      </c>
      <c r="L102" s="277">
        <f>'708'!O109</f>
        <v>1316000</v>
      </c>
      <c r="M102" s="277">
        <f>'708'!P109</f>
        <v>78000</v>
      </c>
      <c r="N102" s="277">
        <f>'708'!Q109</f>
        <v>72000</v>
      </c>
      <c r="O102" s="278">
        <f t="shared" si="1"/>
        <v>18520000</v>
      </c>
    </row>
    <row r="103" spans="1:15" customFormat="1">
      <c r="A103" s="275" t="s">
        <v>220</v>
      </c>
      <c r="B103" s="275"/>
      <c r="C103" s="181">
        <f>SUM(C2:C102)</f>
        <v>931507000</v>
      </c>
      <c r="D103" s="181">
        <f t="shared" ref="D103:O103" si="2">SUM(D2:D102)</f>
        <v>217242000</v>
      </c>
      <c r="E103" s="181">
        <f t="shared" si="2"/>
        <v>234131000</v>
      </c>
      <c r="F103" s="181">
        <f t="shared" si="2"/>
        <v>262052000</v>
      </c>
      <c r="G103" s="181">
        <f t="shared" si="2"/>
        <v>217463000</v>
      </c>
      <c r="H103" s="181">
        <f t="shared" si="2"/>
        <v>217803000</v>
      </c>
      <c r="I103" s="181">
        <f t="shared" si="2"/>
        <v>220287000</v>
      </c>
      <c r="J103" s="181">
        <f t="shared" si="2"/>
        <v>217463000</v>
      </c>
      <c r="K103" s="181">
        <f t="shared" si="2"/>
        <v>408114000</v>
      </c>
      <c r="L103" s="181">
        <f t="shared" si="2"/>
        <v>217240000</v>
      </c>
      <c r="M103" s="181">
        <f t="shared" si="2"/>
        <v>9295000</v>
      </c>
      <c r="N103" s="181">
        <f t="shared" si="2"/>
        <v>8807000</v>
      </c>
      <c r="O103" s="181">
        <f t="shared" si="2"/>
        <v>3161404000</v>
      </c>
    </row>
    <row r="104" spans="1:15" customFormat="1">
      <c r="A104" s="182"/>
      <c r="B104" s="182"/>
      <c r="C104" s="177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83"/>
    </row>
  </sheetData>
  <mergeCells count="1">
    <mergeCell ref="A103:B103"/>
  </mergeCells>
  <phoneticPr fontId="3" type="noConversion"/>
  <printOptions horizontalCentered="1"/>
  <pageMargins left="0.31496062992125984" right="0.31496062992125984" top="0.35433070866141736" bottom="0.35433070866141736" header="0.31496062992125984" footer="0.31496062992125984"/>
  <pageSetup paperSize="8" scale="78" fitToHeight="2"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686</v>
      </c>
      <c r="D1" s="28" t="str">
        <f>VLOOKUP(C1,[1]學校編號!A:B,2,FALSE)</f>
        <v>686文蘭國小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29760000</v>
      </c>
      <c r="E2" s="37"/>
      <c r="F2" s="37">
        <f>F48+F70+F76+F77+F83</f>
        <v>8629000</v>
      </c>
      <c r="G2" s="37">
        <f t="shared" ref="G2:Q2" si="0">G48+G70+G76+G77+G83</f>
        <v>2116000</v>
      </c>
      <c r="H2" s="37">
        <f t="shared" si="0"/>
        <v>2224000</v>
      </c>
      <c r="I2" s="37">
        <f t="shared" si="0"/>
        <v>2446000</v>
      </c>
      <c r="J2" s="37">
        <f t="shared" si="0"/>
        <v>2125000</v>
      </c>
      <c r="K2" s="37">
        <f t="shared" si="0"/>
        <v>2132000</v>
      </c>
      <c r="L2" s="37">
        <f t="shared" si="0"/>
        <v>2259000</v>
      </c>
      <c r="M2" s="37">
        <f t="shared" si="0"/>
        <v>2125000</v>
      </c>
      <c r="N2" s="37">
        <f t="shared" si="0"/>
        <v>3429000</v>
      </c>
      <c r="O2" s="37">
        <f t="shared" si="0"/>
        <v>2105000</v>
      </c>
      <c r="P2" s="37">
        <f t="shared" si="0"/>
        <v>85000</v>
      </c>
      <c r="Q2" s="37">
        <f t="shared" si="0"/>
        <v>85000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60000</v>
      </c>
      <c r="E10" s="37" t="s">
        <v>525</v>
      </c>
      <c r="F10" s="37">
        <f t="shared" si="1"/>
        <v>5000</v>
      </c>
      <c r="G10" s="37">
        <f t="shared" si="1"/>
        <v>5000</v>
      </c>
      <c r="H10" s="37">
        <f t="shared" si="1"/>
        <v>5000</v>
      </c>
      <c r="I10" s="37">
        <f t="shared" si="1"/>
        <v>5000</v>
      </c>
      <c r="J10" s="37">
        <f t="shared" si="1"/>
        <v>5000</v>
      </c>
      <c r="K10" s="37">
        <f t="shared" si="1"/>
        <v>5000</v>
      </c>
      <c r="L10" s="37">
        <f t="shared" si="1"/>
        <v>5000</v>
      </c>
      <c r="M10" s="37">
        <f t="shared" si="1"/>
        <v>5000</v>
      </c>
      <c r="N10" s="37">
        <f t="shared" si="1"/>
        <v>5000</v>
      </c>
      <c r="O10" s="37">
        <f t="shared" si="1"/>
        <v>5000</v>
      </c>
      <c r="P10" s="37">
        <f t="shared" si="1"/>
        <v>5000</v>
      </c>
      <c r="Q10" s="37">
        <f t="shared" si="2"/>
        <v>5000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37000</v>
      </c>
      <c r="E11" s="37" t="s">
        <v>195</v>
      </c>
      <c r="F11" s="37">
        <f>D11</f>
        <v>37000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726000</v>
      </c>
      <c r="E12" s="113" t="s">
        <v>202</v>
      </c>
      <c r="F12" s="37">
        <f>ROUND($D12/12*3,-3)</f>
        <v>182000</v>
      </c>
      <c r="G12" s="37">
        <f>ROUND($D12/12,-3)</f>
        <v>61000</v>
      </c>
      <c r="H12" s="37">
        <f t="shared" ref="H12:N12" si="4">ROUND($D12/12,-3)</f>
        <v>61000</v>
      </c>
      <c r="I12" s="37">
        <f t="shared" si="4"/>
        <v>61000</v>
      </c>
      <c r="J12" s="37">
        <f t="shared" si="4"/>
        <v>61000</v>
      </c>
      <c r="K12" s="37">
        <f t="shared" si="4"/>
        <v>61000</v>
      </c>
      <c r="L12" s="37">
        <f t="shared" si="4"/>
        <v>61000</v>
      </c>
      <c r="M12" s="37">
        <f t="shared" si="4"/>
        <v>61000</v>
      </c>
      <c r="N12" s="37">
        <f t="shared" si="4"/>
        <v>61000</v>
      </c>
      <c r="O12" s="37">
        <f>D12-SUM(F12:N12)</f>
        <v>56000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114000</v>
      </c>
      <c r="E13" s="37" t="s">
        <v>525</v>
      </c>
      <c r="F13" s="37">
        <f>ROUND($D13/12,0)</f>
        <v>9500</v>
      </c>
      <c r="G13" s="37">
        <f t="shared" si="1"/>
        <v>9500</v>
      </c>
      <c r="H13" s="37">
        <f t="shared" si="1"/>
        <v>9500</v>
      </c>
      <c r="I13" s="37">
        <f t="shared" si="1"/>
        <v>9500</v>
      </c>
      <c r="J13" s="37">
        <f t="shared" si="1"/>
        <v>9500</v>
      </c>
      <c r="K13" s="37">
        <f t="shared" si="1"/>
        <v>9500</v>
      </c>
      <c r="L13" s="37">
        <f t="shared" si="1"/>
        <v>9500</v>
      </c>
      <c r="M13" s="37">
        <f t="shared" si="1"/>
        <v>9500</v>
      </c>
      <c r="N13" s="37">
        <f t="shared" si="1"/>
        <v>9500</v>
      </c>
      <c r="O13" s="37">
        <f t="shared" si="1"/>
        <v>9500</v>
      </c>
      <c r="P13" s="37">
        <f t="shared" si="1"/>
        <v>9500</v>
      </c>
      <c r="Q13" s="37">
        <f>D13-SUM(F13:P13)</f>
        <v>9500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36000</v>
      </c>
      <c r="E15" s="37" t="s">
        <v>193</v>
      </c>
      <c r="F15" s="37">
        <f>ROUND($D15/2,-3)</f>
        <v>18000</v>
      </c>
      <c r="G15" s="37"/>
      <c r="H15" s="37"/>
      <c r="I15" s="37"/>
      <c r="J15" s="37"/>
      <c r="K15" s="37"/>
      <c r="L15" s="37">
        <f>D15-F15</f>
        <v>18000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100000</v>
      </c>
      <c r="E16" s="37" t="s">
        <v>525</v>
      </c>
      <c r="F16" s="37">
        <f>ROUND($D16/12,0)</f>
        <v>8333</v>
      </c>
      <c r="G16" s="37">
        <f t="shared" si="1"/>
        <v>8333</v>
      </c>
      <c r="H16" s="37">
        <f t="shared" si="1"/>
        <v>8333</v>
      </c>
      <c r="I16" s="37">
        <f t="shared" si="1"/>
        <v>8333</v>
      </c>
      <c r="J16" s="37">
        <f t="shared" si="1"/>
        <v>8333</v>
      </c>
      <c r="K16" s="37">
        <f t="shared" si="1"/>
        <v>8333</v>
      </c>
      <c r="L16" s="37">
        <f t="shared" si="1"/>
        <v>8333</v>
      </c>
      <c r="M16" s="37">
        <f t="shared" si="1"/>
        <v>8333</v>
      </c>
      <c r="N16" s="37">
        <f t="shared" si="1"/>
        <v>8333</v>
      </c>
      <c r="O16" s="37">
        <f t="shared" si="1"/>
        <v>8333</v>
      </c>
      <c r="P16" s="37">
        <f t="shared" si="1"/>
        <v>8333</v>
      </c>
      <c r="Q16" s="37">
        <f>D16-SUM(F16:P16)</f>
        <v>8337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215000</v>
      </c>
      <c r="E24" s="37" t="s">
        <v>193</v>
      </c>
      <c r="F24" s="37">
        <f>ROUND($D24/2,-3)</f>
        <v>108000</v>
      </c>
      <c r="G24" s="37"/>
      <c r="H24" s="37"/>
      <c r="I24" s="37"/>
      <c r="J24" s="37"/>
      <c r="K24" s="37"/>
      <c r="L24" s="37">
        <f>D24-F24</f>
        <v>107000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1590000</v>
      </c>
      <c r="E25" s="108"/>
      <c r="F25" s="108">
        <f>ROUND(SUM(F3:F24),-3)</f>
        <v>393000</v>
      </c>
      <c r="G25" s="108">
        <f t="shared" ref="G25:P25" si="5">ROUND(SUM(G3:G24),-3)</f>
        <v>109000</v>
      </c>
      <c r="H25" s="108">
        <f t="shared" si="5"/>
        <v>109000</v>
      </c>
      <c r="I25" s="108">
        <f t="shared" si="5"/>
        <v>109000</v>
      </c>
      <c r="J25" s="108">
        <f t="shared" si="5"/>
        <v>109000</v>
      </c>
      <c r="K25" s="108">
        <f t="shared" si="5"/>
        <v>109000</v>
      </c>
      <c r="L25" s="108">
        <f t="shared" si="5"/>
        <v>234000</v>
      </c>
      <c r="M25" s="108">
        <f t="shared" si="5"/>
        <v>109000</v>
      </c>
      <c r="N25" s="108">
        <f t="shared" si="5"/>
        <v>109000</v>
      </c>
      <c r="O25" s="108">
        <f t="shared" si="5"/>
        <v>104000</v>
      </c>
      <c r="P25" s="108">
        <f t="shared" si="5"/>
        <v>48000</v>
      </c>
      <c r="Q25" s="108">
        <f t="shared" ref="Q25:Q33" si="6">D25-SUM(F25:P25)</f>
        <v>48000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94000</v>
      </c>
      <c r="E26" s="114" t="s">
        <v>204</v>
      </c>
      <c r="F26" s="37">
        <f>ROUND($D26/10,-3)</f>
        <v>9000</v>
      </c>
      <c r="G26" s="37"/>
      <c r="H26" s="37">
        <f>ROUND($D26/10,-3)</f>
        <v>9000</v>
      </c>
      <c r="I26" s="37">
        <f>ROUND($D26/10,-3)</f>
        <v>9000</v>
      </c>
      <c r="J26" s="37">
        <f>ROUND($D26/10,-3)</f>
        <v>9000</v>
      </c>
      <c r="K26" s="37">
        <f>ROUND($D26/10,-3)</f>
        <v>9000</v>
      </c>
      <c r="L26" s="37"/>
      <c r="M26" s="37">
        <f>ROUND($D26/10,-3)</f>
        <v>9000</v>
      </c>
      <c r="N26" s="37">
        <f>ROUND($D26/10,-3)</f>
        <v>9000</v>
      </c>
      <c r="O26" s="37">
        <f>ROUND($D26/10,-3)</f>
        <v>9000</v>
      </c>
      <c r="P26" s="37">
        <f>ROUND($D26/10,-3)</f>
        <v>9000</v>
      </c>
      <c r="Q26" s="37">
        <f t="shared" si="6"/>
        <v>13000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8000</v>
      </c>
      <c r="E30" s="37" t="s">
        <v>525</v>
      </c>
      <c r="F30" s="37">
        <f t="shared" si="8"/>
        <v>667</v>
      </c>
      <c r="G30" s="37">
        <f t="shared" si="8"/>
        <v>667</v>
      </c>
      <c r="H30" s="37">
        <f t="shared" si="8"/>
        <v>667</v>
      </c>
      <c r="I30" s="37">
        <f t="shared" si="8"/>
        <v>667</v>
      </c>
      <c r="J30" s="37">
        <f t="shared" si="8"/>
        <v>667</v>
      </c>
      <c r="K30" s="37">
        <f t="shared" si="8"/>
        <v>667</v>
      </c>
      <c r="L30" s="37">
        <f t="shared" si="8"/>
        <v>667</v>
      </c>
      <c r="M30" s="37">
        <f t="shared" si="8"/>
        <v>667</v>
      </c>
      <c r="N30" s="37">
        <f t="shared" si="8"/>
        <v>667</v>
      </c>
      <c r="O30" s="37">
        <f t="shared" si="8"/>
        <v>667</v>
      </c>
      <c r="P30" s="37">
        <f t="shared" si="8"/>
        <v>667</v>
      </c>
      <c r="Q30" s="37">
        <f t="shared" si="6"/>
        <v>663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4000</v>
      </c>
      <c r="E31" s="37" t="s">
        <v>525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15000</v>
      </c>
      <c r="E36" s="37" t="s">
        <v>193</v>
      </c>
      <c r="F36" s="37">
        <f>ROUND($D36/2,-3)</f>
        <v>8000</v>
      </c>
      <c r="G36" s="37"/>
      <c r="H36" s="37"/>
      <c r="I36" s="37"/>
      <c r="J36" s="37"/>
      <c r="K36" s="37"/>
      <c r="L36" s="37">
        <f>D36-F36</f>
        <v>7000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387000</v>
      </c>
      <c r="E37" s="108"/>
      <c r="F37" s="108">
        <f t="shared" ref="F37:P37" si="9">ROUND(SUM(F26:F36),-3)</f>
        <v>40000</v>
      </c>
      <c r="G37" s="108">
        <f t="shared" si="9"/>
        <v>23000</v>
      </c>
      <c r="H37" s="108">
        <f t="shared" si="9"/>
        <v>32000</v>
      </c>
      <c r="I37" s="108">
        <f t="shared" si="9"/>
        <v>32000</v>
      </c>
      <c r="J37" s="108">
        <f t="shared" si="9"/>
        <v>32000</v>
      </c>
      <c r="K37" s="108">
        <f t="shared" si="9"/>
        <v>32000</v>
      </c>
      <c r="L37" s="108">
        <f t="shared" si="9"/>
        <v>30000</v>
      </c>
      <c r="M37" s="108">
        <f t="shared" si="9"/>
        <v>32000</v>
      </c>
      <c r="N37" s="108">
        <f t="shared" si="9"/>
        <v>32000</v>
      </c>
      <c r="O37" s="108">
        <f t="shared" si="9"/>
        <v>32000</v>
      </c>
      <c r="P37" s="108">
        <f t="shared" si="9"/>
        <v>32000</v>
      </c>
      <c r="Q37" s="108">
        <f>D37-SUM(F37:P37)</f>
        <v>38000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16000</v>
      </c>
      <c r="E42" s="37" t="s">
        <v>199</v>
      </c>
      <c r="F42" s="37"/>
      <c r="G42" s="37"/>
      <c r="H42" s="37"/>
      <c r="I42" s="37">
        <f>D42</f>
        <v>16000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2000</v>
      </c>
      <c r="E43" s="37" t="s">
        <v>195</v>
      </c>
      <c r="F43" s="37">
        <f>D43</f>
        <v>2000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11000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11000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29000</v>
      </c>
      <c r="E45" s="108"/>
      <c r="F45" s="108">
        <f t="shared" ref="F45:P45" si="12">ROUND(SUM(F42:F44),-3)</f>
        <v>2000</v>
      </c>
      <c r="G45" s="108">
        <f t="shared" si="12"/>
        <v>0</v>
      </c>
      <c r="H45" s="108">
        <f t="shared" si="12"/>
        <v>0</v>
      </c>
      <c r="I45" s="108">
        <f t="shared" si="12"/>
        <v>16000</v>
      </c>
      <c r="J45" s="108">
        <f t="shared" si="12"/>
        <v>0</v>
      </c>
      <c r="K45" s="108">
        <f t="shared" si="12"/>
        <v>0</v>
      </c>
      <c r="L45" s="108">
        <f t="shared" si="12"/>
        <v>11000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20000</v>
      </c>
      <c r="E46" s="37" t="s">
        <v>194</v>
      </c>
      <c r="F46" s="37">
        <f>ROUND($D46/3,0)</f>
        <v>6667</v>
      </c>
      <c r="G46" s="37"/>
      <c r="H46" s="37"/>
      <c r="I46" s="37"/>
      <c r="J46" s="37"/>
      <c r="K46" s="37">
        <f>ROUND($D46/3,0)</f>
        <v>6667</v>
      </c>
      <c r="L46" s="37"/>
      <c r="M46" s="37"/>
      <c r="N46" s="37">
        <f>ROUND($D46/3,0)</f>
        <v>6667</v>
      </c>
      <c r="O46" s="37"/>
      <c r="P46" s="37"/>
      <c r="Q46" s="37"/>
      <c r="R46" s="37">
        <f t="shared" si="11"/>
        <v>1</v>
      </c>
    </row>
    <row r="47" spans="1:18" ht="32.4">
      <c r="A47" s="269"/>
      <c r="B47" s="105" t="s">
        <v>208</v>
      </c>
      <c r="C47" s="78"/>
      <c r="D47" s="108">
        <f>SUM(D46)</f>
        <v>20000</v>
      </c>
      <c r="E47" s="108"/>
      <c r="F47" s="108">
        <f t="shared" ref="F47:P47" si="13">ROUND(SUM(F46),-3)</f>
        <v>7000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7000</v>
      </c>
      <c r="L47" s="108">
        <f t="shared" si="13"/>
        <v>0</v>
      </c>
      <c r="M47" s="108">
        <f t="shared" si="13"/>
        <v>0</v>
      </c>
      <c r="N47" s="108">
        <f t="shared" si="13"/>
        <v>7000</v>
      </c>
      <c r="O47" s="108">
        <f t="shared" si="13"/>
        <v>0</v>
      </c>
      <c r="P47" s="108">
        <f t="shared" si="13"/>
        <v>0</v>
      </c>
      <c r="Q47" s="108">
        <f>D47-SUM(F47:P47)</f>
        <v>-1000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2026000</v>
      </c>
      <c r="E48" s="37"/>
      <c r="F48" s="115">
        <f>F25+F37+F45+F47</f>
        <v>442000</v>
      </c>
      <c r="G48" s="115">
        <f t="shared" ref="G48:R48" si="14">G25+G37+G45+G47</f>
        <v>132000</v>
      </c>
      <c r="H48" s="115">
        <f t="shared" si="14"/>
        <v>141000</v>
      </c>
      <c r="I48" s="115">
        <f t="shared" si="14"/>
        <v>157000</v>
      </c>
      <c r="J48" s="115">
        <f t="shared" si="14"/>
        <v>141000</v>
      </c>
      <c r="K48" s="115">
        <f t="shared" si="14"/>
        <v>148000</v>
      </c>
      <c r="L48" s="115">
        <f t="shared" si="14"/>
        <v>275000</v>
      </c>
      <c r="M48" s="115">
        <f t="shared" si="14"/>
        <v>141000</v>
      </c>
      <c r="N48" s="115">
        <f t="shared" si="14"/>
        <v>148000</v>
      </c>
      <c r="O48" s="115">
        <f t="shared" si="14"/>
        <v>136000</v>
      </c>
      <c r="P48" s="115">
        <f t="shared" si="14"/>
        <v>80000</v>
      </c>
      <c r="Q48" s="115">
        <f t="shared" si="14"/>
        <v>85000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15472000</v>
      </c>
      <c r="E49" s="114" t="s">
        <v>202</v>
      </c>
      <c r="F49" s="37">
        <f>ROUND($D49/12*3,-3)</f>
        <v>3868000</v>
      </c>
      <c r="G49" s="37">
        <f>ROUND($D49/12,-3)</f>
        <v>1289000</v>
      </c>
      <c r="H49" s="37">
        <f t="shared" ref="H49:N53" si="15">ROUND($D49/12,-3)</f>
        <v>1289000</v>
      </c>
      <c r="I49" s="37">
        <f t="shared" si="15"/>
        <v>1289000</v>
      </c>
      <c r="J49" s="37">
        <f t="shared" si="15"/>
        <v>1289000</v>
      </c>
      <c r="K49" s="37">
        <f t="shared" si="15"/>
        <v>1289000</v>
      </c>
      <c r="L49" s="37">
        <f t="shared" si="15"/>
        <v>1289000</v>
      </c>
      <c r="M49" s="37">
        <f t="shared" si="15"/>
        <v>1289000</v>
      </c>
      <c r="N49" s="37">
        <f t="shared" si="15"/>
        <v>1289000</v>
      </c>
      <c r="O49" s="37">
        <f>D49-SUM(F49:N49)</f>
        <v>1292000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738000</v>
      </c>
      <c r="E51" s="114" t="s">
        <v>202</v>
      </c>
      <c r="F51" s="37">
        <f t="shared" si="16"/>
        <v>185000</v>
      </c>
      <c r="G51" s="37">
        <f t="shared" si="17"/>
        <v>62000</v>
      </c>
      <c r="H51" s="37">
        <f t="shared" si="15"/>
        <v>62000</v>
      </c>
      <c r="I51" s="37">
        <f t="shared" si="15"/>
        <v>62000</v>
      </c>
      <c r="J51" s="37">
        <f t="shared" si="15"/>
        <v>62000</v>
      </c>
      <c r="K51" s="37">
        <f t="shared" si="15"/>
        <v>62000</v>
      </c>
      <c r="L51" s="37">
        <f t="shared" si="15"/>
        <v>62000</v>
      </c>
      <c r="M51" s="37">
        <f t="shared" si="15"/>
        <v>62000</v>
      </c>
      <c r="N51" s="37">
        <f t="shared" si="15"/>
        <v>62000</v>
      </c>
      <c r="O51" s="37">
        <f t="shared" si="18"/>
        <v>57000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335000</v>
      </c>
      <c r="E60" s="37" t="s">
        <v>195</v>
      </c>
      <c r="F60" s="37">
        <f>D60</f>
        <v>335000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1526000</v>
      </c>
      <c r="E62" s="37" t="s">
        <v>197</v>
      </c>
      <c r="F62" s="37"/>
      <c r="G62" s="37"/>
      <c r="H62" s="37"/>
      <c r="I62" s="37">
        <f>ROUND($D62/5,-3)</f>
        <v>305000</v>
      </c>
      <c r="J62" s="37"/>
      <c r="K62" s="37"/>
      <c r="L62" s="37"/>
      <c r="M62" s="37"/>
      <c r="N62" s="37">
        <f>D62-I62</f>
        <v>1221000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1795000</v>
      </c>
      <c r="E63" s="37" t="s">
        <v>195</v>
      </c>
      <c r="F63" s="37">
        <f>D63</f>
        <v>1795000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1502000</v>
      </c>
      <c r="E64" s="114" t="s">
        <v>202</v>
      </c>
      <c r="F64" s="37">
        <f>ROUND($D64/12*3,-3)</f>
        <v>376000</v>
      </c>
      <c r="G64" s="37">
        <f>ROUND($D64/12,-3)</f>
        <v>125000</v>
      </c>
      <c r="H64" s="37">
        <f t="shared" ref="H64:N66" si="21">ROUND($D64/12,-3)</f>
        <v>125000</v>
      </c>
      <c r="I64" s="37">
        <f t="shared" si="21"/>
        <v>125000</v>
      </c>
      <c r="J64" s="37">
        <f t="shared" si="21"/>
        <v>125000</v>
      </c>
      <c r="K64" s="37">
        <f t="shared" si="21"/>
        <v>125000</v>
      </c>
      <c r="L64" s="37">
        <f t="shared" si="21"/>
        <v>125000</v>
      </c>
      <c r="M64" s="37">
        <f t="shared" si="21"/>
        <v>125000</v>
      </c>
      <c r="N64" s="37">
        <f t="shared" si="21"/>
        <v>125000</v>
      </c>
      <c r="O64" s="37">
        <f>D64-SUM(F64:N64)</f>
        <v>126000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332000</v>
      </c>
      <c r="E65" s="114" t="s">
        <v>202</v>
      </c>
      <c r="F65" s="37">
        <f t="shared" ref="F65:F66" si="22">ROUND($D65/12*3,-3)</f>
        <v>83000</v>
      </c>
      <c r="G65" s="37">
        <f t="shared" ref="G65:G66" si="23">ROUND($D65/12,-3)</f>
        <v>28000</v>
      </c>
      <c r="H65" s="37">
        <f t="shared" si="21"/>
        <v>28000</v>
      </c>
      <c r="I65" s="37">
        <f t="shared" si="21"/>
        <v>28000</v>
      </c>
      <c r="J65" s="37">
        <f t="shared" si="21"/>
        <v>28000</v>
      </c>
      <c r="K65" s="37">
        <f t="shared" si="21"/>
        <v>28000</v>
      </c>
      <c r="L65" s="37">
        <f t="shared" si="21"/>
        <v>28000</v>
      </c>
      <c r="M65" s="37">
        <f t="shared" si="21"/>
        <v>28000</v>
      </c>
      <c r="N65" s="37">
        <f t="shared" si="21"/>
        <v>28000</v>
      </c>
      <c r="O65" s="37">
        <f t="shared" ref="O65:O66" si="24">D65-SUM(F65:N65)</f>
        <v>25000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1159000</v>
      </c>
      <c r="E66" s="114" t="s">
        <v>202</v>
      </c>
      <c r="F66" s="37">
        <f t="shared" si="22"/>
        <v>290000</v>
      </c>
      <c r="G66" s="37">
        <f t="shared" si="23"/>
        <v>97000</v>
      </c>
      <c r="H66" s="37">
        <f t="shared" si="21"/>
        <v>97000</v>
      </c>
      <c r="I66" s="37">
        <f t="shared" si="21"/>
        <v>97000</v>
      </c>
      <c r="J66" s="37">
        <f t="shared" si="21"/>
        <v>97000</v>
      </c>
      <c r="K66" s="37">
        <f t="shared" si="21"/>
        <v>97000</v>
      </c>
      <c r="L66" s="37">
        <f t="shared" si="21"/>
        <v>97000</v>
      </c>
      <c r="M66" s="37">
        <f t="shared" si="21"/>
        <v>97000</v>
      </c>
      <c r="N66" s="37">
        <f t="shared" si="21"/>
        <v>97000</v>
      </c>
      <c r="O66" s="37">
        <f t="shared" si="24"/>
        <v>93000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22000</v>
      </c>
      <c r="E67" s="37" t="s">
        <v>196</v>
      </c>
      <c r="F67" s="37"/>
      <c r="G67" s="37"/>
      <c r="H67" s="37">
        <f>D67</f>
        <v>22000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118000</v>
      </c>
      <c r="E68" s="37" t="s">
        <v>195</v>
      </c>
      <c r="F68" s="37">
        <f>D68</f>
        <v>118000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23319000</v>
      </c>
      <c r="E70" s="108"/>
      <c r="F70" s="108">
        <f t="shared" ref="F70:P70" si="25">ROUND(SUM(F49:F69),-3)</f>
        <v>7121000</v>
      </c>
      <c r="G70" s="108">
        <f t="shared" si="25"/>
        <v>1628000</v>
      </c>
      <c r="H70" s="108">
        <f t="shared" si="25"/>
        <v>1650000</v>
      </c>
      <c r="I70" s="108">
        <f t="shared" si="25"/>
        <v>1933000</v>
      </c>
      <c r="J70" s="108">
        <f t="shared" si="25"/>
        <v>1628000</v>
      </c>
      <c r="K70" s="108">
        <f t="shared" si="25"/>
        <v>1628000</v>
      </c>
      <c r="L70" s="108">
        <f t="shared" si="25"/>
        <v>1628000</v>
      </c>
      <c r="M70" s="108">
        <f t="shared" si="25"/>
        <v>1628000</v>
      </c>
      <c r="N70" s="108">
        <f t="shared" si="25"/>
        <v>2849000</v>
      </c>
      <c r="O70" s="108">
        <f t="shared" si="25"/>
        <v>1621000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3379000</v>
      </c>
      <c r="E72" s="114" t="s">
        <v>202</v>
      </c>
      <c r="F72" s="37">
        <f>ROUND($D72/12*3,-3)</f>
        <v>845000</v>
      </c>
      <c r="G72" s="37">
        <f>ROUND($D72/12,-3)</f>
        <v>282000</v>
      </c>
      <c r="H72" s="37">
        <f t="shared" ref="H72:N75" si="26">ROUND($D72/12,-3)</f>
        <v>282000</v>
      </c>
      <c r="I72" s="37">
        <f t="shared" si="26"/>
        <v>282000</v>
      </c>
      <c r="J72" s="37">
        <f t="shared" si="26"/>
        <v>282000</v>
      </c>
      <c r="K72" s="37">
        <f t="shared" si="26"/>
        <v>282000</v>
      </c>
      <c r="L72" s="37">
        <f t="shared" si="26"/>
        <v>282000</v>
      </c>
      <c r="M72" s="37">
        <f t="shared" si="26"/>
        <v>282000</v>
      </c>
      <c r="N72" s="37">
        <f t="shared" si="26"/>
        <v>282000</v>
      </c>
      <c r="O72" s="37">
        <f>D72-SUM(F72:N72)</f>
        <v>278000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883000</v>
      </c>
      <c r="E75" s="114" t="s">
        <v>202</v>
      </c>
      <c r="F75" s="37">
        <f>ROUND($D75/12*3,-3)</f>
        <v>221000</v>
      </c>
      <c r="G75" s="37">
        <f>ROUND($D75/12,-3)</f>
        <v>74000</v>
      </c>
      <c r="H75" s="37">
        <f t="shared" si="26"/>
        <v>74000</v>
      </c>
      <c r="I75" s="37">
        <f t="shared" si="26"/>
        <v>74000</v>
      </c>
      <c r="J75" s="37">
        <f t="shared" si="26"/>
        <v>74000</v>
      </c>
      <c r="K75" s="37">
        <f t="shared" si="26"/>
        <v>74000</v>
      </c>
      <c r="L75" s="37">
        <f t="shared" si="26"/>
        <v>74000</v>
      </c>
      <c r="M75" s="37">
        <f t="shared" si="26"/>
        <v>74000</v>
      </c>
      <c r="N75" s="37">
        <f t="shared" si="26"/>
        <v>74000</v>
      </c>
      <c r="O75" s="37">
        <f>D75-SUM(F75:N75)</f>
        <v>70000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4262000</v>
      </c>
      <c r="E76" s="108"/>
      <c r="F76" s="108">
        <f>ROUND(SUM(F71:F75),-3)</f>
        <v>1066000</v>
      </c>
      <c r="G76" s="108">
        <f t="shared" ref="G76:N76" si="27">ROUND(SUM(G71:G75),-3)</f>
        <v>356000</v>
      </c>
      <c r="H76" s="108">
        <f t="shared" si="27"/>
        <v>356000</v>
      </c>
      <c r="I76" s="108">
        <f t="shared" si="27"/>
        <v>356000</v>
      </c>
      <c r="J76" s="108">
        <f t="shared" si="27"/>
        <v>356000</v>
      </c>
      <c r="K76" s="108">
        <f t="shared" si="27"/>
        <v>356000</v>
      </c>
      <c r="L76" s="108">
        <f t="shared" si="27"/>
        <v>356000</v>
      </c>
      <c r="M76" s="108">
        <f t="shared" si="27"/>
        <v>356000</v>
      </c>
      <c r="N76" s="108">
        <f t="shared" si="27"/>
        <v>356000</v>
      </c>
      <c r="O76" s="108">
        <f>D76-SUM(F76:N76)</f>
        <v>348000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153000</v>
      </c>
      <c r="E77" s="37" t="s">
        <v>681</v>
      </c>
      <c r="F77" s="224"/>
      <c r="G77" s="224"/>
      <c r="H77" s="224">
        <f>ROUND($D77/2,-3)</f>
        <v>77000</v>
      </c>
      <c r="I77" s="224"/>
      <c r="J77" s="224"/>
      <c r="K77" s="224"/>
      <c r="L77" s="224"/>
      <c r="M77" s="224"/>
      <c r="N77" s="224">
        <f>D77-H77</f>
        <v>76000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27734000</v>
      </c>
      <c r="E78" s="227"/>
      <c r="F78" s="227">
        <f>F76+F70+F77</f>
        <v>8187000</v>
      </c>
      <c r="G78" s="227">
        <f t="shared" ref="G78:Q78" si="29">G76+G70+G77</f>
        <v>1984000</v>
      </c>
      <c r="H78" s="227">
        <f t="shared" si="29"/>
        <v>2083000</v>
      </c>
      <c r="I78" s="227">
        <f t="shared" si="29"/>
        <v>2289000</v>
      </c>
      <c r="J78" s="227">
        <f t="shared" si="29"/>
        <v>1984000</v>
      </c>
      <c r="K78" s="227">
        <f t="shared" si="29"/>
        <v>1984000</v>
      </c>
      <c r="L78" s="227">
        <f t="shared" si="29"/>
        <v>1984000</v>
      </c>
      <c r="M78" s="227">
        <f t="shared" si="29"/>
        <v>1984000</v>
      </c>
      <c r="N78" s="227">
        <f t="shared" si="29"/>
        <v>3281000</v>
      </c>
      <c r="O78" s="227">
        <f t="shared" si="29"/>
        <v>1969000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-200000</v>
      </c>
      <c r="E86" s="37"/>
      <c r="F86" s="37">
        <f>D86</f>
        <v>-200000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29560000</v>
      </c>
      <c r="E87" s="37"/>
      <c r="F87" s="37">
        <f>F88+F89+F90+F91</f>
        <v>8429000</v>
      </c>
      <c r="G87" s="37">
        <f t="shared" ref="G87:Q87" si="32">G88+G89+G90+G91</f>
        <v>2116000</v>
      </c>
      <c r="H87" s="37">
        <f t="shared" si="32"/>
        <v>2224000</v>
      </c>
      <c r="I87" s="37">
        <f t="shared" si="32"/>
        <v>2446000</v>
      </c>
      <c r="J87" s="37">
        <f t="shared" si="32"/>
        <v>2125000</v>
      </c>
      <c r="K87" s="37">
        <f t="shared" si="32"/>
        <v>2132000</v>
      </c>
      <c r="L87" s="37">
        <f t="shared" si="32"/>
        <v>2259000</v>
      </c>
      <c r="M87" s="37">
        <f t="shared" si="32"/>
        <v>2125000</v>
      </c>
      <c r="N87" s="37">
        <f t="shared" si="32"/>
        <v>3429000</v>
      </c>
      <c r="O87" s="37">
        <f t="shared" si="32"/>
        <v>2105000</v>
      </c>
      <c r="P87" s="37">
        <f t="shared" si="32"/>
        <v>85000</v>
      </c>
      <c r="Q87" s="37">
        <f t="shared" si="32"/>
        <v>85000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30000</v>
      </c>
      <c r="E88" s="108" t="s">
        <v>193</v>
      </c>
      <c r="F88" s="108">
        <f>ROUND($D88/2,-3)</f>
        <v>15000</v>
      </c>
      <c r="G88" s="108"/>
      <c r="H88" s="108"/>
      <c r="I88" s="108"/>
      <c r="J88" s="108"/>
      <c r="K88" s="108"/>
      <c r="L88" s="108">
        <f>D88-F88</f>
        <v>15000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2000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1000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29528000</v>
      </c>
      <c r="E91" s="108"/>
      <c r="F91" s="108">
        <f>F92+F93+F94+F95</f>
        <v>8414000</v>
      </c>
      <c r="G91" s="108">
        <f t="shared" ref="G91:Q91" si="34">G92+G93+G94+G95</f>
        <v>2116000</v>
      </c>
      <c r="H91" s="108">
        <f t="shared" si="34"/>
        <v>2224000</v>
      </c>
      <c r="I91" s="108">
        <f t="shared" si="34"/>
        <v>2446000</v>
      </c>
      <c r="J91" s="108">
        <f t="shared" si="34"/>
        <v>2125000</v>
      </c>
      <c r="K91" s="108">
        <f t="shared" si="34"/>
        <v>2132000</v>
      </c>
      <c r="L91" s="108">
        <f t="shared" si="34"/>
        <v>2243000</v>
      </c>
      <c r="M91" s="108">
        <f t="shared" si="34"/>
        <v>2125000</v>
      </c>
      <c r="N91" s="108">
        <f t="shared" si="34"/>
        <v>3429000</v>
      </c>
      <c r="O91" s="108">
        <f t="shared" si="34"/>
        <v>2105000</v>
      </c>
      <c r="P91" s="108">
        <f t="shared" si="34"/>
        <v>85000</v>
      </c>
      <c r="Q91" s="108">
        <f t="shared" si="34"/>
        <v>84000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1654000</v>
      </c>
      <c r="E92" s="114" t="s">
        <v>537</v>
      </c>
      <c r="F92" s="37">
        <f>ROUND($D92/12*5,-3)</f>
        <v>689000</v>
      </c>
      <c r="G92" s="37">
        <f>ROUND($D92/12,-3)</f>
        <v>138000</v>
      </c>
      <c r="H92" s="37">
        <f t="shared" ref="H92:L92" si="35">ROUND($D92/12,-3)</f>
        <v>138000</v>
      </c>
      <c r="I92" s="37">
        <f t="shared" si="35"/>
        <v>138000</v>
      </c>
      <c r="J92" s="37">
        <f t="shared" si="35"/>
        <v>138000</v>
      </c>
      <c r="K92" s="37">
        <f t="shared" si="35"/>
        <v>138000</v>
      </c>
      <c r="L92" s="37">
        <f t="shared" si="35"/>
        <v>138000</v>
      </c>
      <c r="M92" s="37">
        <f>D92-SUM(F92:L92)</f>
        <v>137000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102000</v>
      </c>
      <c r="E93" s="189" t="s">
        <v>227</v>
      </c>
      <c r="F93" s="37">
        <f>ROUND($D93/12,-3)</f>
        <v>9000</v>
      </c>
      <c r="G93" s="37">
        <f t="shared" ref="G93:P93" si="36">ROUND($D93/12,-3)</f>
        <v>9000</v>
      </c>
      <c r="H93" s="37">
        <f t="shared" si="36"/>
        <v>9000</v>
      </c>
      <c r="I93" s="37">
        <f t="shared" si="36"/>
        <v>9000</v>
      </c>
      <c r="J93" s="37">
        <f t="shared" si="36"/>
        <v>9000</v>
      </c>
      <c r="K93" s="37">
        <f t="shared" si="36"/>
        <v>9000</v>
      </c>
      <c r="L93" s="37">
        <f t="shared" si="36"/>
        <v>9000</v>
      </c>
      <c r="M93" s="37">
        <f t="shared" si="36"/>
        <v>9000</v>
      </c>
      <c r="N93" s="37">
        <f t="shared" si="36"/>
        <v>9000</v>
      </c>
      <c r="O93" s="37">
        <f t="shared" si="36"/>
        <v>9000</v>
      </c>
      <c r="P93" s="37">
        <f t="shared" si="36"/>
        <v>9000</v>
      </c>
      <c r="Q93" s="37">
        <f>D93-SUM(F93:P93)</f>
        <v>3000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252000</v>
      </c>
      <c r="E94" s="190" t="s">
        <v>229</v>
      </c>
      <c r="F94" s="37"/>
      <c r="G94" s="37"/>
      <c r="H94" s="37">
        <f>ROUND($D94/2,-3)</f>
        <v>126000</v>
      </c>
      <c r="I94" s="37"/>
      <c r="J94" s="37"/>
      <c r="K94" s="37"/>
      <c r="L94" s="37"/>
      <c r="M94" s="37"/>
      <c r="N94" s="37"/>
      <c r="O94" s="37">
        <f>D94-H94</f>
        <v>126000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27520000</v>
      </c>
      <c r="E95" s="37"/>
      <c r="F95" s="37">
        <f>F2+F86-F88-F89-F90-F92-F93-F94</f>
        <v>7716000</v>
      </c>
      <c r="G95" s="37">
        <f t="shared" ref="G95:Q95" si="37">G2-G88-G89-G90-G92-G93-G94</f>
        <v>1969000</v>
      </c>
      <c r="H95" s="37">
        <f t="shared" si="37"/>
        <v>1951000</v>
      </c>
      <c r="I95" s="37">
        <f t="shared" si="37"/>
        <v>2299000</v>
      </c>
      <c r="J95" s="37">
        <f t="shared" si="37"/>
        <v>1978000</v>
      </c>
      <c r="K95" s="37">
        <f t="shared" si="37"/>
        <v>1985000</v>
      </c>
      <c r="L95" s="37">
        <f t="shared" si="37"/>
        <v>2096000</v>
      </c>
      <c r="M95" s="37">
        <f t="shared" si="37"/>
        <v>1979000</v>
      </c>
      <c r="N95" s="37">
        <f t="shared" si="37"/>
        <v>3420000</v>
      </c>
      <c r="O95" s="37">
        <f t="shared" si="37"/>
        <v>1970000</v>
      </c>
      <c r="P95" s="37">
        <f t="shared" si="37"/>
        <v>76000</v>
      </c>
      <c r="Q95" s="37">
        <f t="shared" si="37"/>
        <v>81000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1004000</v>
      </c>
    </row>
    <row r="102" spans="2:17" ht="32.4">
      <c r="B102" s="71" t="s">
        <v>238</v>
      </c>
      <c r="D102" s="30">
        <f>HLOOKUP(D1,[1]縣庫撥款收入明細表!H:DD,16,FALSE)</f>
        <v>96000</v>
      </c>
    </row>
    <row r="103" spans="2:17" ht="32.4">
      <c r="B103" s="72" t="s">
        <v>239</v>
      </c>
      <c r="D103" s="30">
        <f>HLOOKUP(D1,[1]縣庫撥款收入明細表!H:DD,17,FALSE)</f>
        <v>0</v>
      </c>
    </row>
    <row r="104" spans="2:17" ht="32.4">
      <c r="B104" s="76" t="s">
        <v>240</v>
      </c>
      <c r="D104" s="30">
        <f>HLOOKUP(D1,[1]縣庫撥款收入明細表!H:DD,18,FALSE)</f>
        <v>252000</v>
      </c>
    </row>
    <row r="105" spans="2:17" ht="32.4">
      <c r="B105" s="72" t="s">
        <v>380</v>
      </c>
      <c r="D105" s="30">
        <f>HLOOKUP(D1,[1]縣庫撥款收入明細表!H:DD,19,FALSE)</f>
        <v>650000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27520000</v>
      </c>
    </row>
    <row r="108" spans="2:17" ht="16.5" customHeight="1"/>
    <row r="109" spans="2:17" ht="16.5" customHeight="1">
      <c r="B109" s="4" t="s">
        <v>682</v>
      </c>
      <c r="D109" s="30">
        <f>D91-D76</f>
        <v>25266000</v>
      </c>
      <c r="F109" s="30">
        <f>F91-F76</f>
        <v>7348000</v>
      </c>
      <c r="G109" s="30">
        <f t="shared" ref="G109:Q109" si="38">G91-G76</f>
        <v>1760000</v>
      </c>
      <c r="H109" s="30">
        <f t="shared" si="38"/>
        <v>1868000</v>
      </c>
      <c r="I109" s="30">
        <f t="shared" si="38"/>
        <v>2090000</v>
      </c>
      <c r="J109" s="30">
        <f t="shared" si="38"/>
        <v>1769000</v>
      </c>
      <c r="K109" s="30">
        <f t="shared" si="38"/>
        <v>1776000</v>
      </c>
      <c r="L109" s="30">
        <f t="shared" si="38"/>
        <v>1887000</v>
      </c>
      <c r="M109" s="30">
        <f t="shared" si="38"/>
        <v>1769000</v>
      </c>
      <c r="N109" s="30">
        <f t="shared" si="38"/>
        <v>3073000</v>
      </c>
      <c r="O109" s="30">
        <f t="shared" si="38"/>
        <v>1757000</v>
      </c>
      <c r="P109" s="30">
        <f t="shared" si="38"/>
        <v>85000</v>
      </c>
      <c r="Q109" s="30">
        <f t="shared" si="38"/>
        <v>84000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42" priority="1" operator="lessThan">
      <formula>0</formula>
    </cfRule>
  </conditionalFormatting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687</v>
      </c>
      <c r="D1" s="28" t="str">
        <f>VLOOKUP(C1,[1]學校編號!A:B,2,FALSE)</f>
        <v>687景美國小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27502000</v>
      </c>
      <c r="E2" s="37"/>
      <c r="F2" s="37">
        <f>F48+F70+F76+F77+F83</f>
        <v>7932000</v>
      </c>
      <c r="G2" s="37">
        <f t="shared" ref="G2:Q2" si="0">G48+G70+G76+G77+G83</f>
        <v>1966000</v>
      </c>
      <c r="H2" s="37">
        <f t="shared" si="0"/>
        <v>1991000</v>
      </c>
      <c r="I2" s="37">
        <f t="shared" si="0"/>
        <v>2302000</v>
      </c>
      <c r="J2" s="37">
        <f t="shared" si="0"/>
        <v>1966000</v>
      </c>
      <c r="K2" s="37">
        <f t="shared" si="0"/>
        <v>1968000</v>
      </c>
      <c r="L2" s="37">
        <f t="shared" si="0"/>
        <v>1999000</v>
      </c>
      <c r="M2" s="37">
        <f t="shared" si="0"/>
        <v>1966000</v>
      </c>
      <c r="N2" s="37">
        <f t="shared" si="0"/>
        <v>3312000</v>
      </c>
      <c r="O2" s="37">
        <f t="shared" si="0"/>
        <v>1956000</v>
      </c>
      <c r="P2" s="37">
        <f t="shared" si="0"/>
        <v>77000</v>
      </c>
      <c r="Q2" s="37">
        <f t="shared" si="0"/>
        <v>67000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30000</v>
      </c>
      <c r="E8" s="37" t="s">
        <v>525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6000</v>
      </c>
      <c r="E9" s="37" t="s">
        <v>525</v>
      </c>
      <c r="F9" s="37">
        <f t="shared" si="1"/>
        <v>500</v>
      </c>
      <c r="G9" s="37">
        <f t="shared" si="1"/>
        <v>500</v>
      </c>
      <c r="H9" s="37">
        <f t="shared" si="1"/>
        <v>500</v>
      </c>
      <c r="I9" s="37">
        <f t="shared" si="1"/>
        <v>500</v>
      </c>
      <c r="J9" s="37">
        <f t="shared" si="1"/>
        <v>500</v>
      </c>
      <c r="K9" s="37">
        <f t="shared" si="1"/>
        <v>500</v>
      </c>
      <c r="L9" s="37">
        <f t="shared" si="1"/>
        <v>500</v>
      </c>
      <c r="M9" s="37">
        <f t="shared" si="1"/>
        <v>500</v>
      </c>
      <c r="N9" s="37">
        <f t="shared" si="1"/>
        <v>500</v>
      </c>
      <c r="O9" s="37">
        <f t="shared" si="1"/>
        <v>500</v>
      </c>
      <c r="P9" s="37">
        <f t="shared" si="1"/>
        <v>500</v>
      </c>
      <c r="Q9" s="37">
        <f t="shared" si="2"/>
        <v>500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92000</v>
      </c>
      <c r="E13" s="37" t="s">
        <v>525</v>
      </c>
      <c r="F13" s="37">
        <f>ROUND($D13/12,0)</f>
        <v>7667</v>
      </c>
      <c r="G13" s="37">
        <f t="shared" si="1"/>
        <v>7667</v>
      </c>
      <c r="H13" s="37">
        <f t="shared" si="1"/>
        <v>7667</v>
      </c>
      <c r="I13" s="37">
        <f t="shared" si="1"/>
        <v>7667</v>
      </c>
      <c r="J13" s="37">
        <f t="shared" si="1"/>
        <v>7667</v>
      </c>
      <c r="K13" s="37">
        <f t="shared" si="1"/>
        <v>7667</v>
      </c>
      <c r="L13" s="37">
        <f t="shared" si="1"/>
        <v>7667</v>
      </c>
      <c r="M13" s="37">
        <f t="shared" si="1"/>
        <v>7667</v>
      </c>
      <c r="N13" s="37">
        <f t="shared" si="1"/>
        <v>7667</v>
      </c>
      <c r="O13" s="37">
        <f t="shared" si="1"/>
        <v>7667</v>
      </c>
      <c r="P13" s="37">
        <f t="shared" si="1"/>
        <v>7667</v>
      </c>
      <c r="Q13" s="37">
        <f>D13-SUM(F13:P13)</f>
        <v>7663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30000</v>
      </c>
      <c r="E15" s="37" t="s">
        <v>193</v>
      </c>
      <c r="F15" s="37">
        <f>ROUND($D15/2,-3)</f>
        <v>15000</v>
      </c>
      <c r="G15" s="37"/>
      <c r="H15" s="37"/>
      <c r="I15" s="37"/>
      <c r="J15" s="37"/>
      <c r="K15" s="37"/>
      <c r="L15" s="37">
        <f>D15-F15</f>
        <v>15000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72000</v>
      </c>
      <c r="E16" s="37" t="s">
        <v>525</v>
      </c>
      <c r="F16" s="37">
        <f>ROUND($D16/12,0)</f>
        <v>6000</v>
      </c>
      <c r="G16" s="37">
        <f t="shared" si="1"/>
        <v>6000</v>
      </c>
      <c r="H16" s="37">
        <f t="shared" si="1"/>
        <v>6000</v>
      </c>
      <c r="I16" s="37">
        <f t="shared" si="1"/>
        <v>6000</v>
      </c>
      <c r="J16" s="37">
        <f t="shared" si="1"/>
        <v>6000</v>
      </c>
      <c r="K16" s="37">
        <f t="shared" si="1"/>
        <v>6000</v>
      </c>
      <c r="L16" s="37">
        <f t="shared" si="1"/>
        <v>6000</v>
      </c>
      <c r="M16" s="37">
        <f t="shared" si="1"/>
        <v>6000</v>
      </c>
      <c r="N16" s="37">
        <f t="shared" si="1"/>
        <v>6000</v>
      </c>
      <c r="O16" s="37">
        <f t="shared" si="1"/>
        <v>6000</v>
      </c>
      <c r="P16" s="37">
        <f t="shared" si="1"/>
        <v>6000</v>
      </c>
      <c r="Q16" s="37">
        <f>D16-SUM(F16:P16)</f>
        <v>6000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36000</v>
      </c>
      <c r="E24" s="37" t="s">
        <v>193</v>
      </c>
      <c r="F24" s="37">
        <f>ROUND($D24/2,-3)</f>
        <v>18000</v>
      </c>
      <c r="G24" s="37"/>
      <c r="H24" s="37"/>
      <c r="I24" s="37"/>
      <c r="J24" s="37"/>
      <c r="K24" s="37"/>
      <c r="L24" s="37">
        <f>D24-F24</f>
        <v>18000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628000</v>
      </c>
      <c r="E25" s="108"/>
      <c r="F25" s="108">
        <f>ROUND(SUM(F3:F24),-3)</f>
        <v>80000</v>
      </c>
      <c r="G25" s="108">
        <f t="shared" ref="G25:P25" si="5">ROUND(SUM(G3:G24),-3)</f>
        <v>47000</v>
      </c>
      <c r="H25" s="108">
        <f t="shared" si="5"/>
        <v>47000</v>
      </c>
      <c r="I25" s="108">
        <f t="shared" si="5"/>
        <v>47000</v>
      </c>
      <c r="J25" s="108">
        <f t="shared" si="5"/>
        <v>47000</v>
      </c>
      <c r="K25" s="108">
        <f t="shared" si="5"/>
        <v>47000</v>
      </c>
      <c r="L25" s="108">
        <f t="shared" si="5"/>
        <v>80000</v>
      </c>
      <c r="M25" s="108">
        <f t="shared" si="5"/>
        <v>47000</v>
      </c>
      <c r="N25" s="108">
        <f t="shared" si="5"/>
        <v>47000</v>
      </c>
      <c r="O25" s="108">
        <f t="shared" si="5"/>
        <v>47000</v>
      </c>
      <c r="P25" s="108">
        <f t="shared" si="5"/>
        <v>47000</v>
      </c>
      <c r="Q25" s="108">
        <f t="shared" ref="Q25:Q33" si="6">D25-SUM(F25:P25)</f>
        <v>45000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7000</v>
      </c>
      <c r="E30" s="37" t="s">
        <v>525</v>
      </c>
      <c r="F30" s="37">
        <f t="shared" si="8"/>
        <v>583</v>
      </c>
      <c r="G30" s="37">
        <f t="shared" si="8"/>
        <v>583</v>
      </c>
      <c r="H30" s="37">
        <f t="shared" si="8"/>
        <v>583</v>
      </c>
      <c r="I30" s="37">
        <f t="shared" si="8"/>
        <v>583</v>
      </c>
      <c r="J30" s="37">
        <f t="shared" si="8"/>
        <v>583</v>
      </c>
      <c r="K30" s="37">
        <f t="shared" si="8"/>
        <v>583</v>
      </c>
      <c r="L30" s="37">
        <f t="shared" si="8"/>
        <v>583</v>
      </c>
      <c r="M30" s="37">
        <f t="shared" si="8"/>
        <v>583</v>
      </c>
      <c r="N30" s="37">
        <f t="shared" si="8"/>
        <v>583</v>
      </c>
      <c r="O30" s="37">
        <f t="shared" si="8"/>
        <v>583</v>
      </c>
      <c r="P30" s="37">
        <f t="shared" si="8"/>
        <v>583</v>
      </c>
      <c r="Q30" s="37">
        <f t="shared" si="6"/>
        <v>587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4000</v>
      </c>
      <c r="E31" s="37" t="s">
        <v>525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12000</v>
      </c>
      <c r="E32" s="37" t="s">
        <v>525</v>
      </c>
      <c r="F32" s="37">
        <f t="shared" si="8"/>
        <v>1000</v>
      </c>
      <c r="G32" s="37">
        <f t="shared" si="8"/>
        <v>1000</v>
      </c>
      <c r="H32" s="37">
        <f t="shared" si="8"/>
        <v>1000</v>
      </c>
      <c r="I32" s="37">
        <f t="shared" si="8"/>
        <v>1000</v>
      </c>
      <c r="J32" s="37">
        <f t="shared" si="8"/>
        <v>1000</v>
      </c>
      <c r="K32" s="37">
        <f t="shared" si="8"/>
        <v>1000</v>
      </c>
      <c r="L32" s="37">
        <f t="shared" si="8"/>
        <v>1000</v>
      </c>
      <c r="M32" s="37">
        <f t="shared" si="8"/>
        <v>1000</v>
      </c>
      <c r="N32" s="37">
        <f t="shared" si="8"/>
        <v>1000</v>
      </c>
      <c r="O32" s="37">
        <f t="shared" si="8"/>
        <v>1000</v>
      </c>
      <c r="P32" s="37">
        <f t="shared" si="8"/>
        <v>1000</v>
      </c>
      <c r="Q32" s="37">
        <f t="shared" si="6"/>
        <v>1000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8000</v>
      </c>
      <c r="E33" s="37" t="s">
        <v>525</v>
      </c>
      <c r="F33" s="37">
        <f t="shared" si="8"/>
        <v>667</v>
      </c>
      <c r="G33" s="37">
        <f t="shared" si="8"/>
        <v>667</v>
      </c>
      <c r="H33" s="37">
        <f t="shared" si="8"/>
        <v>667</v>
      </c>
      <c r="I33" s="37">
        <f t="shared" si="8"/>
        <v>667</v>
      </c>
      <c r="J33" s="37">
        <f t="shared" si="8"/>
        <v>667</v>
      </c>
      <c r="K33" s="37">
        <f t="shared" si="8"/>
        <v>667</v>
      </c>
      <c r="L33" s="37">
        <f t="shared" si="8"/>
        <v>667</v>
      </c>
      <c r="M33" s="37">
        <f t="shared" si="8"/>
        <v>667</v>
      </c>
      <c r="N33" s="37">
        <f t="shared" si="8"/>
        <v>667</v>
      </c>
      <c r="O33" s="37">
        <f t="shared" si="8"/>
        <v>667</v>
      </c>
      <c r="P33" s="37">
        <f t="shared" si="8"/>
        <v>667</v>
      </c>
      <c r="Q33" s="37">
        <f t="shared" si="6"/>
        <v>663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297000</v>
      </c>
      <c r="E37" s="108"/>
      <c r="F37" s="108">
        <f t="shared" ref="F37:P37" si="9">ROUND(SUM(F26:F36),-3)</f>
        <v>25000</v>
      </c>
      <c r="G37" s="108">
        <f t="shared" si="9"/>
        <v>25000</v>
      </c>
      <c r="H37" s="108">
        <f t="shared" si="9"/>
        <v>25000</v>
      </c>
      <c r="I37" s="108">
        <f t="shared" si="9"/>
        <v>25000</v>
      </c>
      <c r="J37" s="108">
        <f t="shared" si="9"/>
        <v>25000</v>
      </c>
      <c r="K37" s="108">
        <f t="shared" si="9"/>
        <v>25000</v>
      </c>
      <c r="L37" s="108">
        <f t="shared" si="9"/>
        <v>25000</v>
      </c>
      <c r="M37" s="108">
        <f t="shared" si="9"/>
        <v>25000</v>
      </c>
      <c r="N37" s="108">
        <f t="shared" si="9"/>
        <v>25000</v>
      </c>
      <c r="O37" s="108">
        <f t="shared" si="9"/>
        <v>25000</v>
      </c>
      <c r="P37" s="108">
        <f t="shared" si="9"/>
        <v>25000</v>
      </c>
      <c r="Q37" s="108">
        <f>D37-SUM(F37:P37)</f>
        <v>22000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931000</v>
      </c>
      <c r="E48" s="37"/>
      <c r="F48" s="115">
        <f>F25+F37+F45+F47</f>
        <v>107000</v>
      </c>
      <c r="G48" s="115">
        <f t="shared" ref="G48:R48" si="14">G25+G37+G45+G47</f>
        <v>72000</v>
      </c>
      <c r="H48" s="115">
        <f t="shared" si="14"/>
        <v>72000</v>
      </c>
      <c r="I48" s="115">
        <f t="shared" si="14"/>
        <v>72000</v>
      </c>
      <c r="J48" s="115">
        <f t="shared" si="14"/>
        <v>72000</v>
      </c>
      <c r="K48" s="115">
        <f t="shared" si="14"/>
        <v>74000</v>
      </c>
      <c r="L48" s="115">
        <f t="shared" si="14"/>
        <v>105000</v>
      </c>
      <c r="M48" s="115">
        <f t="shared" si="14"/>
        <v>72000</v>
      </c>
      <c r="N48" s="115">
        <f t="shared" si="14"/>
        <v>74000</v>
      </c>
      <c r="O48" s="115">
        <f t="shared" si="14"/>
        <v>72000</v>
      </c>
      <c r="P48" s="115">
        <f t="shared" si="14"/>
        <v>72000</v>
      </c>
      <c r="Q48" s="115">
        <f t="shared" si="14"/>
        <v>67000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14805000</v>
      </c>
      <c r="E49" s="114" t="s">
        <v>202</v>
      </c>
      <c r="F49" s="37">
        <f>ROUND($D49/12*3,-3)</f>
        <v>3701000</v>
      </c>
      <c r="G49" s="37">
        <f>ROUND($D49/12,-3)</f>
        <v>1234000</v>
      </c>
      <c r="H49" s="37">
        <f t="shared" ref="H49:N53" si="15">ROUND($D49/12,-3)</f>
        <v>1234000</v>
      </c>
      <c r="I49" s="37">
        <f t="shared" si="15"/>
        <v>1234000</v>
      </c>
      <c r="J49" s="37">
        <f t="shared" si="15"/>
        <v>1234000</v>
      </c>
      <c r="K49" s="37">
        <f t="shared" si="15"/>
        <v>1234000</v>
      </c>
      <c r="L49" s="37">
        <f t="shared" si="15"/>
        <v>1234000</v>
      </c>
      <c r="M49" s="37">
        <f t="shared" si="15"/>
        <v>1234000</v>
      </c>
      <c r="N49" s="37">
        <f t="shared" si="15"/>
        <v>1234000</v>
      </c>
      <c r="O49" s="37">
        <f>D49-SUM(F49:N49)</f>
        <v>1232000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0</v>
      </c>
      <c r="E51" s="114" t="s">
        <v>202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5"/>
        <v>0</v>
      </c>
      <c r="N51" s="37">
        <f t="shared" si="15"/>
        <v>0</v>
      </c>
      <c r="O51" s="37">
        <f t="shared" si="18"/>
        <v>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0</v>
      </c>
      <c r="E52" s="114" t="s">
        <v>202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5"/>
        <v>0</v>
      </c>
      <c r="N52" s="37">
        <f t="shared" si="15"/>
        <v>0</v>
      </c>
      <c r="O52" s="37">
        <f t="shared" si="18"/>
        <v>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362000</v>
      </c>
      <c r="E60" s="37" t="s">
        <v>195</v>
      </c>
      <c r="F60" s="37">
        <f>D60</f>
        <v>362000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1678000</v>
      </c>
      <c r="E62" s="37" t="s">
        <v>197</v>
      </c>
      <c r="F62" s="37"/>
      <c r="G62" s="37"/>
      <c r="H62" s="37"/>
      <c r="I62" s="37">
        <f>ROUND($D62/5,-3)</f>
        <v>336000</v>
      </c>
      <c r="J62" s="37"/>
      <c r="K62" s="37"/>
      <c r="L62" s="37"/>
      <c r="M62" s="37"/>
      <c r="N62" s="37">
        <f>D62-I62</f>
        <v>1342000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1683000</v>
      </c>
      <c r="E63" s="37" t="s">
        <v>195</v>
      </c>
      <c r="F63" s="37">
        <f>D63</f>
        <v>1683000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1489000</v>
      </c>
      <c r="E64" s="114" t="s">
        <v>202</v>
      </c>
      <c r="F64" s="37">
        <f>ROUND($D64/12*3,-3)</f>
        <v>372000</v>
      </c>
      <c r="G64" s="37">
        <f>ROUND($D64/12,-3)</f>
        <v>124000</v>
      </c>
      <c r="H64" s="37">
        <f t="shared" ref="H64:N66" si="21">ROUND($D64/12,-3)</f>
        <v>124000</v>
      </c>
      <c r="I64" s="37">
        <f t="shared" si="21"/>
        <v>124000</v>
      </c>
      <c r="J64" s="37">
        <f t="shared" si="21"/>
        <v>124000</v>
      </c>
      <c r="K64" s="37">
        <f t="shared" si="21"/>
        <v>124000</v>
      </c>
      <c r="L64" s="37">
        <f t="shared" si="21"/>
        <v>124000</v>
      </c>
      <c r="M64" s="37">
        <f t="shared" si="21"/>
        <v>124000</v>
      </c>
      <c r="N64" s="37">
        <f t="shared" si="21"/>
        <v>124000</v>
      </c>
      <c r="O64" s="37">
        <f>D64-SUM(F64:N64)</f>
        <v>125000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357000</v>
      </c>
      <c r="E65" s="114" t="s">
        <v>202</v>
      </c>
      <c r="F65" s="37">
        <f t="shared" ref="F65:F66" si="22">ROUND($D65/12*3,-3)</f>
        <v>89000</v>
      </c>
      <c r="G65" s="37">
        <f t="shared" ref="G65:G66" si="23">ROUND($D65/12,-3)</f>
        <v>30000</v>
      </c>
      <c r="H65" s="37">
        <f t="shared" si="21"/>
        <v>30000</v>
      </c>
      <c r="I65" s="37">
        <f t="shared" si="21"/>
        <v>30000</v>
      </c>
      <c r="J65" s="37">
        <f t="shared" si="21"/>
        <v>30000</v>
      </c>
      <c r="K65" s="37">
        <f t="shared" si="21"/>
        <v>30000</v>
      </c>
      <c r="L65" s="37">
        <f t="shared" si="21"/>
        <v>30000</v>
      </c>
      <c r="M65" s="37">
        <f t="shared" si="21"/>
        <v>30000</v>
      </c>
      <c r="N65" s="37">
        <f t="shared" si="21"/>
        <v>30000</v>
      </c>
      <c r="O65" s="37">
        <f t="shared" ref="O65:O66" si="24">D65-SUM(F65:N65)</f>
        <v>28000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1002000</v>
      </c>
      <c r="E66" s="114" t="s">
        <v>202</v>
      </c>
      <c r="F66" s="37">
        <f t="shared" si="22"/>
        <v>251000</v>
      </c>
      <c r="G66" s="37">
        <f t="shared" si="23"/>
        <v>84000</v>
      </c>
      <c r="H66" s="37">
        <f t="shared" si="21"/>
        <v>84000</v>
      </c>
      <c r="I66" s="37">
        <f t="shared" si="21"/>
        <v>84000</v>
      </c>
      <c r="J66" s="37">
        <f t="shared" si="21"/>
        <v>84000</v>
      </c>
      <c r="K66" s="37">
        <f t="shared" si="21"/>
        <v>84000</v>
      </c>
      <c r="L66" s="37">
        <f t="shared" si="21"/>
        <v>84000</v>
      </c>
      <c r="M66" s="37">
        <f t="shared" si="21"/>
        <v>84000</v>
      </c>
      <c r="N66" s="37">
        <f t="shared" si="21"/>
        <v>84000</v>
      </c>
      <c r="O66" s="37">
        <f t="shared" si="24"/>
        <v>79000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22000</v>
      </c>
      <c r="E67" s="37" t="s">
        <v>196</v>
      </c>
      <c r="F67" s="37"/>
      <c r="G67" s="37"/>
      <c r="H67" s="37">
        <f>D67</f>
        <v>22000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112000</v>
      </c>
      <c r="E68" s="37" t="s">
        <v>195</v>
      </c>
      <c r="F68" s="37">
        <f>D68</f>
        <v>112000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21565000</v>
      </c>
      <c r="E70" s="108"/>
      <c r="F70" s="108">
        <f t="shared" ref="F70:P70" si="25">ROUND(SUM(F49:F69),-3)</f>
        <v>6575000</v>
      </c>
      <c r="G70" s="108">
        <f t="shared" si="25"/>
        <v>1477000</v>
      </c>
      <c r="H70" s="108">
        <f t="shared" si="25"/>
        <v>1499000</v>
      </c>
      <c r="I70" s="108">
        <f t="shared" si="25"/>
        <v>1813000</v>
      </c>
      <c r="J70" s="108">
        <f t="shared" si="25"/>
        <v>1477000</v>
      </c>
      <c r="K70" s="108">
        <f t="shared" si="25"/>
        <v>1477000</v>
      </c>
      <c r="L70" s="108">
        <f t="shared" si="25"/>
        <v>1477000</v>
      </c>
      <c r="M70" s="108">
        <f t="shared" si="25"/>
        <v>1477000</v>
      </c>
      <c r="N70" s="108">
        <f t="shared" si="25"/>
        <v>2819000</v>
      </c>
      <c r="O70" s="108">
        <f t="shared" si="25"/>
        <v>1469000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4057000</v>
      </c>
      <c r="E72" s="114" t="s">
        <v>202</v>
      </c>
      <c r="F72" s="37">
        <f>ROUND($D72/12*3,-3)</f>
        <v>1014000</v>
      </c>
      <c r="G72" s="37">
        <f>ROUND($D72/12,-3)</f>
        <v>338000</v>
      </c>
      <c r="H72" s="37">
        <f t="shared" ref="H72:N75" si="26">ROUND($D72/12,-3)</f>
        <v>338000</v>
      </c>
      <c r="I72" s="37">
        <f t="shared" si="26"/>
        <v>338000</v>
      </c>
      <c r="J72" s="37">
        <f t="shared" si="26"/>
        <v>338000</v>
      </c>
      <c r="K72" s="37">
        <f t="shared" si="26"/>
        <v>338000</v>
      </c>
      <c r="L72" s="37">
        <f t="shared" si="26"/>
        <v>338000</v>
      </c>
      <c r="M72" s="37">
        <f t="shared" si="26"/>
        <v>338000</v>
      </c>
      <c r="N72" s="37">
        <f t="shared" si="26"/>
        <v>338000</v>
      </c>
      <c r="O72" s="37">
        <f>D72-SUM(F72:N72)</f>
        <v>339000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944000</v>
      </c>
      <c r="E75" s="114" t="s">
        <v>202</v>
      </c>
      <c r="F75" s="37">
        <f>ROUND($D75/12*3,-3)</f>
        <v>236000</v>
      </c>
      <c r="G75" s="37">
        <f>ROUND($D75/12,-3)</f>
        <v>79000</v>
      </c>
      <c r="H75" s="37">
        <f t="shared" si="26"/>
        <v>79000</v>
      </c>
      <c r="I75" s="37">
        <f t="shared" si="26"/>
        <v>79000</v>
      </c>
      <c r="J75" s="37">
        <f t="shared" si="26"/>
        <v>79000</v>
      </c>
      <c r="K75" s="37">
        <f t="shared" si="26"/>
        <v>79000</v>
      </c>
      <c r="L75" s="37">
        <f t="shared" si="26"/>
        <v>79000</v>
      </c>
      <c r="M75" s="37">
        <f t="shared" si="26"/>
        <v>79000</v>
      </c>
      <c r="N75" s="37">
        <f t="shared" si="26"/>
        <v>79000</v>
      </c>
      <c r="O75" s="37">
        <f>D75-SUM(F75:N75)</f>
        <v>76000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5001000</v>
      </c>
      <c r="E76" s="108"/>
      <c r="F76" s="108">
        <f>ROUND(SUM(F71:F75),-3)</f>
        <v>1250000</v>
      </c>
      <c r="G76" s="108">
        <f t="shared" ref="G76:N76" si="27">ROUND(SUM(G71:G75),-3)</f>
        <v>417000</v>
      </c>
      <c r="H76" s="108">
        <f t="shared" si="27"/>
        <v>417000</v>
      </c>
      <c r="I76" s="108">
        <f t="shared" si="27"/>
        <v>417000</v>
      </c>
      <c r="J76" s="108">
        <f t="shared" si="27"/>
        <v>417000</v>
      </c>
      <c r="K76" s="108">
        <f t="shared" si="27"/>
        <v>417000</v>
      </c>
      <c r="L76" s="108">
        <f t="shared" si="27"/>
        <v>417000</v>
      </c>
      <c r="M76" s="108">
        <f t="shared" si="27"/>
        <v>417000</v>
      </c>
      <c r="N76" s="108">
        <f t="shared" si="27"/>
        <v>417000</v>
      </c>
      <c r="O76" s="108">
        <f>D76-SUM(F76:N76)</f>
        <v>415000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5000</v>
      </c>
      <c r="E77" s="37" t="s">
        <v>681</v>
      </c>
      <c r="F77" s="224"/>
      <c r="G77" s="224"/>
      <c r="H77" s="224">
        <f>ROUND($D77/2,-3)</f>
        <v>3000</v>
      </c>
      <c r="I77" s="224"/>
      <c r="J77" s="224"/>
      <c r="K77" s="224"/>
      <c r="L77" s="224"/>
      <c r="M77" s="224"/>
      <c r="N77" s="224">
        <f>D77-H77</f>
        <v>2000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26571000</v>
      </c>
      <c r="E78" s="227"/>
      <c r="F78" s="227">
        <f>F76+F70+F77</f>
        <v>7825000</v>
      </c>
      <c r="G78" s="227">
        <f t="shared" ref="G78:Q78" si="29">G76+G70+G77</f>
        <v>1894000</v>
      </c>
      <c r="H78" s="227">
        <f t="shared" si="29"/>
        <v>1919000</v>
      </c>
      <c r="I78" s="227">
        <f t="shared" si="29"/>
        <v>2230000</v>
      </c>
      <c r="J78" s="227">
        <f t="shared" si="29"/>
        <v>1894000</v>
      </c>
      <c r="K78" s="227">
        <f t="shared" si="29"/>
        <v>1894000</v>
      </c>
      <c r="L78" s="227">
        <f t="shared" si="29"/>
        <v>1894000</v>
      </c>
      <c r="M78" s="227">
        <f t="shared" si="29"/>
        <v>1894000</v>
      </c>
      <c r="N78" s="227">
        <f t="shared" si="29"/>
        <v>3238000</v>
      </c>
      <c r="O78" s="227">
        <f t="shared" si="29"/>
        <v>1884000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27502000</v>
      </c>
      <c r="E87" s="37"/>
      <c r="F87" s="37">
        <f>F88+F89+F90+F91</f>
        <v>7932000</v>
      </c>
      <c r="G87" s="37">
        <f t="shared" ref="G87:Q87" si="32">G88+G89+G90+G91</f>
        <v>1966000</v>
      </c>
      <c r="H87" s="37">
        <f t="shared" si="32"/>
        <v>1991000</v>
      </c>
      <c r="I87" s="37">
        <f t="shared" si="32"/>
        <v>2302000</v>
      </c>
      <c r="J87" s="37">
        <f t="shared" si="32"/>
        <v>1966000</v>
      </c>
      <c r="K87" s="37">
        <f t="shared" si="32"/>
        <v>1968000</v>
      </c>
      <c r="L87" s="37">
        <f t="shared" si="32"/>
        <v>1999000</v>
      </c>
      <c r="M87" s="37">
        <f t="shared" si="32"/>
        <v>1966000</v>
      </c>
      <c r="N87" s="37">
        <f t="shared" si="32"/>
        <v>3312000</v>
      </c>
      <c r="O87" s="37">
        <f t="shared" si="32"/>
        <v>1956000</v>
      </c>
      <c r="P87" s="37">
        <f t="shared" si="32"/>
        <v>77000</v>
      </c>
      <c r="Q87" s="37">
        <f t="shared" si="32"/>
        <v>67000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36000</v>
      </c>
      <c r="E88" s="108" t="s">
        <v>193</v>
      </c>
      <c r="F88" s="108">
        <f>ROUND($D88/2,-3)</f>
        <v>18000</v>
      </c>
      <c r="G88" s="108"/>
      <c r="H88" s="108"/>
      <c r="I88" s="108"/>
      <c r="J88" s="108"/>
      <c r="K88" s="108"/>
      <c r="L88" s="108">
        <f>D88-F88</f>
        <v>18000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27465000</v>
      </c>
      <c r="E91" s="108"/>
      <c r="F91" s="108">
        <f>F92+F93+F94+F95</f>
        <v>7914000</v>
      </c>
      <c r="G91" s="108">
        <f t="shared" ref="G91:Q91" si="34">G92+G93+G94+G95</f>
        <v>1966000</v>
      </c>
      <c r="H91" s="108">
        <f t="shared" si="34"/>
        <v>1991000</v>
      </c>
      <c r="I91" s="108">
        <f t="shared" si="34"/>
        <v>2302000</v>
      </c>
      <c r="J91" s="108">
        <f t="shared" si="34"/>
        <v>1966000</v>
      </c>
      <c r="K91" s="108">
        <f t="shared" si="34"/>
        <v>1968000</v>
      </c>
      <c r="L91" s="108">
        <f t="shared" si="34"/>
        <v>1981000</v>
      </c>
      <c r="M91" s="108">
        <f t="shared" si="34"/>
        <v>1966000</v>
      </c>
      <c r="N91" s="108">
        <f t="shared" si="34"/>
        <v>3312000</v>
      </c>
      <c r="O91" s="108">
        <f t="shared" si="34"/>
        <v>1956000</v>
      </c>
      <c r="P91" s="108">
        <f t="shared" si="34"/>
        <v>77000</v>
      </c>
      <c r="Q91" s="108">
        <f t="shared" si="34"/>
        <v>66000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650000</v>
      </c>
      <c r="E92" s="114" t="s">
        <v>537</v>
      </c>
      <c r="F92" s="37">
        <f>ROUND($D92/12*5,-3)</f>
        <v>271000</v>
      </c>
      <c r="G92" s="37">
        <f>ROUND($D92/12,-3)</f>
        <v>54000</v>
      </c>
      <c r="H92" s="37">
        <f t="shared" ref="H92:L92" si="35">ROUND($D92/12,-3)</f>
        <v>54000</v>
      </c>
      <c r="I92" s="37">
        <f t="shared" si="35"/>
        <v>54000</v>
      </c>
      <c r="J92" s="37">
        <f t="shared" si="35"/>
        <v>54000</v>
      </c>
      <c r="K92" s="37">
        <f t="shared" si="35"/>
        <v>54000</v>
      </c>
      <c r="L92" s="37">
        <f t="shared" si="35"/>
        <v>54000</v>
      </c>
      <c r="M92" s="37">
        <f>D92-SUM(F92:L92)</f>
        <v>55000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26725000</v>
      </c>
      <c r="E95" s="37"/>
      <c r="F95" s="37">
        <f>F2+F86-F88-F89-F90-F92-F93-F94</f>
        <v>7635000</v>
      </c>
      <c r="G95" s="37">
        <f t="shared" ref="G95:Q95" si="37">G2-G88-G89-G90-G92-G93-G94</f>
        <v>1904000</v>
      </c>
      <c r="H95" s="37">
        <f t="shared" si="37"/>
        <v>1929000</v>
      </c>
      <c r="I95" s="37">
        <f t="shared" si="37"/>
        <v>2240000</v>
      </c>
      <c r="J95" s="37">
        <f t="shared" si="37"/>
        <v>1904000</v>
      </c>
      <c r="K95" s="37">
        <f t="shared" si="37"/>
        <v>1906000</v>
      </c>
      <c r="L95" s="37">
        <f t="shared" si="37"/>
        <v>1919000</v>
      </c>
      <c r="M95" s="37">
        <f t="shared" si="37"/>
        <v>1903000</v>
      </c>
      <c r="N95" s="37">
        <f t="shared" si="37"/>
        <v>3304000</v>
      </c>
      <c r="O95" s="37">
        <f t="shared" si="37"/>
        <v>1948000</v>
      </c>
      <c r="P95" s="37">
        <f t="shared" si="37"/>
        <v>69000</v>
      </c>
      <c r="Q95" s="37">
        <f t="shared" si="37"/>
        <v>64000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26725000</v>
      </c>
    </row>
    <row r="108" spans="2:17" ht="16.5" customHeight="1"/>
    <row r="109" spans="2:17" ht="16.5" customHeight="1">
      <c r="B109" s="4" t="s">
        <v>682</v>
      </c>
      <c r="D109" s="30">
        <f>D91-D76</f>
        <v>22464000</v>
      </c>
      <c r="F109" s="30">
        <f>F91-F76</f>
        <v>6664000</v>
      </c>
      <c r="G109" s="30">
        <f t="shared" ref="G109:Q109" si="38">G91-G76</f>
        <v>1549000</v>
      </c>
      <c r="H109" s="30">
        <f t="shared" si="38"/>
        <v>1574000</v>
      </c>
      <c r="I109" s="30">
        <f t="shared" si="38"/>
        <v>1885000</v>
      </c>
      <c r="J109" s="30">
        <f t="shared" si="38"/>
        <v>1549000</v>
      </c>
      <c r="K109" s="30">
        <f t="shared" si="38"/>
        <v>1551000</v>
      </c>
      <c r="L109" s="30">
        <f t="shared" si="38"/>
        <v>1564000</v>
      </c>
      <c r="M109" s="30">
        <f t="shared" si="38"/>
        <v>1549000</v>
      </c>
      <c r="N109" s="30">
        <f t="shared" si="38"/>
        <v>2895000</v>
      </c>
      <c r="O109" s="30">
        <f t="shared" si="38"/>
        <v>1541000</v>
      </c>
      <c r="P109" s="30">
        <f t="shared" si="38"/>
        <v>77000</v>
      </c>
      <c r="Q109" s="30">
        <f t="shared" si="38"/>
        <v>66000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40" priority="1" operator="lessThan">
      <formula>0</formula>
    </cfRule>
  </conditionalFormatting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topLeftCell="A4"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688</v>
      </c>
      <c r="D1" s="28" t="str">
        <f>VLOOKUP(C1,[1]學校編號!A:B,2,FALSE)</f>
        <v>688三棧國小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27140000</v>
      </c>
      <c r="E2" s="37"/>
      <c r="F2" s="37">
        <f>F48+F70+F76+F77+F83</f>
        <v>7808000</v>
      </c>
      <c r="G2" s="37">
        <f t="shared" ref="G2:Q2" si="0">G48+G70+G76+G77+G83</f>
        <v>1904000</v>
      </c>
      <c r="H2" s="37">
        <f t="shared" si="0"/>
        <v>2049000</v>
      </c>
      <c r="I2" s="37">
        <f t="shared" si="0"/>
        <v>2261000</v>
      </c>
      <c r="J2" s="37">
        <f t="shared" si="0"/>
        <v>1904000</v>
      </c>
      <c r="K2" s="37">
        <f t="shared" si="0"/>
        <v>1908000</v>
      </c>
      <c r="L2" s="37">
        <f t="shared" si="0"/>
        <v>1920000</v>
      </c>
      <c r="M2" s="37">
        <f t="shared" si="0"/>
        <v>1904000</v>
      </c>
      <c r="N2" s="37">
        <f t="shared" si="0"/>
        <v>3451000</v>
      </c>
      <c r="O2" s="37">
        <f t="shared" si="0"/>
        <v>1889000</v>
      </c>
      <c r="P2" s="37">
        <f t="shared" si="0"/>
        <v>72000</v>
      </c>
      <c r="Q2" s="37">
        <f t="shared" si="0"/>
        <v>70000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80000</v>
      </c>
      <c r="E13" s="37" t="s">
        <v>525</v>
      </c>
      <c r="F13" s="37">
        <f>ROUND($D13/12,0)</f>
        <v>6667</v>
      </c>
      <c r="G13" s="37">
        <f t="shared" si="1"/>
        <v>6667</v>
      </c>
      <c r="H13" s="37">
        <f t="shared" si="1"/>
        <v>6667</v>
      </c>
      <c r="I13" s="37">
        <f t="shared" si="1"/>
        <v>6667</v>
      </c>
      <c r="J13" s="37">
        <f t="shared" si="1"/>
        <v>6667</v>
      </c>
      <c r="K13" s="37">
        <f t="shared" si="1"/>
        <v>6667</v>
      </c>
      <c r="L13" s="37">
        <f t="shared" si="1"/>
        <v>6667</v>
      </c>
      <c r="M13" s="37">
        <f t="shared" si="1"/>
        <v>6667</v>
      </c>
      <c r="N13" s="37">
        <f t="shared" si="1"/>
        <v>6667</v>
      </c>
      <c r="O13" s="37">
        <f t="shared" si="1"/>
        <v>6667</v>
      </c>
      <c r="P13" s="37">
        <f t="shared" si="1"/>
        <v>6667</v>
      </c>
      <c r="Q13" s="37">
        <f>D13-SUM(F13:P13)</f>
        <v>6663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32000</v>
      </c>
      <c r="E15" s="37" t="s">
        <v>193</v>
      </c>
      <c r="F15" s="37">
        <f>ROUND($D15/2,-3)</f>
        <v>16000</v>
      </c>
      <c r="G15" s="37"/>
      <c r="H15" s="37"/>
      <c r="I15" s="37"/>
      <c r="J15" s="37"/>
      <c r="K15" s="37"/>
      <c r="L15" s="37">
        <f>D15-F15</f>
        <v>16000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84000</v>
      </c>
      <c r="E16" s="37" t="s">
        <v>525</v>
      </c>
      <c r="F16" s="37">
        <f>ROUND($D16/12,0)</f>
        <v>7000</v>
      </c>
      <c r="G16" s="37">
        <f t="shared" si="1"/>
        <v>7000</v>
      </c>
      <c r="H16" s="37">
        <f t="shared" si="1"/>
        <v>7000</v>
      </c>
      <c r="I16" s="37">
        <f t="shared" si="1"/>
        <v>7000</v>
      </c>
      <c r="J16" s="37">
        <f t="shared" si="1"/>
        <v>7000</v>
      </c>
      <c r="K16" s="37">
        <f t="shared" si="1"/>
        <v>7000</v>
      </c>
      <c r="L16" s="37">
        <f t="shared" si="1"/>
        <v>7000</v>
      </c>
      <c r="M16" s="37">
        <f t="shared" si="1"/>
        <v>7000</v>
      </c>
      <c r="N16" s="37">
        <f t="shared" si="1"/>
        <v>7000</v>
      </c>
      <c r="O16" s="37">
        <f t="shared" si="1"/>
        <v>7000</v>
      </c>
      <c r="P16" s="37">
        <f t="shared" si="1"/>
        <v>7000</v>
      </c>
      <c r="Q16" s="37">
        <f>D16-SUM(F16:P16)</f>
        <v>7000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558000</v>
      </c>
      <c r="E25" s="108"/>
      <c r="F25" s="108">
        <f>ROUND(SUM(F3:F24),-3)</f>
        <v>60000</v>
      </c>
      <c r="G25" s="108">
        <f t="shared" ref="G25:P25" si="5">ROUND(SUM(G3:G24),-3)</f>
        <v>44000</v>
      </c>
      <c r="H25" s="108">
        <f t="shared" si="5"/>
        <v>44000</v>
      </c>
      <c r="I25" s="108">
        <f t="shared" si="5"/>
        <v>44000</v>
      </c>
      <c r="J25" s="108">
        <f t="shared" si="5"/>
        <v>44000</v>
      </c>
      <c r="K25" s="108">
        <f t="shared" si="5"/>
        <v>44000</v>
      </c>
      <c r="L25" s="108">
        <f t="shared" si="5"/>
        <v>60000</v>
      </c>
      <c r="M25" s="108">
        <f t="shared" si="5"/>
        <v>44000</v>
      </c>
      <c r="N25" s="108">
        <f t="shared" si="5"/>
        <v>44000</v>
      </c>
      <c r="O25" s="108">
        <f t="shared" si="5"/>
        <v>44000</v>
      </c>
      <c r="P25" s="108">
        <f t="shared" si="5"/>
        <v>44000</v>
      </c>
      <c r="Q25" s="108">
        <f t="shared" ref="Q25:Q33" si="6">D25-SUM(F25:P25)</f>
        <v>42000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10000</v>
      </c>
      <c r="E30" s="37" t="s">
        <v>525</v>
      </c>
      <c r="F30" s="37">
        <f t="shared" si="8"/>
        <v>833</v>
      </c>
      <c r="G30" s="37">
        <f t="shared" si="8"/>
        <v>833</v>
      </c>
      <c r="H30" s="37">
        <f t="shared" si="8"/>
        <v>833</v>
      </c>
      <c r="I30" s="37">
        <f t="shared" si="8"/>
        <v>833</v>
      </c>
      <c r="J30" s="37">
        <f t="shared" si="8"/>
        <v>833</v>
      </c>
      <c r="K30" s="37">
        <f t="shared" si="8"/>
        <v>833</v>
      </c>
      <c r="L30" s="37">
        <f t="shared" si="8"/>
        <v>833</v>
      </c>
      <c r="M30" s="37">
        <f t="shared" si="8"/>
        <v>833</v>
      </c>
      <c r="N30" s="37">
        <f t="shared" si="8"/>
        <v>833</v>
      </c>
      <c r="O30" s="37">
        <f t="shared" si="8"/>
        <v>833</v>
      </c>
      <c r="P30" s="37">
        <f t="shared" si="8"/>
        <v>833</v>
      </c>
      <c r="Q30" s="37">
        <f t="shared" si="6"/>
        <v>837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5000</v>
      </c>
      <c r="E31" s="37" t="s">
        <v>525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281000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28000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851000</v>
      </c>
      <c r="E48" s="37"/>
      <c r="F48" s="115">
        <f>F25+F37+F45+F47</f>
        <v>87000</v>
      </c>
      <c r="G48" s="115">
        <f t="shared" ref="G48:R48" si="14">G25+G37+G45+G47</f>
        <v>67000</v>
      </c>
      <c r="H48" s="115">
        <f t="shared" si="14"/>
        <v>67000</v>
      </c>
      <c r="I48" s="115">
        <f t="shared" si="14"/>
        <v>67000</v>
      </c>
      <c r="J48" s="115">
        <f t="shared" si="14"/>
        <v>67000</v>
      </c>
      <c r="K48" s="115">
        <f t="shared" si="14"/>
        <v>71000</v>
      </c>
      <c r="L48" s="115">
        <f t="shared" si="14"/>
        <v>83000</v>
      </c>
      <c r="M48" s="115">
        <f t="shared" si="14"/>
        <v>67000</v>
      </c>
      <c r="N48" s="115">
        <f t="shared" si="14"/>
        <v>71000</v>
      </c>
      <c r="O48" s="115">
        <f t="shared" si="14"/>
        <v>67000</v>
      </c>
      <c r="P48" s="115">
        <f t="shared" si="14"/>
        <v>67000</v>
      </c>
      <c r="Q48" s="115">
        <f t="shared" si="14"/>
        <v>70000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15500000</v>
      </c>
      <c r="E49" s="114" t="s">
        <v>202</v>
      </c>
      <c r="F49" s="37">
        <f>ROUND($D49/12*3,-3)</f>
        <v>3875000</v>
      </c>
      <c r="G49" s="37">
        <f>ROUND($D49/12,-3)</f>
        <v>1292000</v>
      </c>
      <c r="H49" s="37">
        <f t="shared" ref="H49:N53" si="15">ROUND($D49/12,-3)</f>
        <v>1292000</v>
      </c>
      <c r="I49" s="37">
        <f t="shared" si="15"/>
        <v>1292000</v>
      </c>
      <c r="J49" s="37">
        <f t="shared" si="15"/>
        <v>1292000</v>
      </c>
      <c r="K49" s="37">
        <f t="shared" si="15"/>
        <v>1292000</v>
      </c>
      <c r="L49" s="37">
        <f t="shared" si="15"/>
        <v>1292000</v>
      </c>
      <c r="M49" s="37">
        <f t="shared" si="15"/>
        <v>1292000</v>
      </c>
      <c r="N49" s="37">
        <f t="shared" si="15"/>
        <v>1292000</v>
      </c>
      <c r="O49" s="37">
        <f>D49-SUM(F49:N49)</f>
        <v>1289000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738000</v>
      </c>
      <c r="E51" s="114" t="s">
        <v>202</v>
      </c>
      <c r="F51" s="37">
        <f t="shared" si="16"/>
        <v>185000</v>
      </c>
      <c r="G51" s="37">
        <f t="shared" si="17"/>
        <v>62000</v>
      </c>
      <c r="H51" s="37">
        <f t="shared" si="15"/>
        <v>62000</v>
      </c>
      <c r="I51" s="37">
        <f t="shared" si="15"/>
        <v>62000</v>
      </c>
      <c r="J51" s="37">
        <f t="shared" si="15"/>
        <v>62000</v>
      </c>
      <c r="K51" s="37">
        <f t="shared" si="15"/>
        <v>62000</v>
      </c>
      <c r="L51" s="37">
        <f t="shared" si="15"/>
        <v>62000</v>
      </c>
      <c r="M51" s="37">
        <f t="shared" si="15"/>
        <v>62000</v>
      </c>
      <c r="N51" s="37">
        <f t="shared" si="15"/>
        <v>62000</v>
      </c>
      <c r="O51" s="37">
        <f t="shared" si="18"/>
        <v>57000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356000</v>
      </c>
      <c r="E60" s="37" t="s">
        <v>195</v>
      </c>
      <c r="F60" s="37">
        <f>D60</f>
        <v>356000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1786000</v>
      </c>
      <c r="E62" s="37" t="s">
        <v>197</v>
      </c>
      <c r="F62" s="37"/>
      <c r="G62" s="37"/>
      <c r="H62" s="37"/>
      <c r="I62" s="37">
        <f>ROUND($D62/5,-3)</f>
        <v>357000</v>
      </c>
      <c r="J62" s="37"/>
      <c r="K62" s="37"/>
      <c r="L62" s="37"/>
      <c r="M62" s="37"/>
      <c r="N62" s="37">
        <f>D62-I62</f>
        <v>1429000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1754000</v>
      </c>
      <c r="E63" s="37" t="s">
        <v>195</v>
      </c>
      <c r="F63" s="37">
        <f>D63</f>
        <v>1754000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1521000</v>
      </c>
      <c r="E64" s="114" t="s">
        <v>202</v>
      </c>
      <c r="F64" s="37">
        <f>ROUND($D64/12*3,-3)</f>
        <v>380000</v>
      </c>
      <c r="G64" s="37">
        <f>ROUND($D64/12,-3)</f>
        <v>127000</v>
      </c>
      <c r="H64" s="37">
        <f t="shared" ref="H64:N66" si="21">ROUND($D64/12,-3)</f>
        <v>127000</v>
      </c>
      <c r="I64" s="37">
        <f t="shared" si="21"/>
        <v>127000</v>
      </c>
      <c r="J64" s="37">
        <f t="shared" si="21"/>
        <v>127000</v>
      </c>
      <c r="K64" s="37">
        <f t="shared" si="21"/>
        <v>127000</v>
      </c>
      <c r="L64" s="37">
        <f t="shared" si="21"/>
        <v>127000</v>
      </c>
      <c r="M64" s="37">
        <f t="shared" si="21"/>
        <v>127000</v>
      </c>
      <c r="N64" s="37">
        <f t="shared" si="21"/>
        <v>127000</v>
      </c>
      <c r="O64" s="37">
        <f>D64-SUM(F64:N64)</f>
        <v>125000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368000</v>
      </c>
      <c r="E65" s="114" t="s">
        <v>202</v>
      </c>
      <c r="F65" s="37">
        <f t="shared" ref="F65:F66" si="22">ROUND($D65/12*3,-3)</f>
        <v>92000</v>
      </c>
      <c r="G65" s="37">
        <f t="shared" ref="G65:G66" si="23">ROUND($D65/12,-3)</f>
        <v>31000</v>
      </c>
      <c r="H65" s="37">
        <f t="shared" si="21"/>
        <v>31000</v>
      </c>
      <c r="I65" s="37">
        <f t="shared" si="21"/>
        <v>31000</v>
      </c>
      <c r="J65" s="37">
        <f t="shared" si="21"/>
        <v>31000</v>
      </c>
      <c r="K65" s="37">
        <f t="shared" si="21"/>
        <v>31000</v>
      </c>
      <c r="L65" s="37">
        <f t="shared" si="21"/>
        <v>31000</v>
      </c>
      <c r="M65" s="37">
        <f t="shared" si="21"/>
        <v>31000</v>
      </c>
      <c r="N65" s="37">
        <f t="shared" si="21"/>
        <v>31000</v>
      </c>
      <c r="O65" s="37">
        <f t="shared" ref="O65:O66" si="24">D65-SUM(F65:N65)</f>
        <v>28000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1028000</v>
      </c>
      <c r="E66" s="114" t="s">
        <v>202</v>
      </c>
      <c r="F66" s="37">
        <f t="shared" si="22"/>
        <v>257000</v>
      </c>
      <c r="G66" s="37">
        <f t="shared" si="23"/>
        <v>86000</v>
      </c>
      <c r="H66" s="37">
        <f t="shared" si="21"/>
        <v>86000</v>
      </c>
      <c r="I66" s="37">
        <f t="shared" si="21"/>
        <v>86000</v>
      </c>
      <c r="J66" s="37">
        <f t="shared" si="21"/>
        <v>86000</v>
      </c>
      <c r="K66" s="37">
        <f t="shared" si="21"/>
        <v>86000</v>
      </c>
      <c r="L66" s="37">
        <f t="shared" si="21"/>
        <v>86000</v>
      </c>
      <c r="M66" s="37">
        <f t="shared" si="21"/>
        <v>86000</v>
      </c>
      <c r="N66" s="37">
        <f t="shared" si="21"/>
        <v>86000</v>
      </c>
      <c r="O66" s="37">
        <f t="shared" si="24"/>
        <v>83000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31000</v>
      </c>
      <c r="E67" s="37" t="s">
        <v>196</v>
      </c>
      <c r="F67" s="37"/>
      <c r="G67" s="37"/>
      <c r="H67" s="37">
        <f>D67</f>
        <v>31000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115000</v>
      </c>
      <c r="E68" s="37" t="s">
        <v>195</v>
      </c>
      <c r="F68" s="37">
        <f>D68</f>
        <v>115000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23517000</v>
      </c>
      <c r="E70" s="108"/>
      <c r="F70" s="108">
        <f t="shared" ref="F70:P70" si="25">ROUND(SUM(F49:F69),-3)</f>
        <v>7085000</v>
      </c>
      <c r="G70" s="108">
        <f t="shared" si="25"/>
        <v>1625000</v>
      </c>
      <c r="H70" s="108">
        <f t="shared" si="25"/>
        <v>1656000</v>
      </c>
      <c r="I70" s="108">
        <f t="shared" si="25"/>
        <v>1982000</v>
      </c>
      <c r="J70" s="108">
        <f t="shared" si="25"/>
        <v>1625000</v>
      </c>
      <c r="K70" s="108">
        <f t="shared" si="25"/>
        <v>1625000</v>
      </c>
      <c r="L70" s="108">
        <f t="shared" si="25"/>
        <v>1625000</v>
      </c>
      <c r="M70" s="108">
        <f t="shared" si="25"/>
        <v>1625000</v>
      </c>
      <c r="N70" s="108">
        <f t="shared" si="25"/>
        <v>3054000</v>
      </c>
      <c r="O70" s="108">
        <f t="shared" si="25"/>
        <v>1610000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2544000</v>
      </c>
      <c r="E72" s="114" t="s">
        <v>202</v>
      </c>
      <c r="F72" s="37">
        <f>ROUND($D72/12*3,-3)</f>
        <v>636000</v>
      </c>
      <c r="G72" s="37">
        <f>ROUND($D72/12,-3)</f>
        <v>212000</v>
      </c>
      <c r="H72" s="37">
        <f t="shared" ref="H72:N75" si="26">ROUND($D72/12,-3)</f>
        <v>212000</v>
      </c>
      <c r="I72" s="37">
        <f t="shared" si="26"/>
        <v>212000</v>
      </c>
      <c r="J72" s="37">
        <f t="shared" si="26"/>
        <v>212000</v>
      </c>
      <c r="K72" s="37">
        <f t="shared" si="26"/>
        <v>212000</v>
      </c>
      <c r="L72" s="37">
        <f t="shared" si="26"/>
        <v>212000</v>
      </c>
      <c r="M72" s="37">
        <f t="shared" si="26"/>
        <v>212000</v>
      </c>
      <c r="N72" s="37">
        <f t="shared" si="26"/>
        <v>212000</v>
      </c>
      <c r="O72" s="37">
        <f>D72-SUM(F72:N72)</f>
        <v>212000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2544000</v>
      </c>
      <c r="E76" s="108"/>
      <c r="F76" s="108">
        <f>ROUND(SUM(F71:F75),-3)</f>
        <v>636000</v>
      </c>
      <c r="G76" s="108">
        <f t="shared" ref="G76:N76" si="27">ROUND(SUM(G71:G75),-3)</f>
        <v>212000</v>
      </c>
      <c r="H76" s="108">
        <f t="shared" si="27"/>
        <v>212000</v>
      </c>
      <c r="I76" s="108">
        <f t="shared" si="27"/>
        <v>212000</v>
      </c>
      <c r="J76" s="108">
        <f t="shared" si="27"/>
        <v>212000</v>
      </c>
      <c r="K76" s="108">
        <f t="shared" si="27"/>
        <v>212000</v>
      </c>
      <c r="L76" s="108">
        <f t="shared" si="27"/>
        <v>212000</v>
      </c>
      <c r="M76" s="108">
        <f t="shared" si="27"/>
        <v>212000</v>
      </c>
      <c r="N76" s="108">
        <f t="shared" si="27"/>
        <v>212000</v>
      </c>
      <c r="O76" s="108">
        <f>D76-SUM(F76:N76)</f>
        <v>212000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228000</v>
      </c>
      <c r="E77" s="37" t="s">
        <v>681</v>
      </c>
      <c r="F77" s="224"/>
      <c r="G77" s="224"/>
      <c r="H77" s="224">
        <f>ROUND($D77/2,-3)</f>
        <v>114000</v>
      </c>
      <c r="I77" s="224"/>
      <c r="J77" s="224"/>
      <c r="K77" s="224"/>
      <c r="L77" s="224"/>
      <c r="M77" s="224"/>
      <c r="N77" s="224">
        <f>D77-H77</f>
        <v>114000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26289000</v>
      </c>
      <c r="E78" s="227"/>
      <c r="F78" s="227">
        <f>F76+F70+F77</f>
        <v>7721000</v>
      </c>
      <c r="G78" s="227">
        <f t="shared" ref="G78:Q78" si="29">G76+G70+G77</f>
        <v>1837000</v>
      </c>
      <c r="H78" s="227">
        <f t="shared" si="29"/>
        <v>1982000</v>
      </c>
      <c r="I78" s="227">
        <f t="shared" si="29"/>
        <v>2194000</v>
      </c>
      <c r="J78" s="227">
        <f t="shared" si="29"/>
        <v>1837000</v>
      </c>
      <c r="K78" s="227">
        <f t="shared" si="29"/>
        <v>1837000</v>
      </c>
      <c r="L78" s="227">
        <f t="shared" si="29"/>
        <v>1837000</v>
      </c>
      <c r="M78" s="227">
        <f t="shared" si="29"/>
        <v>1837000</v>
      </c>
      <c r="N78" s="227">
        <f t="shared" si="29"/>
        <v>3380000</v>
      </c>
      <c r="O78" s="227">
        <f t="shared" si="29"/>
        <v>1822000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27140000</v>
      </c>
      <c r="E87" s="37"/>
      <c r="F87" s="37">
        <f>F88+F89+F90+F91</f>
        <v>7808000</v>
      </c>
      <c r="G87" s="37">
        <f t="shared" ref="G87:Q87" si="32">G88+G89+G90+G91</f>
        <v>1904000</v>
      </c>
      <c r="H87" s="37">
        <f t="shared" si="32"/>
        <v>2049000</v>
      </c>
      <c r="I87" s="37">
        <f t="shared" si="32"/>
        <v>2261000</v>
      </c>
      <c r="J87" s="37">
        <f t="shared" si="32"/>
        <v>1904000</v>
      </c>
      <c r="K87" s="37">
        <f t="shared" si="32"/>
        <v>1908000</v>
      </c>
      <c r="L87" s="37">
        <f t="shared" si="32"/>
        <v>1920000</v>
      </c>
      <c r="M87" s="37">
        <f t="shared" si="32"/>
        <v>1904000</v>
      </c>
      <c r="N87" s="37">
        <f t="shared" si="32"/>
        <v>3451000</v>
      </c>
      <c r="O87" s="37">
        <f t="shared" si="32"/>
        <v>1889000</v>
      </c>
      <c r="P87" s="37">
        <f t="shared" si="32"/>
        <v>72000</v>
      </c>
      <c r="Q87" s="37">
        <f t="shared" si="32"/>
        <v>70000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0</v>
      </c>
      <c r="E88" s="108" t="s">
        <v>193</v>
      </c>
      <c r="F88" s="108">
        <f>ROUND($D88/2,-3)</f>
        <v>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27139000</v>
      </c>
      <c r="E91" s="108"/>
      <c r="F91" s="108">
        <f>F92+F93+F94+F95</f>
        <v>7808000</v>
      </c>
      <c r="G91" s="108">
        <f t="shared" ref="G91:Q91" si="34">G92+G93+G94+G95</f>
        <v>1904000</v>
      </c>
      <c r="H91" s="108">
        <f t="shared" si="34"/>
        <v>2049000</v>
      </c>
      <c r="I91" s="108">
        <f t="shared" si="34"/>
        <v>2261000</v>
      </c>
      <c r="J91" s="108">
        <f t="shared" si="34"/>
        <v>1904000</v>
      </c>
      <c r="K91" s="108">
        <f t="shared" si="34"/>
        <v>1908000</v>
      </c>
      <c r="L91" s="108">
        <f t="shared" si="34"/>
        <v>1920000</v>
      </c>
      <c r="M91" s="108">
        <f t="shared" si="34"/>
        <v>1904000</v>
      </c>
      <c r="N91" s="108">
        <f t="shared" si="34"/>
        <v>3451000</v>
      </c>
      <c r="O91" s="108">
        <f t="shared" si="34"/>
        <v>1889000</v>
      </c>
      <c r="P91" s="108">
        <f t="shared" si="34"/>
        <v>72000</v>
      </c>
      <c r="Q91" s="108">
        <f t="shared" si="34"/>
        <v>69000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3004000</v>
      </c>
      <c r="E92" s="114" t="s">
        <v>537</v>
      </c>
      <c r="F92" s="37">
        <f>ROUND($D92/12*5,-3)</f>
        <v>1252000</v>
      </c>
      <c r="G92" s="37">
        <f>ROUND($D92/12,-3)</f>
        <v>250000</v>
      </c>
      <c r="H92" s="37">
        <f t="shared" ref="H92:L92" si="35">ROUND($D92/12,-3)</f>
        <v>250000</v>
      </c>
      <c r="I92" s="37">
        <f t="shared" si="35"/>
        <v>250000</v>
      </c>
      <c r="J92" s="37">
        <f t="shared" si="35"/>
        <v>250000</v>
      </c>
      <c r="K92" s="37">
        <f t="shared" si="35"/>
        <v>250000</v>
      </c>
      <c r="L92" s="37">
        <f t="shared" si="35"/>
        <v>250000</v>
      </c>
      <c r="M92" s="37">
        <f>D92-SUM(F92:L92)</f>
        <v>252000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24045000</v>
      </c>
      <c r="E95" s="37"/>
      <c r="F95" s="37">
        <f>F2+F86-F88-F89-F90-F92-F93-F94</f>
        <v>6548000</v>
      </c>
      <c r="G95" s="37">
        <f t="shared" ref="G95:Q95" si="37">G2-G88-G89-G90-G92-G93-G94</f>
        <v>1646000</v>
      </c>
      <c r="H95" s="37">
        <f t="shared" si="37"/>
        <v>1791000</v>
      </c>
      <c r="I95" s="37">
        <f t="shared" si="37"/>
        <v>2003000</v>
      </c>
      <c r="J95" s="37">
        <f t="shared" si="37"/>
        <v>1646000</v>
      </c>
      <c r="K95" s="37">
        <f t="shared" si="37"/>
        <v>1650000</v>
      </c>
      <c r="L95" s="37">
        <f t="shared" si="37"/>
        <v>1662000</v>
      </c>
      <c r="M95" s="37">
        <f t="shared" si="37"/>
        <v>1644000</v>
      </c>
      <c r="N95" s="37">
        <f t="shared" si="37"/>
        <v>3443000</v>
      </c>
      <c r="O95" s="37">
        <f t="shared" si="37"/>
        <v>1881000</v>
      </c>
      <c r="P95" s="37">
        <f t="shared" si="37"/>
        <v>64000</v>
      </c>
      <c r="Q95" s="37">
        <f t="shared" si="37"/>
        <v>67000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700000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1004000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650000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24045000</v>
      </c>
    </row>
    <row r="108" spans="2:17" ht="16.5" customHeight="1"/>
    <row r="109" spans="2:17" ht="16.5" customHeight="1">
      <c r="B109" s="4" t="s">
        <v>682</v>
      </c>
      <c r="D109" s="30">
        <f>D91-D76</f>
        <v>24595000</v>
      </c>
      <c r="F109" s="30">
        <f>F91-F76</f>
        <v>7172000</v>
      </c>
      <c r="G109" s="30">
        <f t="shared" ref="G109:Q109" si="38">G91-G76</f>
        <v>1692000</v>
      </c>
      <c r="H109" s="30">
        <f t="shared" si="38"/>
        <v>1837000</v>
      </c>
      <c r="I109" s="30">
        <f t="shared" si="38"/>
        <v>2049000</v>
      </c>
      <c r="J109" s="30">
        <f t="shared" si="38"/>
        <v>1692000</v>
      </c>
      <c r="K109" s="30">
        <f t="shared" si="38"/>
        <v>1696000</v>
      </c>
      <c r="L109" s="30">
        <f t="shared" si="38"/>
        <v>1708000</v>
      </c>
      <c r="M109" s="30">
        <f t="shared" si="38"/>
        <v>1692000</v>
      </c>
      <c r="N109" s="30">
        <f t="shared" si="38"/>
        <v>3239000</v>
      </c>
      <c r="O109" s="30">
        <f t="shared" si="38"/>
        <v>1677000</v>
      </c>
      <c r="P109" s="30">
        <f t="shared" si="38"/>
        <v>72000</v>
      </c>
      <c r="Q109" s="30">
        <f t="shared" si="38"/>
        <v>69000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38" priority="1" operator="lessThan">
      <formula>0</formula>
    </cfRule>
  </conditionalFormatting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689</v>
      </c>
      <c r="D1" s="28" t="str">
        <f>VLOOKUP(C1,[1]學校編號!A:B,2,FALSE)</f>
        <v>689銅蘭國小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27074000</v>
      </c>
      <c r="E2" s="37"/>
      <c r="F2" s="37">
        <f>F48+F70+F76+F77+F83</f>
        <v>7746000</v>
      </c>
      <c r="G2" s="37">
        <f t="shared" ref="G2:Q2" si="0">G48+G70+G76+G77+G83</f>
        <v>1891000</v>
      </c>
      <c r="H2" s="37">
        <f t="shared" si="0"/>
        <v>2067000</v>
      </c>
      <c r="I2" s="37">
        <f t="shared" si="0"/>
        <v>2262000</v>
      </c>
      <c r="J2" s="37">
        <f t="shared" si="0"/>
        <v>1891000</v>
      </c>
      <c r="K2" s="37">
        <f t="shared" si="0"/>
        <v>1891000</v>
      </c>
      <c r="L2" s="37">
        <f t="shared" si="0"/>
        <v>1910000</v>
      </c>
      <c r="M2" s="37">
        <f t="shared" si="0"/>
        <v>1891000</v>
      </c>
      <c r="N2" s="37">
        <f t="shared" si="0"/>
        <v>3518000</v>
      </c>
      <c r="O2" s="37">
        <f t="shared" si="0"/>
        <v>1884000</v>
      </c>
      <c r="P2" s="37">
        <f t="shared" si="0"/>
        <v>64000</v>
      </c>
      <c r="Q2" s="37">
        <f t="shared" si="0"/>
        <v>59000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120000</v>
      </c>
      <c r="E3" s="37" t="s">
        <v>525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51000</v>
      </c>
      <c r="E4" s="37" t="s">
        <v>525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63000</v>
      </c>
      <c r="E7" s="37" t="s">
        <v>525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86000</v>
      </c>
      <c r="E13" s="37" t="s">
        <v>525</v>
      </c>
      <c r="F13" s="37">
        <f>ROUND($D13/12,0)</f>
        <v>7167</v>
      </c>
      <c r="G13" s="37">
        <f t="shared" si="1"/>
        <v>7167</v>
      </c>
      <c r="H13" s="37">
        <f t="shared" si="1"/>
        <v>7167</v>
      </c>
      <c r="I13" s="37">
        <f t="shared" si="1"/>
        <v>7167</v>
      </c>
      <c r="J13" s="37">
        <f t="shared" si="1"/>
        <v>7167</v>
      </c>
      <c r="K13" s="37">
        <f t="shared" si="1"/>
        <v>7167</v>
      </c>
      <c r="L13" s="37">
        <f t="shared" si="1"/>
        <v>7167</v>
      </c>
      <c r="M13" s="37">
        <f t="shared" si="1"/>
        <v>7167</v>
      </c>
      <c r="N13" s="37">
        <f t="shared" si="1"/>
        <v>7167</v>
      </c>
      <c r="O13" s="37">
        <f t="shared" si="1"/>
        <v>7167</v>
      </c>
      <c r="P13" s="37">
        <f t="shared" si="1"/>
        <v>7167</v>
      </c>
      <c r="Q13" s="37">
        <f>D13-SUM(F13:P13)</f>
        <v>7163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32000</v>
      </c>
      <c r="E15" s="37" t="s">
        <v>193</v>
      </c>
      <c r="F15" s="37">
        <f>ROUND($D15/2,-3)</f>
        <v>16000</v>
      </c>
      <c r="G15" s="37"/>
      <c r="H15" s="37"/>
      <c r="I15" s="37"/>
      <c r="J15" s="37"/>
      <c r="K15" s="37"/>
      <c r="L15" s="37">
        <f>D15-F15</f>
        <v>16000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78000</v>
      </c>
      <c r="E16" s="37" t="s">
        <v>525</v>
      </c>
      <c r="F16" s="37">
        <f>ROUND($D16/12,0)</f>
        <v>6500</v>
      </c>
      <c r="G16" s="37">
        <f t="shared" si="1"/>
        <v>6500</v>
      </c>
      <c r="H16" s="37">
        <f t="shared" si="1"/>
        <v>6500</v>
      </c>
      <c r="I16" s="37">
        <f t="shared" si="1"/>
        <v>6500</v>
      </c>
      <c r="J16" s="37">
        <f t="shared" si="1"/>
        <v>6500</v>
      </c>
      <c r="K16" s="37">
        <f t="shared" si="1"/>
        <v>6500</v>
      </c>
      <c r="L16" s="37">
        <f t="shared" si="1"/>
        <v>6500</v>
      </c>
      <c r="M16" s="37">
        <f t="shared" si="1"/>
        <v>6500</v>
      </c>
      <c r="N16" s="37">
        <f t="shared" si="1"/>
        <v>6500</v>
      </c>
      <c r="O16" s="37">
        <f t="shared" si="1"/>
        <v>6500</v>
      </c>
      <c r="P16" s="37">
        <f t="shared" si="1"/>
        <v>6500</v>
      </c>
      <c r="Q16" s="37">
        <f>D16-SUM(F16:P16)</f>
        <v>6500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42000</v>
      </c>
      <c r="E17" s="37" t="s">
        <v>525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6000</v>
      </c>
      <c r="E24" s="37" t="s">
        <v>193</v>
      </c>
      <c r="F24" s="37">
        <f>ROUND($D24/2,-3)</f>
        <v>3000</v>
      </c>
      <c r="G24" s="37"/>
      <c r="H24" s="37"/>
      <c r="I24" s="37"/>
      <c r="J24" s="37"/>
      <c r="K24" s="37"/>
      <c r="L24" s="37">
        <f>D24-F24</f>
        <v>3000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478000</v>
      </c>
      <c r="E25" s="108"/>
      <c r="F25" s="108">
        <f>ROUND(SUM(F3:F24),-3)</f>
        <v>56000</v>
      </c>
      <c r="G25" s="108">
        <f t="shared" ref="G25:P25" si="5">ROUND(SUM(G3:G24),-3)</f>
        <v>37000</v>
      </c>
      <c r="H25" s="108">
        <f t="shared" si="5"/>
        <v>37000</v>
      </c>
      <c r="I25" s="108">
        <f t="shared" si="5"/>
        <v>37000</v>
      </c>
      <c r="J25" s="108">
        <f t="shared" si="5"/>
        <v>37000</v>
      </c>
      <c r="K25" s="108">
        <f t="shared" si="5"/>
        <v>37000</v>
      </c>
      <c r="L25" s="108">
        <f t="shared" si="5"/>
        <v>56000</v>
      </c>
      <c r="M25" s="108">
        <f t="shared" si="5"/>
        <v>37000</v>
      </c>
      <c r="N25" s="108">
        <f t="shared" si="5"/>
        <v>37000</v>
      </c>
      <c r="O25" s="108">
        <f t="shared" si="5"/>
        <v>37000</v>
      </c>
      <c r="P25" s="108">
        <f t="shared" si="5"/>
        <v>37000</v>
      </c>
      <c r="Q25" s="108">
        <f t="shared" ref="Q25:Q33" si="6">D25-SUM(F25:P25)</f>
        <v>33000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241000</v>
      </c>
      <c r="E27" s="37" t="s">
        <v>525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18000</v>
      </c>
      <c r="E29" s="37" t="s">
        <v>525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9000</v>
      </c>
      <c r="E30" s="37" t="s">
        <v>525</v>
      </c>
      <c r="F30" s="37">
        <f t="shared" si="8"/>
        <v>750</v>
      </c>
      <c r="G30" s="37">
        <f t="shared" si="8"/>
        <v>750</v>
      </c>
      <c r="H30" s="37">
        <f t="shared" si="8"/>
        <v>750</v>
      </c>
      <c r="I30" s="37">
        <f t="shared" si="8"/>
        <v>750</v>
      </c>
      <c r="J30" s="37">
        <f t="shared" si="8"/>
        <v>750</v>
      </c>
      <c r="K30" s="37">
        <f t="shared" si="8"/>
        <v>750</v>
      </c>
      <c r="L30" s="37">
        <f t="shared" si="8"/>
        <v>750</v>
      </c>
      <c r="M30" s="37">
        <f t="shared" si="8"/>
        <v>750</v>
      </c>
      <c r="N30" s="37">
        <f t="shared" si="8"/>
        <v>750</v>
      </c>
      <c r="O30" s="37">
        <f t="shared" si="8"/>
        <v>750</v>
      </c>
      <c r="P30" s="37">
        <f t="shared" si="8"/>
        <v>750</v>
      </c>
      <c r="Q30" s="37">
        <f t="shared" si="6"/>
        <v>750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5000</v>
      </c>
      <c r="E31" s="37" t="s">
        <v>525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273000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20000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751000</v>
      </c>
      <c r="E48" s="37"/>
      <c r="F48" s="115">
        <f>F25+F37+F45+F47</f>
        <v>79000</v>
      </c>
      <c r="G48" s="115">
        <f t="shared" ref="G48:R48" si="14">G25+G37+G45+G47</f>
        <v>60000</v>
      </c>
      <c r="H48" s="115">
        <f t="shared" si="14"/>
        <v>60000</v>
      </c>
      <c r="I48" s="115">
        <f t="shared" si="14"/>
        <v>60000</v>
      </c>
      <c r="J48" s="115">
        <f t="shared" si="14"/>
        <v>60000</v>
      </c>
      <c r="K48" s="115">
        <f t="shared" si="14"/>
        <v>60000</v>
      </c>
      <c r="L48" s="115">
        <f t="shared" si="14"/>
        <v>79000</v>
      </c>
      <c r="M48" s="115">
        <f t="shared" si="14"/>
        <v>60000</v>
      </c>
      <c r="N48" s="115">
        <f t="shared" si="14"/>
        <v>60000</v>
      </c>
      <c r="O48" s="115">
        <f t="shared" si="14"/>
        <v>60000</v>
      </c>
      <c r="P48" s="115">
        <f t="shared" si="14"/>
        <v>60000</v>
      </c>
      <c r="Q48" s="115">
        <f t="shared" si="14"/>
        <v>53000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14214000</v>
      </c>
      <c r="E49" s="114" t="s">
        <v>202</v>
      </c>
      <c r="F49" s="37">
        <f>ROUND($D49/12*3,-3)</f>
        <v>3554000</v>
      </c>
      <c r="G49" s="37">
        <f>ROUND($D49/12,-3)</f>
        <v>1185000</v>
      </c>
      <c r="H49" s="37">
        <f t="shared" ref="H49:N53" si="15">ROUND($D49/12,-3)</f>
        <v>1185000</v>
      </c>
      <c r="I49" s="37">
        <f t="shared" si="15"/>
        <v>1185000</v>
      </c>
      <c r="J49" s="37">
        <f t="shared" si="15"/>
        <v>1185000</v>
      </c>
      <c r="K49" s="37">
        <f t="shared" si="15"/>
        <v>1185000</v>
      </c>
      <c r="L49" s="37">
        <f t="shared" si="15"/>
        <v>1185000</v>
      </c>
      <c r="M49" s="37">
        <f t="shared" si="15"/>
        <v>1185000</v>
      </c>
      <c r="N49" s="37">
        <f t="shared" si="15"/>
        <v>1185000</v>
      </c>
      <c r="O49" s="37">
        <f>D49-SUM(F49:N49)</f>
        <v>1180000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456000</v>
      </c>
      <c r="E50" s="114" t="s">
        <v>202</v>
      </c>
      <c r="F50" s="37">
        <f t="shared" ref="F50:F53" si="16">ROUND($D50/12*3,-3)</f>
        <v>114000</v>
      </c>
      <c r="G50" s="37">
        <f t="shared" ref="G50:G53" si="17">ROUND($D50/12,-3)</f>
        <v>38000</v>
      </c>
      <c r="H50" s="37">
        <f t="shared" si="15"/>
        <v>38000</v>
      </c>
      <c r="I50" s="37">
        <f t="shared" si="15"/>
        <v>38000</v>
      </c>
      <c r="J50" s="37">
        <f t="shared" si="15"/>
        <v>38000</v>
      </c>
      <c r="K50" s="37">
        <f t="shared" si="15"/>
        <v>38000</v>
      </c>
      <c r="L50" s="37">
        <f t="shared" si="15"/>
        <v>38000</v>
      </c>
      <c r="M50" s="37">
        <f t="shared" si="15"/>
        <v>38000</v>
      </c>
      <c r="N50" s="37">
        <f t="shared" si="15"/>
        <v>38000</v>
      </c>
      <c r="O50" s="37">
        <f t="shared" ref="O50:O53" si="18">D50-SUM(F50:N50)</f>
        <v>38000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0</v>
      </c>
      <c r="E51" s="114" t="s">
        <v>202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5"/>
        <v>0</v>
      </c>
      <c r="N51" s="37">
        <f t="shared" si="15"/>
        <v>0</v>
      </c>
      <c r="O51" s="37">
        <f t="shared" si="18"/>
        <v>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0</v>
      </c>
      <c r="E52" s="114" t="s">
        <v>202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5"/>
        <v>0</v>
      </c>
      <c r="N52" s="37">
        <f t="shared" si="15"/>
        <v>0</v>
      </c>
      <c r="O52" s="37">
        <f t="shared" si="18"/>
        <v>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26000</v>
      </c>
      <c r="E54" s="37" t="s">
        <v>525</v>
      </c>
      <c r="F54" s="37">
        <f t="shared" ref="F54:P61" si="19">ROUND($D54/12,0)</f>
        <v>2167</v>
      </c>
      <c r="G54" s="37">
        <f t="shared" si="19"/>
        <v>2167</v>
      </c>
      <c r="H54" s="37">
        <f t="shared" si="19"/>
        <v>2167</v>
      </c>
      <c r="I54" s="37">
        <f t="shared" si="19"/>
        <v>2167</v>
      </c>
      <c r="J54" s="37">
        <f t="shared" si="19"/>
        <v>2167</v>
      </c>
      <c r="K54" s="37">
        <f t="shared" si="19"/>
        <v>2167</v>
      </c>
      <c r="L54" s="37">
        <f t="shared" si="19"/>
        <v>2167</v>
      </c>
      <c r="M54" s="37">
        <f t="shared" si="19"/>
        <v>2167</v>
      </c>
      <c r="N54" s="37">
        <f t="shared" si="19"/>
        <v>2167</v>
      </c>
      <c r="O54" s="37">
        <f t="shared" si="19"/>
        <v>2167</v>
      </c>
      <c r="P54" s="37">
        <f t="shared" si="19"/>
        <v>2167</v>
      </c>
      <c r="Q54" s="37">
        <f t="shared" ref="Q54:Q61" si="20">D54-SUM(F54:P54)</f>
        <v>2163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399000</v>
      </c>
      <c r="E60" s="37" t="s">
        <v>195</v>
      </c>
      <c r="F60" s="37">
        <f>D60</f>
        <v>399000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1854000</v>
      </c>
      <c r="E62" s="37" t="s">
        <v>197</v>
      </c>
      <c r="F62" s="37"/>
      <c r="G62" s="37"/>
      <c r="H62" s="37"/>
      <c r="I62" s="37">
        <f>ROUND($D62/5,-3)</f>
        <v>371000</v>
      </c>
      <c r="J62" s="37"/>
      <c r="K62" s="37"/>
      <c r="L62" s="37"/>
      <c r="M62" s="37"/>
      <c r="N62" s="37">
        <f>D62-I62</f>
        <v>1483000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1658000</v>
      </c>
      <c r="E63" s="37" t="s">
        <v>195</v>
      </c>
      <c r="F63" s="37">
        <f>D63</f>
        <v>1658000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1429000</v>
      </c>
      <c r="E64" s="114" t="s">
        <v>202</v>
      </c>
      <c r="F64" s="37">
        <f>ROUND($D64/12*3,-3)</f>
        <v>357000</v>
      </c>
      <c r="G64" s="37">
        <f>ROUND($D64/12,-3)</f>
        <v>119000</v>
      </c>
      <c r="H64" s="37">
        <f t="shared" ref="H64:N66" si="21">ROUND($D64/12,-3)</f>
        <v>119000</v>
      </c>
      <c r="I64" s="37">
        <f t="shared" si="21"/>
        <v>119000</v>
      </c>
      <c r="J64" s="37">
        <f t="shared" si="21"/>
        <v>119000</v>
      </c>
      <c r="K64" s="37">
        <f t="shared" si="21"/>
        <v>119000</v>
      </c>
      <c r="L64" s="37">
        <f t="shared" si="21"/>
        <v>119000</v>
      </c>
      <c r="M64" s="37">
        <f t="shared" si="21"/>
        <v>119000</v>
      </c>
      <c r="N64" s="37">
        <f t="shared" si="21"/>
        <v>119000</v>
      </c>
      <c r="O64" s="37">
        <f>D64-SUM(F64:N64)</f>
        <v>120000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345000</v>
      </c>
      <c r="E65" s="114" t="s">
        <v>202</v>
      </c>
      <c r="F65" s="37">
        <f t="shared" ref="F65:F66" si="22">ROUND($D65/12*3,-3)</f>
        <v>86000</v>
      </c>
      <c r="G65" s="37">
        <f t="shared" ref="G65:G66" si="23">ROUND($D65/12,-3)</f>
        <v>29000</v>
      </c>
      <c r="H65" s="37">
        <f t="shared" si="21"/>
        <v>29000</v>
      </c>
      <c r="I65" s="37">
        <f t="shared" si="21"/>
        <v>29000</v>
      </c>
      <c r="J65" s="37">
        <f t="shared" si="21"/>
        <v>29000</v>
      </c>
      <c r="K65" s="37">
        <f t="shared" si="21"/>
        <v>29000</v>
      </c>
      <c r="L65" s="37">
        <f t="shared" si="21"/>
        <v>29000</v>
      </c>
      <c r="M65" s="37">
        <f t="shared" si="21"/>
        <v>29000</v>
      </c>
      <c r="N65" s="37">
        <f t="shared" si="21"/>
        <v>29000</v>
      </c>
      <c r="O65" s="37">
        <f t="shared" ref="O65:O66" si="24">D65-SUM(F65:N65)</f>
        <v>27000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1025000</v>
      </c>
      <c r="E66" s="114" t="s">
        <v>202</v>
      </c>
      <c r="F66" s="37">
        <f t="shared" si="22"/>
        <v>256000</v>
      </c>
      <c r="G66" s="37">
        <f t="shared" si="23"/>
        <v>85000</v>
      </c>
      <c r="H66" s="37">
        <f t="shared" si="21"/>
        <v>85000</v>
      </c>
      <c r="I66" s="37">
        <f t="shared" si="21"/>
        <v>85000</v>
      </c>
      <c r="J66" s="37">
        <f t="shared" si="21"/>
        <v>85000</v>
      </c>
      <c r="K66" s="37">
        <f t="shared" si="21"/>
        <v>85000</v>
      </c>
      <c r="L66" s="37">
        <f t="shared" si="21"/>
        <v>85000</v>
      </c>
      <c r="M66" s="37">
        <f t="shared" si="21"/>
        <v>85000</v>
      </c>
      <c r="N66" s="37">
        <f t="shared" si="21"/>
        <v>85000</v>
      </c>
      <c r="O66" s="37">
        <f t="shared" si="24"/>
        <v>89000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31000</v>
      </c>
      <c r="E67" s="37" t="s">
        <v>196</v>
      </c>
      <c r="F67" s="37"/>
      <c r="G67" s="37"/>
      <c r="H67" s="37">
        <f>D67</f>
        <v>31000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128000</v>
      </c>
      <c r="E68" s="37" t="s">
        <v>195</v>
      </c>
      <c r="F68" s="37">
        <f>D68</f>
        <v>128000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21589000</v>
      </c>
      <c r="E70" s="108"/>
      <c r="F70" s="108">
        <f t="shared" ref="F70:P70" si="25">ROUND(SUM(F49:F69),-3)</f>
        <v>6556000</v>
      </c>
      <c r="G70" s="108">
        <f t="shared" si="25"/>
        <v>1460000</v>
      </c>
      <c r="H70" s="108">
        <f t="shared" si="25"/>
        <v>1491000</v>
      </c>
      <c r="I70" s="108">
        <f t="shared" si="25"/>
        <v>1831000</v>
      </c>
      <c r="J70" s="108">
        <f t="shared" si="25"/>
        <v>1460000</v>
      </c>
      <c r="K70" s="108">
        <f t="shared" si="25"/>
        <v>1460000</v>
      </c>
      <c r="L70" s="108">
        <f t="shared" si="25"/>
        <v>1460000</v>
      </c>
      <c r="M70" s="108">
        <f t="shared" si="25"/>
        <v>1460000</v>
      </c>
      <c r="N70" s="108">
        <f t="shared" si="25"/>
        <v>2943000</v>
      </c>
      <c r="O70" s="108">
        <f t="shared" si="25"/>
        <v>1458000</v>
      </c>
      <c r="P70" s="108">
        <f t="shared" si="25"/>
        <v>4000</v>
      </c>
      <c r="Q70" s="108">
        <f>D70-SUM(F70:P70)</f>
        <v>6000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3945000</v>
      </c>
      <c r="E72" s="114" t="s">
        <v>202</v>
      </c>
      <c r="F72" s="37">
        <f>ROUND($D72/12*3,-3)</f>
        <v>986000</v>
      </c>
      <c r="G72" s="37">
        <f>ROUND($D72/12,-3)</f>
        <v>329000</v>
      </c>
      <c r="H72" s="37">
        <f t="shared" ref="H72:N75" si="26">ROUND($D72/12,-3)</f>
        <v>329000</v>
      </c>
      <c r="I72" s="37">
        <f t="shared" si="26"/>
        <v>329000</v>
      </c>
      <c r="J72" s="37">
        <f t="shared" si="26"/>
        <v>329000</v>
      </c>
      <c r="K72" s="37">
        <f t="shared" si="26"/>
        <v>329000</v>
      </c>
      <c r="L72" s="37">
        <f t="shared" si="26"/>
        <v>329000</v>
      </c>
      <c r="M72" s="37">
        <f t="shared" si="26"/>
        <v>329000</v>
      </c>
      <c r="N72" s="37">
        <f t="shared" si="26"/>
        <v>329000</v>
      </c>
      <c r="O72" s="37">
        <f>D72-SUM(F72:N72)</f>
        <v>327000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500000</v>
      </c>
      <c r="E75" s="114" t="s">
        <v>202</v>
      </c>
      <c r="F75" s="37">
        <f>ROUND($D75/12*3,-3)</f>
        <v>125000</v>
      </c>
      <c r="G75" s="37">
        <f>ROUND($D75/12,-3)</f>
        <v>42000</v>
      </c>
      <c r="H75" s="37">
        <f t="shared" si="26"/>
        <v>42000</v>
      </c>
      <c r="I75" s="37">
        <f t="shared" si="26"/>
        <v>42000</v>
      </c>
      <c r="J75" s="37">
        <f t="shared" si="26"/>
        <v>42000</v>
      </c>
      <c r="K75" s="37">
        <f t="shared" si="26"/>
        <v>42000</v>
      </c>
      <c r="L75" s="37">
        <f t="shared" si="26"/>
        <v>42000</v>
      </c>
      <c r="M75" s="37">
        <f t="shared" si="26"/>
        <v>42000</v>
      </c>
      <c r="N75" s="37">
        <f t="shared" si="26"/>
        <v>42000</v>
      </c>
      <c r="O75" s="37">
        <f>D75-SUM(F75:N75)</f>
        <v>39000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4445000</v>
      </c>
      <c r="E76" s="108"/>
      <c r="F76" s="108">
        <f>ROUND(SUM(F71:F75),-3)</f>
        <v>1111000</v>
      </c>
      <c r="G76" s="108">
        <f t="shared" ref="G76:N76" si="27">ROUND(SUM(G71:G75),-3)</f>
        <v>371000</v>
      </c>
      <c r="H76" s="108">
        <f t="shared" si="27"/>
        <v>371000</v>
      </c>
      <c r="I76" s="108">
        <f t="shared" si="27"/>
        <v>371000</v>
      </c>
      <c r="J76" s="108">
        <f t="shared" si="27"/>
        <v>371000</v>
      </c>
      <c r="K76" s="108">
        <f t="shared" si="27"/>
        <v>371000</v>
      </c>
      <c r="L76" s="108">
        <f t="shared" si="27"/>
        <v>371000</v>
      </c>
      <c r="M76" s="108">
        <f t="shared" si="27"/>
        <v>371000</v>
      </c>
      <c r="N76" s="108">
        <f t="shared" si="27"/>
        <v>371000</v>
      </c>
      <c r="O76" s="108">
        <f>D76-SUM(F76:N76)</f>
        <v>366000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289000</v>
      </c>
      <c r="E77" s="37" t="s">
        <v>681</v>
      </c>
      <c r="F77" s="224"/>
      <c r="G77" s="224"/>
      <c r="H77" s="224">
        <f>ROUND($D77/2,-3)</f>
        <v>145000</v>
      </c>
      <c r="I77" s="224"/>
      <c r="J77" s="224"/>
      <c r="K77" s="224"/>
      <c r="L77" s="224"/>
      <c r="M77" s="224"/>
      <c r="N77" s="224">
        <f>D77-H77</f>
        <v>144000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26323000</v>
      </c>
      <c r="E78" s="227"/>
      <c r="F78" s="227">
        <f>F76+F70+F77</f>
        <v>7667000</v>
      </c>
      <c r="G78" s="227">
        <f t="shared" ref="G78:Q78" si="29">G76+G70+G77</f>
        <v>1831000</v>
      </c>
      <c r="H78" s="227">
        <f t="shared" si="29"/>
        <v>2007000</v>
      </c>
      <c r="I78" s="227">
        <f t="shared" si="29"/>
        <v>2202000</v>
      </c>
      <c r="J78" s="227">
        <f t="shared" si="29"/>
        <v>1831000</v>
      </c>
      <c r="K78" s="227">
        <f t="shared" si="29"/>
        <v>1831000</v>
      </c>
      <c r="L78" s="227">
        <f t="shared" si="29"/>
        <v>1831000</v>
      </c>
      <c r="M78" s="227">
        <f t="shared" si="29"/>
        <v>1831000</v>
      </c>
      <c r="N78" s="227">
        <f t="shared" si="29"/>
        <v>3458000</v>
      </c>
      <c r="O78" s="227">
        <f t="shared" si="29"/>
        <v>1824000</v>
      </c>
      <c r="P78" s="227">
        <f t="shared" si="29"/>
        <v>4000</v>
      </c>
      <c r="Q78" s="227">
        <f t="shared" si="29"/>
        <v>6000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27074000</v>
      </c>
      <c r="E87" s="37"/>
      <c r="F87" s="37">
        <f>F88+F89+F90+F91</f>
        <v>7746000</v>
      </c>
      <c r="G87" s="37">
        <f t="shared" ref="G87:Q87" si="32">G88+G89+G90+G91</f>
        <v>1891000</v>
      </c>
      <c r="H87" s="37">
        <f t="shared" si="32"/>
        <v>2067000</v>
      </c>
      <c r="I87" s="37">
        <f t="shared" si="32"/>
        <v>2262000</v>
      </c>
      <c r="J87" s="37">
        <f t="shared" si="32"/>
        <v>1891000</v>
      </c>
      <c r="K87" s="37">
        <f t="shared" si="32"/>
        <v>1891000</v>
      </c>
      <c r="L87" s="37">
        <f t="shared" si="32"/>
        <v>1910000</v>
      </c>
      <c r="M87" s="37">
        <f t="shared" si="32"/>
        <v>1891000</v>
      </c>
      <c r="N87" s="37">
        <f t="shared" si="32"/>
        <v>3518000</v>
      </c>
      <c r="O87" s="37">
        <f t="shared" si="32"/>
        <v>1884000</v>
      </c>
      <c r="P87" s="37">
        <f t="shared" si="32"/>
        <v>64000</v>
      </c>
      <c r="Q87" s="37">
        <f t="shared" si="32"/>
        <v>59000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6000</v>
      </c>
      <c r="E88" s="108" t="s">
        <v>193</v>
      </c>
      <c r="F88" s="108">
        <f>ROUND($D88/2,-3)</f>
        <v>3000</v>
      </c>
      <c r="G88" s="108"/>
      <c r="H88" s="108"/>
      <c r="I88" s="108"/>
      <c r="J88" s="108"/>
      <c r="K88" s="108"/>
      <c r="L88" s="108">
        <f>D88-F88</f>
        <v>3000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27068000</v>
      </c>
      <c r="E91" s="108"/>
      <c r="F91" s="108">
        <f>F92+F93+F94+F95</f>
        <v>7743000</v>
      </c>
      <c r="G91" s="108">
        <f t="shared" ref="G91:Q91" si="34">G92+G93+G94+G95</f>
        <v>1891000</v>
      </c>
      <c r="H91" s="108">
        <f t="shared" si="34"/>
        <v>2067000</v>
      </c>
      <c r="I91" s="108">
        <f t="shared" si="34"/>
        <v>2262000</v>
      </c>
      <c r="J91" s="108">
        <f t="shared" si="34"/>
        <v>1891000</v>
      </c>
      <c r="K91" s="108">
        <f t="shared" si="34"/>
        <v>1891000</v>
      </c>
      <c r="L91" s="108">
        <f t="shared" si="34"/>
        <v>1907000</v>
      </c>
      <c r="M91" s="108">
        <f t="shared" si="34"/>
        <v>1891000</v>
      </c>
      <c r="N91" s="108">
        <f t="shared" si="34"/>
        <v>3518000</v>
      </c>
      <c r="O91" s="108">
        <f t="shared" si="34"/>
        <v>1884000</v>
      </c>
      <c r="P91" s="108">
        <f t="shared" si="34"/>
        <v>64000</v>
      </c>
      <c r="Q91" s="108">
        <f t="shared" si="34"/>
        <v>59000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650000</v>
      </c>
      <c r="E92" s="114" t="s">
        <v>537</v>
      </c>
      <c r="F92" s="37">
        <f>ROUND($D92/12*5,-3)</f>
        <v>271000</v>
      </c>
      <c r="G92" s="37">
        <f>ROUND($D92/12,-3)</f>
        <v>54000</v>
      </c>
      <c r="H92" s="37">
        <f t="shared" ref="H92:L92" si="35">ROUND($D92/12,-3)</f>
        <v>54000</v>
      </c>
      <c r="I92" s="37">
        <f t="shared" si="35"/>
        <v>54000</v>
      </c>
      <c r="J92" s="37">
        <f t="shared" si="35"/>
        <v>54000</v>
      </c>
      <c r="K92" s="37">
        <f t="shared" si="35"/>
        <v>54000</v>
      </c>
      <c r="L92" s="37">
        <f t="shared" si="35"/>
        <v>54000</v>
      </c>
      <c r="M92" s="37">
        <f>D92-SUM(F92:L92)</f>
        <v>55000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77000</v>
      </c>
      <c r="E93" s="189" t="s">
        <v>227</v>
      </c>
      <c r="F93" s="37">
        <f>ROUND($D93/12,-3)</f>
        <v>6000</v>
      </c>
      <c r="G93" s="37">
        <f t="shared" ref="G93:P93" si="36">ROUND($D93/12,-3)</f>
        <v>6000</v>
      </c>
      <c r="H93" s="37">
        <f t="shared" si="36"/>
        <v>6000</v>
      </c>
      <c r="I93" s="37">
        <f t="shared" si="36"/>
        <v>6000</v>
      </c>
      <c r="J93" s="37">
        <f t="shared" si="36"/>
        <v>6000</v>
      </c>
      <c r="K93" s="37">
        <f t="shared" si="36"/>
        <v>6000</v>
      </c>
      <c r="L93" s="37">
        <f t="shared" si="36"/>
        <v>6000</v>
      </c>
      <c r="M93" s="37">
        <f t="shared" si="36"/>
        <v>6000</v>
      </c>
      <c r="N93" s="37">
        <f t="shared" si="36"/>
        <v>6000</v>
      </c>
      <c r="O93" s="37">
        <f t="shared" si="36"/>
        <v>6000</v>
      </c>
      <c r="P93" s="37">
        <f t="shared" si="36"/>
        <v>6000</v>
      </c>
      <c r="Q93" s="37">
        <f>D93-SUM(F93:P93)</f>
        <v>11000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26341000</v>
      </c>
      <c r="E95" s="37"/>
      <c r="F95" s="37">
        <f>F2+F86-F88-F89-F90-F92-F93-F94</f>
        <v>7466000</v>
      </c>
      <c r="G95" s="37">
        <f t="shared" ref="G95:Q95" si="37">G2-G88-G89-G90-G92-G93-G94</f>
        <v>1831000</v>
      </c>
      <c r="H95" s="37">
        <f t="shared" si="37"/>
        <v>2007000</v>
      </c>
      <c r="I95" s="37">
        <f t="shared" si="37"/>
        <v>2202000</v>
      </c>
      <c r="J95" s="37">
        <f t="shared" si="37"/>
        <v>1831000</v>
      </c>
      <c r="K95" s="37">
        <f t="shared" si="37"/>
        <v>1831000</v>
      </c>
      <c r="L95" s="37">
        <f t="shared" si="37"/>
        <v>1847000</v>
      </c>
      <c r="M95" s="37">
        <f t="shared" si="37"/>
        <v>1830000</v>
      </c>
      <c r="N95" s="37">
        <f t="shared" si="37"/>
        <v>3512000</v>
      </c>
      <c r="O95" s="37">
        <f t="shared" si="37"/>
        <v>1878000</v>
      </c>
      <c r="P95" s="37">
        <f t="shared" si="37"/>
        <v>58000</v>
      </c>
      <c r="Q95" s="37">
        <f t="shared" si="37"/>
        <v>48000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0</v>
      </c>
    </row>
    <row r="102" spans="2:17" ht="32.4">
      <c r="B102" s="71" t="s">
        <v>238</v>
      </c>
      <c r="D102" s="30">
        <f>HLOOKUP(D1,[1]縣庫撥款收入明細表!H:DD,16,FALSE)</f>
        <v>72000</v>
      </c>
    </row>
    <row r="103" spans="2:17" ht="32.4">
      <c r="B103" s="72" t="s">
        <v>239</v>
      </c>
      <c r="D103" s="30">
        <f>HLOOKUP(D1,[1]縣庫撥款收入明細表!H:DD,17,FALSE)</f>
        <v>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650000</v>
      </c>
    </row>
    <row r="106" spans="2:17" ht="32.4">
      <c r="B106" s="71" t="s">
        <v>241</v>
      </c>
      <c r="D106" s="30">
        <f>HLOOKUP(D1,[1]縣庫撥款收入明細表!H:DD,20,FALSE)</f>
        <v>5000</v>
      </c>
    </row>
    <row r="107" spans="2:17" ht="32.4">
      <c r="B107" s="77" t="s">
        <v>242</v>
      </c>
      <c r="D107" s="30">
        <f>HLOOKUP(D1,[1]縣庫撥款收入明細表!H:DD,21,FALSE)</f>
        <v>26341000</v>
      </c>
    </row>
    <row r="108" spans="2:17" ht="16.5" customHeight="1"/>
    <row r="109" spans="2:17" ht="16.5" customHeight="1">
      <c r="B109" s="4" t="s">
        <v>682</v>
      </c>
      <c r="D109" s="30">
        <f>D91-D76</f>
        <v>22623000</v>
      </c>
      <c r="F109" s="30">
        <f>F91-F76</f>
        <v>6632000</v>
      </c>
      <c r="G109" s="30">
        <f t="shared" ref="G109:Q109" si="38">G91-G76</f>
        <v>1520000</v>
      </c>
      <c r="H109" s="30">
        <f t="shared" si="38"/>
        <v>1696000</v>
      </c>
      <c r="I109" s="30">
        <f t="shared" si="38"/>
        <v>1891000</v>
      </c>
      <c r="J109" s="30">
        <f t="shared" si="38"/>
        <v>1520000</v>
      </c>
      <c r="K109" s="30">
        <f t="shared" si="38"/>
        <v>1520000</v>
      </c>
      <c r="L109" s="30">
        <f t="shared" si="38"/>
        <v>1536000</v>
      </c>
      <c r="M109" s="30">
        <f t="shared" si="38"/>
        <v>1520000</v>
      </c>
      <c r="N109" s="30">
        <f t="shared" si="38"/>
        <v>3147000</v>
      </c>
      <c r="O109" s="30">
        <f t="shared" si="38"/>
        <v>1518000</v>
      </c>
      <c r="P109" s="30">
        <f t="shared" si="38"/>
        <v>64000</v>
      </c>
      <c r="Q109" s="30">
        <f t="shared" si="38"/>
        <v>59000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36" priority="1" operator="lessThan">
      <formula>0</formula>
    </cfRule>
  </conditionalFormatting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690</v>
      </c>
      <c r="D1" s="28" t="str">
        <f>VLOOKUP(C1,[1]學校編號!A:B,2,FALSE)</f>
        <v>690萬榮國小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30024000</v>
      </c>
      <c r="E2" s="37"/>
      <c r="F2" s="37">
        <f>F48+F70+F76+F77+F83</f>
        <v>8855000</v>
      </c>
      <c r="G2" s="37">
        <f t="shared" ref="G2:Q2" si="0">G48+G70+G76+G77+G83</f>
        <v>2093000</v>
      </c>
      <c r="H2" s="37">
        <f t="shared" si="0"/>
        <v>2302000</v>
      </c>
      <c r="I2" s="37">
        <f t="shared" si="0"/>
        <v>2442000</v>
      </c>
      <c r="J2" s="37">
        <f t="shared" si="0"/>
        <v>2093000</v>
      </c>
      <c r="K2" s="37">
        <f t="shared" si="0"/>
        <v>2095000</v>
      </c>
      <c r="L2" s="37">
        <f t="shared" si="0"/>
        <v>2131000</v>
      </c>
      <c r="M2" s="37">
        <f t="shared" si="0"/>
        <v>2093000</v>
      </c>
      <c r="N2" s="37">
        <f t="shared" si="0"/>
        <v>3667000</v>
      </c>
      <c r="O2" s="37">
        <f t="shared" si="0"/>
        <v>2088000</v>
      </c>
      <c r="P2" s="37">
        <f t="shared" si="0"/>
        <v>82000</v>
      </c>
      <c r="Q2" s="37">
        <f t="shared" si="0"/>
        <v>83000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187000</v>
      </c>
      <c r="E3" s="37" t="s">
        <v>525</v>
      </c>
      <c r="F3" s="37">
        <f t="shared" ref="F3:P17" si="1">ROUND($D3/12,0)</f>
        <v>15583</v>
      </c>
      <c r="G3" s="37">
        <f t="shared" si="1"/>
        <v>15583</v>
      </c>
      <c r="H3" s="37">
        <f t="shared" si="1"/>
        <v>15583</v>
      </c>
      <c r="I3" s="37">
        <f t="shared" si="1"/>
        <v>15583</v>
      </c>
      <c r="J3" s="37">
        <f t="shared" si="1"/>
        <v>15583</v>
      </c>
      <c r="K3" s="37">
        <f t="shared" si="1"/>
        <v>15583</v>
      </c>
      <c r="L3" s="37">
        <f t="shared" si="1"/>
        <v>15583</v>
      </c>
      <c r="M3" s="37">
        <f t="shared" si="1"/>
        <v>15583</v>
      </c>
      <c r="N3" s="37">
        <f t="shared" si="1"/>
        <v>15583</v>
      </c>
      <c r="O3" s="37">
        <f t="shared" si="1"/>
        <v>15583</v>
      </c>
      <c r="P3" s="37">
        <f t="shared" si="1"/>
        <v>15583</v>
      </c>
      <c r="Q3" s="37">
        <f t="shared" ref="Q3:Q10" si="2">D3-SUM(F3:P3)</f>
        <v>15587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80000</v>
      </c>
      <c r="E4" s="37" t="s">
        <v>525</v>
      </c>
      <c r="F4" s="37">
        <f t="shared" si="1"/>
        <v>6667</v>
      </c>
      <c r="G4" s="37">
        <f t="shared" si="1"/>
        <v>6667</v>
      </c>
      <c r="H4" s="37">
        <f t="shared" si="1"/>
        <v>6667</v>
      </c>
      <c r="I4" s="37">
        <f t="shared" si="1"/>
        <v>6667</v>
      </c>
      <c r="J4" s="37">
        <f t="shared" si="1"/>
        <v>6667</v>
      </c>
      <c r="K4" s="37">
        <f t="shared" si="1"/>
        <v>6667</v>
      </c>
      <c r="L4" s="37">
        <f t="shared" si="1"/>
        <v>6667</v>
      </c>
      <c r="M4" s="37">
        <f t="shared" si="1"/>
        <v>6667</v>
      </c>
      <c r="N4" s="37">
        <f t="shared" si="1"/>
        <v>6667</v>
      </c>
      <c r="O4" s="37">
        <f t="shared" si="1"/>
        <v>6667</v>
      </c>
      <c r="P4" s="37">
        <f t="shared" si="1"/>
        <v>6667</v>
      </c>
      <c r="Q4" s="37">
        <f t="shared" si="2"/>
        <v>6663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66000</v>
      </c>
      <c r="E7" s="37" t="s">
        <v>525</v>
      </c>
      <c r="F7" s="37">
        <f t="shared" si="1"/>
        <v>5500</v>
      </c>
      <c r="G7" s="37">
        <f t="shared" si="1"/>
        <v>5500</v>
      </c>
      <c r="H7" s="37">
        <f t="shared" si="1"/>
        <v>5500</v>
      </c>
      <c r="I7" s="37">
        <f t="shared" si="1"/>
        <v>5500</v>
      </c>
      <c r="J7" s="37">
        <f t="shared" si="1"/>
        <v>5500</v>
      </c>
      <c r="K7" s="37">
        <f t="shared" si="1"/>
        <v>5500</v>
      </c>
      <c r="L7" s="37">
        <f t="shared" si="1"/>
        <v>5500</v>
      </c>
      <c r="M7" s="37">
        <f t="shared" si="1"/>
        <v>5500</v>
      </c>
      <c r="N7" s="37">
        <f t="shared" si="1"/>
        <v>5500</v>
      </c>
      <c r="O7" s="37">
        <f t="shared" si="1"/>
        <v>5500</v>
      </c>
      <c r="P7" s="37">
        <f t="shared" si="1"/>
        <v>5500</v>
      </c>
      <c r="Q7" s="37">
        <f t="shared" si="2"/>
        <v>5500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0</v>
      </c>
      <c r="E13" s="37" t="s">
        <v>525</v>
      </c>
      <c r="F13" s="37">
        <f>ROUND($D13/12,0)</f>
        <v>0</v>
      </c>
      <c r="G13" s="37">
        <f t="shared" si="1"/>
        <v>0</v>
      </c>
      <c r="H13" s="37">
        <f t="shared" si="1"/>
        <v>0</v>
      </c>
      <c r="I13" s="37">
        <f t="shared" si="1"/>
        <v>0</v>
      </c>
      <c r="J13" s="37">
        <f t="shared" si="1"/>
        <v>0</v>
      </c>
      <c r="K13" s="37">
        <f t="shared" si="1"/>
        <v>0</v>
      </c>
      <c r="L13" s="37">
        <f t="shared" si="1"/>
        <v>0</v>
      </c>
      <c r="M13" s="37">
        <f t="shared" si="1"/>
        <v>0</v>
      </c>
      <c r="N13" s="37">
        <f t="shared" si="1"/>
        <v>0</v>
      </c>
      <c r="O13" s="37">
        <f t="shared" si="1"/>
        <v>0</v>
      </c>
      <c r="P13" s="37">
        <f t="shared" si="1"/>
        <v>0</v>
      </c>
      <c r="Q13" s="37">
        <f>D13-SUM(F13:P13)</f>
        <v>0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0</v>
      </c>
      <c r="E14" s="37" t="s">
        <v>525</v>
      </c>
      <c r="F14" s="37">
        <f>ROUND($D14/12,0)</f>
        <v>0</v>
      </c>
      <c r="G14" s="37">
        <f t="shared" si="1"/>
        <v>0</v>
      </c>
      <c r="H14" s="37">
        <f t="shared" si="1"/>
        <v>0</v>
      </c>
      <c r="I14" s="37">
        <f t="shared" si="1"/>
        <v>0</v>
      </c>
      <c r="J14" s="37">
        <f t="shared" si="1"/>
        <v>0</v>
      </c>
      <c r="K14" s="37">
        <f t="shared" si="1"/>
        <v>0</v>
      </c>
      <c r="L14" s="37">
        <f t="shared" si="1"/>
        <v>0</v>
      </c>
      <c r="M14" s="37">
        <f t="shared" si="1"/>
        <v>0</v>
      </c>
      <c r="N14" s="37">
        <f t="shared" si="1"/>
        <v>0</v>
      </c>
      <c r="O14" s="37">
        <f t="shared" si="1"/>
        <v>0</v>
      </c>
      <c r="P14" s="37">
        <f t="shared" si="1"/>
        <v>0</v>
      </c>
      <c r="Q14" s="37">
        <f>D14-SUM(F14:P14)</f>
        <v>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46000</v>
      </c>
      <c r="E15" s="37" t="s">
        <v>193</v>
      </c>
      <c r="F15" s="37">
        <f>ROUND($D15/2,-3)</f>
        <v>23000</v>
      </c>
      <c r="G15" s="37"/>
      <c r="H15" s="37"/>
      <c r="I15" s="37"/>
      <c r="J15" s="37"/>
      <c r="K15" s="37"/>
      <c r="L15" s="37">
        <f>D15-F15</f>
        <v>23000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164000</v>
      </c>
      <c r="E16" s="37" t="s">
        <v>525</v>
      </c>
      <c r="F16" s="37">
        <f>ROUND($D16/12,0)</f>
        <v>13667</v>
      </c>
      <c r="G16" s="37">
        <f t="shared" si="1"/>
        <v>13667</v>
      </c>
      <c r="H16" s="37">
        <f t="shared" si="1"/>
        <v>13667</v>
      </c>
      <c r="I16" s="37">
        <f t="shared" si="1"/>
        <v>13667</v>
      </c>
      <c r="J16" s="37">
        <f t="shared" si="1"/>
        <v>13667</v>
      </c>
      <c r="K16" s="37">
        <f t="shared" si="1"/>
        <v>13667</v>
      </c>
      <c r="L16" s="37">
        <f t="shared" si="1"/>
        <v>13667</v>
      </c>
      <c r="M16" s="37">
        <f t="shared" si="1"/>
        <v>13667</v>
      </c>
      <c r="N16" s="37">
        <f t="shared" si="1"/>
        <v>13667</v>
      </c>
      <c r="O16" s="37">
        <f t="shared" si="1"/>
        <v>13667</v>
      </c>
      <c r="P16" s="37">
        <f t="shared" si="1"/>
        <v>13667</v>
      </c>
      <c r="Q16" s="37">
        <f>D16-SUM(F16:P16)</f>
        <v>13663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46000</v>
      </c>
      <c r="E17" s="37" t="s">
        <v>525</v>
      </c>
      <c r="F17" s="37">
        <f>ROUND($D17/12,0)</f>
        <v>3833</v>
      </c>
      <c r="G17" s="37">
        <f t="shared" si="1"/>
        <v>3833</v>
      </c>
      <c r="H17" s="37">
        <f t="shared" si="1"/>
        <v>3833</v>
      </c>
      <c r="I17" s="37">
        <f t="shared" si="1"/>
        <v>3833</v>
      </c>
      <c r="J17" s="37">
        <f t="shared" si="1"/>
        <v>3833</v>
      </c>
      <c r="K17" s="37">
        <f t="shared" si="1"/>
        <v>3833</v>
      </c>
      <c r="L17" s="37">
        <f t="shared" si="1"/>
        <v>3833</v>
      </c>
      <c r="M17" s="37">
        <f t="shared" si="1"/>
        <v>3833</v>
      </c>
      <c r="N17" s="37">
        <f t="shared" si="1"/>
        <v>3833</v>
      </c>
      <c r="O17" s="37">
        <f t="shared" si="1"/>
        <v>3833</v>
      </c>
      <c r="P17" s="37">
        <f t="shared" si="1"/>
        <v>3833</v>
      </c>
      <c r="Q17" s="37">
        <f>D17-SUM(F17:P17)</f>
        <v>3837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30000</v>
      </c>
      <c r="E24" s="37" t="s">
        <v>193</v>
      </c>
      <c r="F24" s="37">
        <f>ROUND($D24/2,-3)</f>
        <v>15000</v>
      </c>
      <c r="G24" s="37"/>
      <c r="H24" s="37"/>
      <c r="I24" s="37"/>
      <c r="J24" s="37"/>
      <c r="K24" s="37"/>
      <c r="L24" s="37">
        <f>D24-F24</f>
        <v>15000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619000</v>
      </c>
      <c r="E25" s="108"/>
      <c r="F25" s="108">
        <f>ROUND(SUM(F3:F24),-3)</f>
        <v>83000</v>
      </c>
      <c r="G25" s="108">
        <f t="shared" ref="G25:P25" si="5">ROUND(SUM(G3:G24),-3)</f>
        <v>45000</v>
      </c>
      <c r="H25" s="108">
        <f t="shared" si="5"/>
        <v>45000</v>
      </c>
      <c r="I25" s="108">
        <f t="shared" si="5"/>
        <v>45000</v>
      </c>
      <c r="J25" s="108">
        <f t="shared" si="5"/>
        <v>45000</v>
      </c>
      <c r="K25" s="108">
        <f t="shared" si="5"/>
        <v>45000</v>
      </c>
      <c r="L25" s="108">
        <f t="shared" si="5"/>
        <v>83000</v>
      </c>
      <c r="M25" s="108">
        <f t="shared" si="5"/>
        <v>45000</v>
      </c>
      <c r="N25" s="108">
        <f t="shared" si="5"/>
        <v>45000</v>
      </c>
      <c r="O25" s="108">
        <f t="shared" si="5"/>
        <v>45000</v>
      </c>
      <c r="P25" s="108">
        <f t="shared" si="5"/>
        <v>45000</v>
      </c>
      <c r="Q25" s="108">
        <f t="shared" ref="Q25:Q33" si="6">D25-SUM(F25:P25)</f>
        <v>48000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266000</v>
      </c>
      <c r="E27" s="37" t="s">
        <v>525</v>
      </c>
      <c r="F27" s="37">
        <f t="shared" ref="F27:P33" si="8">ROUND($D27/12,0)</f>
        <v>22167</v>
      </c>
      <c r="G27" s="37">
        <f t="shared" si="8"/>
        <v>22167</v>
      </c>
      <c r="H27" s="37">
        <f t="shared" si="8"/>
        <v>22167</v>
      </c>
      <c r="I27" s="37">
        <f t="shared" si="8"/>
        <v>22167</v>
      </c>
      <c r="J27" s="37">
        <f t="shared" si="8"/>
        <v>22167</v>
      </c>
      <c r="K27" s="37">
        <f t="shared" si="8"/>
        <v>22167</v>
      </c>
      <c r="L27" s="37">
        <f t="shared" si="8"/>
        <v>22167</v>
      </c>
      <c r="M27" s="37">
        <f t="shared" si="8"/>
        <v>22167</v>
      </c>
      <c r="N27" s="37">
        <f t="shared" si="8"/>
        <v>22167</v>
      </c>
      <c r="O27" s="37">
        <f t="shared" si="8"/>
        <v>22167</v>
      </c>
      <c r="P27" s="37">
        <f t="shared" si="8"/>
        <v>22167</v>
      </c>
      <c r="Q27" s="37">
        <f t="shared" si="6"/>
        <v>22163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22000</v>
      </c>
      <c r="E29" s="37" t="s">
        <v>525</v>
      </c>
      <c r="F29" s="37">
        <f t="shared" si="8"/>
        <v>1833</v>
      </c>
      <c r="G29" s="37">
        <f t="shared" si="8"/>
        <v>1833</v>
      </c>
      <c r="H29" s="37">
        <f t="shared" si="8"/>
        <v>1833</v>
      </c>
      <c r="I29" s="37">
        <f t="shared" si="8"/>
        <v>1833</v>
      </c>
      <c r="J29" s="37">
        <f t="shared" si="8"/>
        <v>1833</v>
      </c>
      <c r="K29" s="37">
        <f t="shared" si="8"/>
        <v>1833</v>
      </c>
      <c r="L29" s="37">
        <f t="shared" si="8"/>
        <v>1833</v>
      </c>
      <c r="M29" s="37">
        <f t="shared" si="8"/>
        <v>1833</v>
      </c>
      <c r="N29" s="37">
        <f t="shared" si="8"/>
        <v>1833</v>
      </c>
      <c r="O29" s="37">
        <f t="shared" si="8"/>
        <v>1833</v>
      </c>
      <c r="P29" s="37">
        <f t="shared" si="8"/>
        <v>1833</v>
      </c>
      <c r="Q29" s="37">
        <f t="shared" si="6"/>
        <v>1837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11000</v>
      </c>
      <c r="E30" s="37" t="s">
        <v>525</v>
      </c>
      <c r="F30" s="37">
        <f t="shared" si="8"/>
        <v>917</v>
      </c>
      <c r="G30" s="37">
        <f t="shared" si="8"/>
        <v>917</v>
      </c>
      <c r="H30" s="37">
        <f t="shared" si="8"/>
        <v>917</v>
      </c>
      <c r="I30" s="37">
        <f t="shared" si="8"/>
        <v>917</v>
      </c>
      <c r="J30" s="37">
        <f t="shared" si="8"/>
        <v>917</v>
      </c>
      <c r="K30" s="37">
        <f t="shared" si="8"/>
        <v>917</v>
      </c>
      <c r="L30" s="37">
        <f t="shared" si="8"/>
        <v>917</v>
      </c>
      <c r="M30" s="37">
        <f t="shared" si="8"/>
        <v>917</v>
      </c>
      <c r="N30" s="37">
        <f t="shared" si="8"/>
        <v>917</v>
      </c>
      <c r="O30" s="37">
        <f t="shared" si="8"/>
        <v>917</v>
      </c>
      <c r="P30" s="37">
        <f t="shared" si="8"/>
        <v>917</v>
      </c>
      <c r="Q30" s="37">
        <f t="shared" si="6"/>
        <v>913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5000</v>
      </c>
      <c r="E31" s="37" t="s">
        <v>525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44000</v>
      </c>
      <c r="E32" s="37" t="s">
        <v>525</v>
      </c>
      <c r="F32" s="37">
        <f t="shared" si="8"/>
        <v>3667</v>
      </c>
      <c r="G32" s="37">
        <f t="shared" si="8"/>
        <v>3667</v>
      </c>
      <c r="H32" s="37">
        <f t="shared" si="8"/>
        <v>3667</v>
      </c>
      <c r="I32" s="37">
        <f t="shared" si="8"/>
        <v>3667</v>
      </c>
      <c r="J32" s="37">
        <f t="shared" si="8"/>
        <v>3667</v>
      </c>
      <c r="K32" s="37">
        <f t="shared" si="8"/>
        <v>3667</v>
      </c>
      <c r="L32" s="37">
        <f t="shared" si="8"/>
        <v>3667</v>
      </c>
      <c r="M32" s="37">
        <f t="shared" si="8"/>
        <v>3667</v>
      </c>
      <c r="N32" s="37">
        <f t="shared" si="8"/>
        <v>3667</v>
      </c>
      <c r="O32" s="37">
        <f t="shared" si="8"/>
        <v>3667</v>
      </c>
      <c r="P32" s="37">
        <f t="shared" si="8"/>
        <v>3667</v>
      </c>
      <c r="Q32" s="37">
        <f t="shared" si="6"/>
        <v>3663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26000</v>
      </c>
      <c r="E33" s="37" t="s">
        <v>525</v>
      </c>
      <c r="F33" s="37">
        <f t="shared" si="8"/>
        <v>2167</v>
      </c>
      <c r="G33" s="37">
        <f t="shared" si="8"/>
        <v>2167</v>
      </c>
      <c r="H33" s="37">
        <f t="shared" si="8"/>
        <v>2167</v>
      </c>
      <c r="I33" s="37">
        <f t="shared" si="8"/>
        <v>2167</v>
      </c>
      <c r="J33" s="37">
        <f t="shared" si="8"/>
        <v>2167</v>
      </c>
      <c r="K33" s="37">
        <f t="shared" si="8"/>
        <v>2167</v>
      </c>
      <c r="L33" s="37">
        <f t="shared" si="8"/>
        <v>2167</v>
      </c>
      <c r="M33" s="37">
        <f t="shared" si="8"/>
        <v>2167</v>
      </c>
      <c r="N33" s="37">
        <f t="shared" si="8"/>
        <v>2167</v>
      </c>
      <c r="O33" s="37">
        <f t="shared" si="8"/>
        <v>2167</v>
      </c>
      <c r="P33" s="37">
        <f t="shared" si="8"/>
        <v>2167</v>
      </c>
      <c r="Q33" s="37">
        <f t="shared" si="6"/>
        <v>2163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374000</v>
      </c>
      <c r="E37" s="108"/>
      <c r="F37" s="108">
        <f t="shared" ref="F37:P37" si="9">ROUND(SUM(F26:F36),-3)</f>
        <v>31000</v>
      </c>
      <c r="G37" s="108">
        <f t="shared" si="9"/>
        <v>31000</v>
      </c>
      <c r="H37" s="108">
        <f t="shared" si="9"/>
        <v>31000</v>
      </c>
      <c r="I37" s="108">
        <f t="shared" si="9"/>
        <v>31000</v>
      </c>
      <c r="J37" s="108">
        <f t="shared" si="9"/>
        <v>31000</v>
      </c>
      <c r="K37" s="108">
        <f t="shared" si="9"/>
        <v>31000</v>
      </c>
      <c r="L37" s="108">
        <f t="shared" si="9"/>
        <v>31000</v>
      </c>
      <c r="M37" s="108">
        <f t="shared" si="9"/>
        <v>31000</v>
      </c>
      <c r="N37" s="108">
        <f t="shared" si="9"/>
        <v>31000</v>
      </c>
      <c r="O37" s="108">
        <f t="shared" si="9"/>
        <v>31000</v>
      </c>
      <c r="P37" s="108">
        <f t="shared" si="9"/>
        <v>31000</v>
      </c>
      <c r="Q37" s="108">
        <f>D37-SUM(F37:P37)</f>
        <v>33000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999000</v>
      </c>
      <c r="E48" s="37"/>
      <c r="F48" s="115">
        <f>F25+F37+F45+F47</f>
        <v>116000</v>
      </c>
      <c r="G48" s="115">
        <f t="shared" ref="G48:R48" si="14">G25+G37+G45+G47</f>
        <v>76000</v>
      </c>
      <c r="H48" s="115">
        <f t="shared" si="14"/>
        <v>76000</v>
      </c>
      <c r="I48" s="115">
        <f t="shared" si="14"/>
        <v>76000</v>
      </c>
      <c r="J48" s="115">
        <f t="shared" si="14"/>
        <v>76000</v>
      </c>
      <c r="K48" s="115">
        <f t="shared" si="14"/>
        <v>78000</v>
      </c>
      <c r="L48" s="115">
        <f t="shared" si="14"/>
        <v>114000</v>
      </c>
      <c r="M48" s="115">
        <f t="shared" si="14"/>
        <v>76000</v>
      </c>
      <c r="N48" s="115">
        <f t="shared" si="14"/>
        <v>78000</v>
      </c>
      <c r="O48" s="115">
        <f t="shared" si="14"/>
        <v>76000</v>
      </c>
      <c r="P48" s="115">
        <f t="shared" si="14"/>
        <v>76000</v>
      </c>
      <c r="Q48" s="115">
        <f t="shared" si="14"/>
        <v>81000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17894000</v>
      </c>
      <c r="E49" s="114" t="s">
        <v>202</v>
      </c>
      <c r="F49" s="37">
        <f>ROUND($D49/12*3,-3)</f>
        <v>4474000</v>
      </c>
      <c r="G49" s="37">
        <f>ROUND($D49/12,-3)</f>
        <v>1491000</v>
      </c>
      <c r="H49" s="37">
        <f t="shared" ref="H49:N53" si="15">ROUND($D49/12,-3)</f>
        <v>1491000</v>
      </c>
      <c r="I49" s="37">
        <f t="shared" si="15"/>
        <v>1491000</v>
      </c>
      <c r="J49" s="37">
        <f t="shared" si="15"/>
        <v>1491000</v>
      </c>
      <c r="K49" s="37">
        <f t="shared" si="15"/>
        <v>1491000</v>
      </c>
      <c r="L49" s="37">
        <f t="shared" si="15"/>
        <v>1491000</v>
      </c>
      <c r="M49" s="37">
        <f t="shared" si="15"/>
        <v>1491000</v>
      </c>
      <c r="N49" s="37">
        <f t="shared" si="15"/>
        <v>1491000</v>
      </c>
      <c r="O49" s="37">
        <f>D49-SUM(F49:N49)</f>
        <v>1492000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456000</v>
      </c>
      <c r="E50" s="114" t="s">
        <v>202</v>
      </c>
      <c r="F50" s="37">
        <f t="shared" ref="F50:F53" si="16">ROUND($D50/12*3,-3)</f>
        <v>114000</v>
      </c>
      <c r="G50" s="37">
        <f t="shared" ref="G50:G53" si="17">ROUND($D50/12,-3)</f>
        <v>38000</v>
      </c>
      <c r="H50" s="37">
        <f t="shared" si="15"/>
        <v>38000</v>
      </c>
      <c r="I50" s="37">
        <f t="shared" si="15"/>
        <v>38000</v>
      </c>
      <c r="J50" s="37">
        <f t="shared" si="15"/>
        <v>38000</v>
      </c>
      <c r="K50" s="37">
        <f t="shared" si="15"/>
        <v>38000</v>
      </c>
      <c r="L50" s="37">
        <f t="shared" si="15"/>
        <v>38000</v>
      </c>
      <c r="M50" s="37">
        <f t="shared" si="15"/>
        <v>38000</v>
      </c>
      <c r="N50" s="37">
        <f t="shared" si="15"/>
        <v>38000</v>
      </c>
      <c r="O50" s="37">
        <f t="shared" ref="O50:O53" si="18">D50-SUM(F50:N50)</f>
        <v>38000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0</v>
      </c>
      <c r="E51" s="114" t="s">
        <v>202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5"/>
        <v>0</v>
      </c>
      <c r="N51" s="37">
        <f t="shared" si="15"/>
        <v>0</v>
      </c>
      <c r="O51" s="37">
        <f t="shared" si="18"/>
        <v>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0</v>
      </c>
      <c r="E52" s="114" t="s">
        <v>202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5"/>
        <v>0</v>
      </c>
      <c r="N52" s="37">
        <f t="shared" si="15"/>
        <v>0</v>
      </c>
      <c r="O52" s="37">
        <f t="shared" si="18"/>
        <v>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44000</v>
      </c>
      <c r="E54" s="37" t="s">
        <v>525</v>
      </c>
      <c r="F54" s="37">
        <f t="shared" ref="F54:P61" si="19">ROUND($D54/12,0)</f>
        <v>3667</v>
      </c>
      <c r="G54" s="37">
        <f t="shared" si="19"/>
        <v>3667</v>
      </c>
      <c r="H54" s="37">
        <f t="shared" si="19"/>
        <v>3667</v>
      </c>
      <c r="I54" s="37">
        <f t="shared" si="19"/>
        <v>3667</v>
      </c>
      <c r="J54" s="37">
        <f t="shared" si="19"/>
        <v>3667</v>
      </c>
      <c r="K54" s="37">
        <f t="shared" si="19"/>
        <v>3667</v>
      </c>
      <c r="L54" s="37">
        <f t="shared" si="19"/>
        <v>3667</v>
      </c>
      <c r="M54" s="37">
        <f t="shared" si="19"/>
        <v>3667</v>
      </c>
      <c r="N54" s="37">
        <f t="shared" si="19"/>
        <v>3667</v>
      </c>
      <c r="O54" s="37">
        <f t="shared" si="19"/>
        <v>3667</v>
      </c>
      <c r="P54" s="37">
        <f t="shared" si="19"/>
        <v>3667</v>
      </c>
      <c r="Q54" s="37">
        <f t="shared" ref="Q54:Q61" si="20">D54-SUM(F54:P54)</f>
        <v>3663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463000</v>
      </c>
      <c r="E60" s="37" t="s">
        <v>195</v>
      </c>
      <c r="F60" s="37">
        <f>D60</f>
        <v>463000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1744000</v>
      </c>
      <c r="E62" s="37" t="s">
        <v>197</v>
      </c>
      <c r="F62" s="37"/>
      <c r="G62" s="37"/>
      <c r="H62" s="37"/>
      <c r="I62" s="37">
        <f>ROUND($D62/5,-3)</f>
        <v>349000</v>
      </c>
      <c r="J62" s="37"/>
      <c r="K62" s="37"/>
      <c r="L62" s="37"/>
      <c r="M62" s="37"/>
      <c r="N62" s="37">
        <f>D62-I62</f>
        <v>1395000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2074000</v>
      </c>
      <c r="E63" s="37" t="s">
        <v>195</v>
      </c>
      <c r="F63" s="37">
        <f>D63</f>
        <v>2074000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1762000</v>
      </c>
      <c r="E64" s="114" t="s">
        <v>202</v>
      </c>
      <c r="F64" s="37">
        <f>ROUND($D64/12*3,-3)</f>
        <v>441000</v>
      </c>
      <c r="G64" s="37">
        <f>ROUND($D64/12,-3)</f>
        <v>147000</v>
      </c>
      <c r="H64" s="37">
        <f t="shared" ref="H64:N66" si="21">ROUND($D64/12,-3)</f>
        <v>147000</v>
      </c>
      <c r="I64" s="37">
        <f t="shared" si="21"/>
        <v>147000</v>
      </c>
      <c r="J64" s="37">
        <f t="shared" si="21"/>
        <v>147000</v>
      </c>
      <c r="K64" s="37">
        <f t="shared" si="21"/>
        <v>147000</v>
      </c>
      <c r="L64" s="37">
        <f t="shared" si="21"/>
        <v>147000</v>
      </c>
      <c r="M64" s="37">
        <f t="shared" si="21"/>
        <v>147000</v>
      </c>
      <c r="N64" s="37">
        <f t="shared" si="21"/>
        <v>147000</v>
      </c>
      <c r="O64" s="37">
        <f>D64-SUM(F64:N64)</f>
        <v>145000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404000</v>
      </c>
      <c r="E65" s="114" t="s">
        <v>202</v>
      </c>
      <c r="F65" s="37">
        <f t="shared" ref="F65:F66" si="22">ROUND($D65/12*3,-3)</f>
        <v>101000</v>
      </c>
      <c r="G65" s="37">
        <f t="shared" ref="G65:G66" si="23">ROUND($D65/12,-3)</f>
        <v>34000</v>
      </c>
      <c r="H65" s="37">
        <f t="shared" si="21"/>
        <v>34000</v>
      </c>
      <c r="I65" s="37">
        <f t="shared" si="21"/>
        <v>34000</v>
      </c>
      <c r="J65" s="37">
        <f t="shared" si="21"/>
        <v>34000</v>
      </c>
      <c r="K65" s="37">
        <f t="shared" si="21"/>
        <v>34000</v>
      </c>
      <c r="L65" s="37">
        <f t="shared" si="21"/>
        <v>34000</v>
      </c>
      <c r="M65" s="37">
        <f t="shared" si="21"/>
        <v>34000</v>
      </c>
      <c r="N65" s="37">
        <f t="shared" si="21"/>
        <v>34000</v>
      </c>
      <c r="O65" s="37">
        <f t="shared" ref="O65:O66" si="24">D65-SUM(F65:N65)</f>
        <v>31000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1328000</v>
      </c>
      <c r="E66" s="114" t="s">
        <v>202</v>
      </c>
      <c r="F66" s="37">
        <f t="shared" si="22"/>
        <v>332000</v>
      </c>
      <c r="G66" s="37">
        <f t="shared" si="23"/>
        <v>111000</v>
      </c>
      <c r="H66" s="37">
        <f t="shared" si="21"/>
        <v>111000</v>
      </c>
      <c r="I66" s="37">
        <f t="shared" si="21"/>
        <v>111000</v>
      </c>
      <c r="J66" s="37">
        <f t="shared" si="21"/>
        <v>111000</v>
      </c>
      <c r="K66" s="37">
        <f t="shared" si="21"/>
        <v>111000</v>
      </c>
      <c r="L66" s="37">
        <f t="shared" si="21"/>
        <v>111000</v>
      </c>
      <c r="M66" s="37">
        <f t="shared" si="21"/>
        <v>111000</v>
      </c>
      <c r="N66" s="37">
        <f t="shared" si="21"/>
        <v>111000</v>
      </c>
      <c r="O66" s="37">
        <f t="shared" si="24"/>
        <v>108000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31000</v>
      </c>
      <c r="E67" s="37" t="s">
        <v>196</v>
      </c>
      <c r="F67" s="37"/>
      <c r="G67" s="37"/>
      <c r="H67" s="37">
        <f>D67</f>
        <v>31000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163000</v>
      </c>
      <c r="E68" s="37" t="s">
        <v>195</v>
      </c>
      <c r="F68" s="37">
        <f>D68</f>
        <v>163000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26387000</v>
      </c>
      <c r="E70" s="108"/>
      <c r="F70" s="108">
        <f t="shared" ref="F70:P70" si="25">ROUND(SUM(F49:F69),-3)</f>
        <v>8168000</v>
      </c>
      <c r="G70" s="108">
        <f t="shared" si="25"/>
        <v>1827000</v>
      </c>
      <c r="H70" s="108">
        <f t="shared" si="25"/>
        <v>1858000</v>
      </c>
      <c r="I70" s="108">
        <f t="shared" si="25"/>
        <v>2176000</v>
      </c>
      <c r="J70" s="108">
        <f t="shared" si="25"/>
        <v>1827000</v>
      </c>
      <c r="K70" s="108">
        <f t="shared" si="25"/>
        <v>1827000</v>
      </c>
      <c r="L70" s="108">
        <f t="shared" si="25"/>
        <v>1827000</v>
      </c>
      <c r="M70" s="108">
        <f t="shared" si="25"/>
        <v>1827000</v>
      </c>
      <c r="N70" s="108">
        <f t="shared" si="25"/>
        <v>3222000</v>
      </c>
      <c r="O70" s="108">
        <f t="shared" si="25"/>
        <v>1820000</v>
      </c>
      <c r="P70" s="108">
        <f t="shared" si="25"/>
        <v>6000</v>
      </c>
      <c r="Q70" s="108">
        <f>D70-SUM(F70:P70)</f>
        <v>2000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2283000</v>
      </c>
      <c r="E72" s="114" t="s">
        <v>202</v>
      </c>
      <c r="F72" s="37">
        <f>ROUND($D72/12*3,-3)</f>
        <v>571000</v>
      </c>
      <c r="G72" s="37">
        <f>ROUND($D72/12,-3)</f>
        <v>190000</v>
      </c>
      <c r="H72" s="37">
        <f t="shared" ref="H72:N75" si="26">ROUND($D72/12,-3)</f>
        <v>190000</v>
      </c>
      <c r="I72" s="37">
        <f t="shared" si="26"/>
        <v>190000</v>
      </c>
      <c r="J72" s="37">
        <f t="shared" si="26"/>
        <v>190000</v>
      </c>
      <c r="K72" s="37">
        <f t="shared" si="26"/>
        <v>190000</v>
      </c>
      <c r="L72" s="37">
        <f t="shared" si="26"/>
        <v>190000</v>
      </c>
      <c r="M72" s="37">
        <f t="shared" si="26"/>
        <v>190000</v>
      </c>
      <c r="N72" s="37">
        <f t="shared" si="26"/>
        <v>190000</v>
      </c>
      <c r="O72" s="37">
        <f>D72-SUM(F72:N72)</f>
        <v>192000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2283000</v>
      </c>
      <c r="E76" s="108"/>
      <c r="F76" s="108">
        <f>ROUND(SUM(F71:F75),-3)</f>
        <v>571000</v>
      </c>
      <c r="G76" s="108">
        <f t="shared" ref="G76:N76" si="27">ROUND(SUM(G71:G75),-3)</f>
        <v>190000</v>
      </c>
      <c r="H76" s="108">
        <f t="shared" si="27"/>
        <v>190000</v>
      </c>
      <c r="I76" s="108">
        <f t="shared" si="27"/>
        <v>190000</v>
      </c>
      <c r="J76" s="108">
        <f t="shared" si="27"/>
        <v>190000</v>
      </c>
      <c r="K76" s="108">
        <f t="shared" si="27"/>
        <v>190000</v>
      </c>
      <c r="L76" s="108">
        <f t="shared" si="27"/>
        <v>190000</v>
      </c>
      <c r="M76" s="108">
        <f t="shared" si="27"/>
        <v>190000</v>
      </c>
      <c r="N76" s="108">
        <f t="shared" si="27"/>
        <v>190000</v>
      </c>
      <c r="O76" s="108">
        <f>D76-SUM(F76:N76)</f>
        <v>192000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355000</v>
      </c>
      <c r="E77" s="37" t="s">
        <v>681</v>
      </c>
      <c r="F77" s="224"/>
      <c r="G77" s="224"/>
      <c r="H77" s="224">
        <f>ROUND($D77/2,-3)</f>
        <v>178000</v>
      </c>
      <c r="I77" s="224"/>
      <c r="J77" s="224"/>
      <c r="K77" s="224"/>
      <c r="L77" s="224"/>
      <c r="M77" s="224"/>
      <c r="N77" s="224">
        <f>D77-H77</f>
        <v>177000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29025000</v>
      </c>
      <c r="E78" s="227"/>
      <c r="F78" s="227">
        <f>F76+F70+F77</f>
        <v>8739000</v>
      </c>
      <c r="G78" s="227">
        <f t="shared" ref="G78:Q78" si="29">G76+G70+G77</f>
        <v>2017000</v>
      </c>
      <c r="H78" s="227">
        <f t="shared" si="29"/>
        <v>2226000</v>
      </c>
      <c r="I78" s="227">
        <f t="shared" si="29"/>
        <v>2366000</v>
      </c>
      <c r="J78" s="227">
        <f t="shared" si="29"/>
        <v>2017000</v>
      </c>
      <c r="K78" s="227">
        <f t="shared" si="29"/>
        <v>2017000</v>
      </c>
      <c r="L78" s="227">
        <f t="shared" si="29"/>
        <v>2017000</v>
      </c>
      <c r="M78" s="227">
        <f t="shared" si="29"/>
        <v>2017000</v>
      </c>
      <c r="N78" s="227">
        <f t="shared" si="29"/>
        <v>3589000</v>
      </c>
      <c r="O78" s="227">
        <f t="shared" si="29"/>
        <v>2012000</v>
      </c>
      <c r="P78" s="227">
        <f t="shared" si="29"/>
        <v>6000</v>
      </c>
      <c r="Q78" s="227">
        <f t="shared" si="29"/>
        <v>2000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30024000</v>
      </c>
      <c r="E87" s="37"/>
      <c r="F87" s="37">
        <f>F88+F89+F90+F91</f>
        <v>8855000</v>
      </c>
      <c r="G87" s="37">
        <f t="shared" ref="G87:Q87" si="32">G88+G89+G90+G91</f>
        <v>2093000</v>
      </c>
      <c r="H87" s="37">
        <f t="shared" si="32"/>
        <v>2302000</v>
      </c>
      <c r="I87" s="37">
        <f t="shared" si="32"/>
        <v>2442000</v>
      </c>
      <c r="J87" s="37">
        <f t="shared" si="32"/>
        <v>2093000</v>
      </c>
      <c r="K87" s="37">
        <f t="shared" si="32"/>
        <v>2095000</v>
      </c>
      <c r="L87" s="37">
        <f t="shared" si="32"/>
        <v>2131000</v>
      </c>
      <c r="M87" s="37">
        <f t="shared" si="32"/>
        <v>2093000</v>
      </c>
      <c r="N87" s="37">
        <f t="shared" si="32"/>
        <v>3667000</v>
      </c>
      <c r="O87" s="37">
        <f t="shared" si="32"/>
        <v>2088000</v>
      </c>
      <c r="P87" s="37">
        <f t="shared" si="32"/>
        <v>82000</v>
      </c>
      <c r="Q87" s="37">
        <f t="shared" si="32"/>
        <v>83000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30000</v>
      </c>
      <c r="E88" s="108" t="s">
        <v>193</v>
      </c>
      <c r="F88" s="108">
        <f>ROUND($D88/2,-3)</f>
        <v>15000</v>
      </c>
      <c r="G88" s="108"/>
      <c r="H88" s="108"/>
      <c r="I88" s="108"/>
      <c r="J88" s="108"/>
      <c r="K88" s="108"/>
      <c r="L88" s="108">
        <f>D88-F88</f>
        <v>15000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29993000</v>
      </c>
      <c r="E91" s="108"/>
      <c r="F91" s="108">
        <f>F92+F93+F94+F95</f>
        <v>8840000</v>
      </c>
      <c r="G91" s="108">
        <f t="shared" ref="G91:Q91" si="34">G92+G93+G94+G95</f>
        <v>2093000</v>
      </c>
      <c r="H91" s="108">
        <f t="shared" si="34"/>
        <v>2302000</v>
      </c>
      <c r="I91" s="108">
        <f t="shared" si="34"/>
        <v>2442000</v>
      </c>
      <c r="J91" s="108">
        <f t="shared" si="34"/>
        <v>2093000</v>
      </c>
      <c r="K91" s="108">
        <f t="shared" si="34"/>
        <v>2095000</v>
      </c>
      <c r="L91" s="108">
        <f t="shared" si="34"/>
        <v>2116000</v>
      </c>
      <c r="M91" s="108">
        <f t="shared" si="34"/>
        <v>2093000</v>
      </c>
      <c r="N91" s="108">
        <f t="shared" si="34"/>
        <v>3667000</v>
      </c>
      <c r="O91" s="108">
        <f t="shared" si="34"/>
        <v>2088000</v>
      </c>
      <c r="P91" s="108">
        <f t="shared" si="34"/>
        <v>82000</v>
      </c>
      <c r="Q91" s="108">
        <f t="shared" si="34"/>
        <v>82000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1300000</v>
      </c>
      <c r="E92" s="114" t="s">
        <v>537</v>
      </c>
      <c r="F92" s="37">
        <f>ROUND($D92/12*5,-3)</f>
        <v>542000</v>
      </c>
      <c r="G92" s="37">
        <f>ROUND($D92/12,-3)</f>
        <v>108000</v>
      </c>
      <c r="H92" s="37">
        <f t="shared" ref="H92:L92" si="35">ROUND($D92/12,-3)</f>
        <v>108000</v>
      </c>
      <c r="I92" s="37">
        <f t="shared" si="35"/>
        <v>108000</v>
      </c>
      <c r="J92" s="37">
        <f t="shared" si="35"/>
        <v>108000</v>
      </c>
      <c r="K92" s="37">
        <f t="shared" si="35"/>
        <v>108000</v>
      </c>
      <c r="L92" s="37">
        <f t="shared" si="35"/>
        <v>108000</v>
      </c>
      <c r="M92" s="37">
        <f>D92-SUM(F92:L92)</f>
        <v>110000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128000</v>
      </c>
      <c r="E93" s="189" t="s">
        <v>227</v>
      </c>
      <c r="F93" s="37">
        <f>ROUND($D93/12,-3)</f>
        <v>11000</v>
      </c>
      <c r="G93" s="37">
        <f t="shared" ref="G93:P93" si="36">ROUND($D93/12,-3)</f>
        <v>11000</v>
      </c>
      <c r="H93" s="37">
        <f t="shared" si="36"/>
        <v>11000</v>
      </c>
      <c r="I93" s="37">
        <f t="shared" si="36"/>
        <v>11000</v>
      </c>
      <c r="J93" s="37">
        <f t="shared" si="36"/>
        <v>11000</v>
      </c>
      <c r="K93" s="37">
        <f t="shared" si="36"/>
        <v>11000</v>
      </c>
      <c r="L93" s="37">
        <f t="shared" si="36"/>
        <v>11000</v>
      </c>
      <c r="M93" s="37">
        <f t="shared" si="36"/>
        <v>11000</v>
      </c>
      <c r="N93" s="37">
        <f t="shared" si="36"/>
        <v>11000</v>
      </c>
      <c r="O93" s="37">
        <f t="shared" si="36"/>
        <v>11000</v>
      </c>
      <c r="P93" s="37">
        <f t="shared" si="36"/>
        <v>11000</v>
      </c>
      <c r="Q93" s="37">
        <f>D93-SUM(F93:P93)</f>
        <v>7000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28565000</v>
      </c>
      <c r="E95" s="37"/>
      <c r="F95" s="37">
        <f>F2+F86-F88-F89-F90-F92-F93-F94</f>
        <v>8287000</v>
      </c>
      <c r="G95" s="37">
        <f t="shared" ref="G95:Q95" si="37">G2-G88-G89-G90-G92-G93-G94</f>
        <v>1974000</v>
      </c>
      <c r="H95" s="37">
        <f t="shared" si="37"/>
        <v>2183000</v>
      </c>
      <c r="I95" s="37">
        <f t="shared" si="37"/>
        <v>2323000</v>
      </c>
      <c r="J95" s="37">
        <f t="shared" si="37"/>
        <v>1974000</v>
      </c>
      <c r="K95" s="37">
        <f t="shared" si="37"/>
        <v>1976000</v>
      </c>
      <c r="L95" s="37">
        <f t="shared" si="37"/>
        <v>1997000</v>
      </c>
      <c r="M95" s="37">
        <f t="shared" si="37"/>
        <v>1972000</v>
      </c>
      <c r="N95" s="37">
        <f t="shared" si="37"/>
        <v>3656000</v>
      </c>
      <c r="O95" s="37">
        <f t="shared" si="37"/>
        <v>2077000</v>
      </c>
      <c r="P95" s="37">
        <f t="shared" si="37"/>
        <v>71000</v>
      </c>
      <c r="Q95" s="37">
        <f t="shared" si="37"/>
        <v>75000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0</v>
      </c>
    </row>
    <row r="102" spans="2:17" ht="32.4">
      <c r="B102" s="71" t="s">
        <v>238</v>
      </c>
      <c r="D102" s="30">
        <f>HLOOKUP(D1,[1]縣庫撥款收入明細表!H:DD,16,FALSE)</f>
        <v>120000</v>
      </c>
    </row>
    <row r="103" spans="2:17" ht="32.4">
      <c r="B103" s="72" t="s">
        <v>239</v>
      </c>
      <c r="D103" s="30">
        <f>HLOOKUP(D1,[1]縣庫撥款收入明細表!H:DD,17,FALSE)</f>
        <v>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1300000</v>
      </c>
    </row>
    <row r="106" spans="2:17" ht="32.4">
      <c r="B106" s="71" t="s">
        <v>241</v>
      </c>
      <c r="D106" s="30">
        <f>HLOOKUP(D1,[1]縣庫撥款收入明細表!H:DD,20,FALSE)</f>
        <v>8000</v>
      </c>
    </row>
    <row r="107" spans="2:17" ht="32.4">
      <c r="B107" s="77" t="s">
        <v>242</v>
      </c>
      <c r="D107" s="30">
        <f>HLOOKUP(D1,[1]縣庫撥款收入明細表!H:DD,21,FALSE)</f>
        <v>28565000</v>
      </c>
    </row>
    <row r="108" spans="2:17" ht="16.5" customHeight="1"/>
    <row r="109" spans="2:17" ht="16.5" customHeight="1">
      <c r="B109" s="4" t="s">
        <v>682</v>
      </c>
      <c r="D109" s="30">
        <f>D91-D76</f>
        <v>27710000</v>
      </c>
      <c r="F109" s="30">
        <f>F91-F76</f>
        <v>8269000</v>
      </c>
      <c r="G109" s="30">
        <f t="shared" ref="G109:Q109" si="38">G91-G76</f>
        <v>1903000</v>
      </c>
      <c r="H109" s="30">
        <f t="shared" si="38"/>
        <v>2112000</v>
      </c>
      <c r="I109" s="30">
        <f t="shared" si="38"/>
        <v>2252000</v>
      </c>
      <c r="J109" s="30">
        <f t="shared" si="38"/>
        <v>1903000</v>
      </c>
      <c r="K109" s="30">
        <f t="shared" si="38"/>
        <v>1905000</v>
      </c>
      <c r="L109" s="30">
        <f t="shared" si="38"/>
        <v>1926000</v>
      </c>
      <c r="M109" s="30">
        <f t="shared" si="38"/>
        <v>1903000</v>
      </c>
      <c r="N109" s="30">
        <f t="shared" si="38"/>
        <v>3477000</v>
      </c>
      <c r="O109" s="30">
        <f t="shared" si="38"/>
        <v>1896000</v>
      </c>
      <c r="P109" s="30">
        <f t="shared" si="38"/>
        <v>82000</v>
      </c>
      <c r="Q109" s="30">
        <f t="shared" si="38"/>
        <v>82000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34" priority="1" operator="lessThan">
      <formula>0</formula>
    </cfRule>
  </conditionalFormatting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691</v>
      </c>
      <c r="D1" s="28" t="str">
        <f>VLOOKUP(C1,[1]學校編號!A:B,2,FALSE)</f>
        <v>691西林國小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28270000</v>
      </c>
      <c r="E2" s="37"/>
      <c r="F2" s="37">
        <f>F48+F70+F76+F77+F83</f>
        <v>8145000</v>
      </c>
      <c r="G2" s="37">
        <f t="shared" ref="G2:Q2" si="0">G48+G70+G76+G77+G83</f>
        <v>2044000</v>
      </c>
      <c r="H2" s="37">
        <f t="shared" si="0"/>
        <v>2076000</v>
      </c>
      <c r="I2" s="37">
        <f t="shared" si="0"/>
        <v>2350000</v>
      </c>
      <c r="J2" s="37">
        <f t="shared" si="0"/>
        <v>2044000</v>
      </c>
      <c r="K2" s="37">
        <f t="shared" si="0"/>
        <v>2046000</v>
      </c>
      <c r="L2" s="37">
        <f t="shared" si="0"/>
        <v>2065000</v>
      </c>
      <c r="M2" s="37">
        <f t="shared" si="0"/>
        <v>2044000</v>
      </c>
      <c r="N2" s="37">
        <f t="shared" si="0"/>
        <v>3271000</v>
      </c>
      <c r="O2" s="37">
        <f t="shared" si="0"/>
        <v>2048000</v>
      </c>
      <c r="P2" s="37">
        <f t="shared" si="0"/>
        <v>75000</v>
      </c>
      <c r="Q2" s="37">
        <f t="shared" si="0"/>
        <v>62000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80000</v>
      </c>
      <c r="E14" s="37" t="s">
        <v>525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32000</v>
      </c>
      <c r="E15" s="37" t="s">
        <v>193</v>
      </c>
      <c r="F15" s="37">
        <f>ROUND($D15/2,-3)</f>
        <v>16000</v>
      </c>
      <c r="G15" s="37"/>
      <c r="H15" s="37"/>
      <c r="I15" s="37"/>
      <c r="J15" s="37"/>
      <c r="K15" s="37"/>
      <c r="L15" s="37">
        <f>D15-F15</f>
        <v>16000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578000</v>
      </c>
      <c r="E25" s="108"/>
      <c r="F25" s="108">
        <f>ROUND(SUM(F3:F24),-3)</f>
        <v>62000</v>
      </c>
      <c r="G25" s="108">
        <f t="shared" ref="G25:P25" si="5">ROUND(SUM(G3:G24),-3)</f>
        <v>46000</v>
      </c>
      <c r="H25" s="108">
        <f t="shared" si="5"/>
        <v>46000</v>
      </c>
      <c r="I25" s="108">
        <f t="shared" si="5"/>
        <v>46000</v>
      </c>
      <c r="J25" s="108">
        <f t="shared" si="5"/>
        <v>46000</v>
      </c>
      <c r="K25" s="108">
        <f t="shared" si="5"/>
        <v>46000</v>
      </c>
      <c r="L25" s="108">
        <f t="shared" si="5"/>
        <v>62000</v>
      </c>
      <c r="M25" s="108">
        <f t="shared" si="5"/>
        <v>46000</v>
      </c>
      <c r="N25" s="108">
        <f t="shared" si="5"/>
        <v>46000</v>
      </c>
      <c r="O25" s="108">
        <f t="shared" si="5"/>
        <v>46000</v>
      </c>
      <c r="P25" s="108">
        <f t="shared" si="5"/>
        <v>46000</v>
      </c>
      <c r="Q25" s="108">
        <f t="shared" ref="Q25:Q33" si="6">D25-SUM(F25:P25)</f>
        <v>40000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13000</v>
      </c>
      <c r="E30" s="37" t="s">
        <v>525</v>
      </c>
      <c r="F30" s="37">
        <f t="shared" si="8"/>
        <v>1083</v>
      </c>
      <c r="G30" s="37">
        <f t="shared" si="8"/>
        <v>1083</v>
      </c>
      <c r="H30" s="37">
        <f t="shared" si="8"/>
        <v>1083</v>
      </c>
      <c r="I30" s="37">
        <f t="shared" si="8"/>
        <v>1083</v>
      </c>
      <c r="J30" s="37">
        <f t="shared" si="8"/>
        <v>1083</v>
      </c>
      <c r="K30" s="37">
        <f t="shared" si="8"/>
        <v>1083</v>
      </c>
      <c r="L30" s="37">
        <f t="shared" si="8"/>
        <v>1083</v>
      </c>
      <c r="M30" s="37">
        <f t="shared" si="8"/>
        <v>1083</v>
      </c>
      <c r="N30" s="37">
        <f t="shared" si="8"/>
        <v>1083</v>
      </c>
      <c r="O30" s="37">
        <f t="shared" si="8"/>
        <v>1083</v>
      </c>
      <c r="P30" s="37">
        <f t="shared" si="8"/>
        <v>1083</v>
      </c>
      <c r="Q30" s="37">
        <f t="shared" si="6"/>
        <v>1087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7000</v>
      </c>
      <c r="E31" s="37" t="s">
        <v>525</v>
      </c>
      <c r="F31" s="37">
        <f t="shared" si="8"/>
        <v>583</v>
      </c>
      <c r="G31" s="37">
        <f t="shared" si="8"/>
        <v>583</v>
      </c>
      <c r="H31" s="37">
        <f t="shared" si="8"/>
        <v>583</v>
      </c>
      <c r="I31" s="37">
        <f t="shared" si="8"/>
        <v>583</v>
      </c>
      <c r="J31" s="37">
        <f t="shared" si="8"/>
        <v>583</v>
      </c>
      <c r="K31" s="37">
        <f t="shared" si="8"/>
        <v>583</v>
      </c>
      <c r="L31" s="37">
        <f t="shared" si="8"/>
        <v>583</v>
      </c>
      <c r="M31" s="37">
        <f t="shared" si="8"/>
        <v>583</v>
      </c>
      <c r="N31" s="37">
        <f t="shared" si="8"/>
        <v>583</v>
      </c>
      <c r="O31" s="37">
        <f t="shared" si="8"/>
        <v>583</v>
      </c>
      <c r="P31" s="37">
        <f t="shared" si="8"/>
        <v>583</v>
      </c>
      <c r="Q31" s="37">
        <f t="shared" si="6"/>
        <v>587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10000</v>
      </c>
      <c r="E36" s="37" t="s">
        <v>193</v>
      </c>
      <c r="F36" s="37">
        <f>ROUND($D36/2,-3)</f>
        <v>5000</v>
      </c>
      <c r="G36" s="37"/>
      <c r="H36" s="37"/>
      <c r="I36" s="37"/>
      <c r="J36" s="37"/>
      <c r="K36" s="37"/>
      <c r="L36" s="37">
        <f>D36-F36</f>
        <v>5000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296000</v>
      </c>
      <c r="E37" s="108"/>
      <c r="F37" s="108">
        <f t="shared" ref="F37:P37" si="9">ROUND(SUM(F26:F36),-3)</f>
        <v>29000</v>
      </c>
      <c r="G37" s="108">
        <f t="shared" si="9"/>
        <v>24000</v>
      </c>
      <c r="H37" s="108">
        <f t="shared" si="9"/>
        <v>24000</v>
      </c>
      <c r="I37" s="108">
        <f t="shared" si="9"/>
        <v>24000</v>
      </c>
      <c r="J37" s="108">
        <f t="shared" si="9"/>
        <v>24000</v>
      </c>
      <c r="K37" s="108">
        <f t="shared" si="9"/>
        <v>24000</v>
      </c>
      <c r="L37" s="108">
        <f t="shared" si="9"/>
        <v>29000</v>
      </c>
      <c r="M37" s="108">
        <f t="shared" si="9"/>
        <v>24000</v>
      </c>
      <c r="N37" s="108">
        <f t="shared" si="9"/>
        <v>24000</v>
      </c>
      <c r="O37" s="108">
        <f t="shared" si="9"/>
        <v>24000</v>
      </c>
      <c r="P37" s="108">
        <f t="shared" si="9"/>
        <v>24000</v>
      </c>
      <c r="Q37" s="108">
        <f>D37-SUM(F37:P37)</f>
        <v>22000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880000</v>
      </c>
      <c r="E48" s="37"/>
      <c r="F48" s="115">
        <f>F25+F37+F45+F47</f>
        <v>93000</v>
      </c>
      <c r="G48" s="115">
        <f t="shared" ref="G48:R48" si="14">G25+G37+G45+G47</f>
        <v>70000</v>
      </c>
      <c r="H48" s="115">
        <f t="shared" si="14"/>
        <v>70000</v>
      </c>
      <c r="I48" s="115">
        <f t="shared" si="14"/>
        <v>70000</v>
      </c>
      <c r="J48" s="115">
        <f t="shared" si="14"/>
        <v>70000</v>
      </c>
      <c r="K48" s="115">
        <f t="shared" si="14"/>
        <v>72000</v>
      </c>
      <c r="L48" s="115">
        <f t="shared" si="14"/>
        <v>91000</v>
      </c>
      <c r="M48" s="115">
        <f t="shared" si="14"/>
        <v>70000</v>
      </c>
      <c r="N48" s="115">
        <f t="shared" si="14"/>
        <v>72000</v>
      </c>
      <c r="O48" s="115">
        <f t="shared" si="14"/>
        <v>70000</v>
      </c>
      <c r="P48" s="115">
        <f t="shared" si="14"/>
        <v>70000</v>
      </c>
      <c r="Q48" s="115">
        <f t="shared" si="14"/>
        <v>62000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14471000</v>
      </c>
      <c r="E49" s="114" t="s">
        <v>202</v>
      </c>
      <c r="F49" s="37">
        <f>ROUND($D49/12*3,-3)</f>
        <v>3618000</v>
      </c>
      <c r="G49" s="37">
        <f>ROUND($D49/12,-3)</f>
        <v>1206000</v>
      </c>
      <c r="H49" s="37">
        <f t="shared" ref="H49:N53" si="15">ROUND($D49/12,-3)</f>
        <v>1206000</v>
      </c>
      <c r="I49" s="37">
        <f t="shared" si="15"/>
        <v>1206000</v>
      </c>
      <c r="J49" s="37">
        <f t="shared" si="15"/>
        <v>1206000</v>
      </c>
      <c r="K49" s="37">
        <f t="shared" si="15"/>
        <v>1206000</v>
      </c>
      <c r="L49" s="37">
        <f t="shared" si="15"/>
        <v>1206000</v>
      </c>
      <c r="M49" s="37">
        <f t="shared" si="15"/>
        <v>1206000</v>
      </c>
      <c r="N49" s="37">
        <f t="shared" si="15"/>
        <v>1206000</v>
      </c>
      <c r="O49" s="37">
        <f>D49-SUM(F49:N49)</f>
        <v>1205000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1349000</v>
      </c>
      <c r="E51" s="114" t="s">
        <v>202</v>
      </c>
      <c r="F51" s="37">
        <f t="shared" si="16"/>
        <v>337000</v>
      </c>
      <c r="G51" s="37">
        <f t="shared" si="17"/>
        <v>112000</v>
      </c>
      <c r="H51" s="37">
        <f t="shared" si="15"/>
        <v>112000</v>
      </c>
      <c r="I51" s="37">
        <f t="shared" si="15"/>
        <v>112000</v>
      </c>
      <c r="J51" s="37">
        <f t="shared" si="15"/>
        <v>112000</v>
      </c>
      <c r="K51" s="37">
        <f t="shared" si="15"/>
        <v>112000</v>
      </c>
      <c r="L51" s="37">
        <f t="shared" si="15"/>
        <v>112000</v>
      </c>
      <c r="M51" s="37">
        <f t="shared" si="15"/>
        <v>112000</v>
      </c>
      <c r="N51" s="37">
        <f t="shared" si="15"/>
        <v>112000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376000</v>
      </c>
      <c r="E60" s="37" t="s">
        <v>195</v>
      </c>
      <c r="F60" s="37">
        <f>D60</f>
        <v>376000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1530000</v>
      </c>
      <c r="E62" s="37" t="s">
        <v>197</v>
      </c>
      <c r="F62" s="37"/>
      <c r="G62" s="37"/>
      <c r="H62" s="37"/>
      <c r="I62" s="37">
        <f>ROUND($D62/5,-3)</f>
        <v>306000</v>
      </c>
      <c r="J62" s="37"/>
      <c r="K62" s="37"/>
      <c r="L62" s="37"/>
      <c r="M62" s="37"/>
      <c r="N62" s="37">
        <f>D62-I62</f>
        <v>1224000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1648000</v>
      </c>
      <c r="E63" s="37" t="s">
        <v>195</v>
      </c>
      <c r="F63" s="37">
        <f>D63</f>
        <v>1648000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1418000</v>
      </c>
      <c r="E64" s="114" t="s">
        <v>202</v>
      </c>
      <c r="F64" s="37">
        <f>ROUND($D64/12*3,-3)</f>
        <v>355000</v>
      </c>
      <c r="G64" s="37">
        <f>ROUND($D64/12,-3)</f>
        <v>118000</v>
      </c>
      <c r="H64" s="37">
        <f t="shared" ref="H64:N66" si="21">ROUND($D64/12,-3)</f>
        <v>118000</v>
      </c>
      <c r="I64" s="37">
        <f t="shared" si="21"/>
        <v>118000</v>
      </c>
      <c r="J64" s="37">
        <f t="shared" si="21"/>
        <v>118000</v>
      </c>
      <c r="K64" s="37">
        <f t="shared" si="21"/>
        <v>118000</v>
      </c>
      <c r="L64" s="37">
        <f t="shared" si="21"/>
        <v>118000</v>
      </c>
      <c r="M64" s="37">
        <f t="shared" si="21"/>
        <v>118000</v>
      </c>
      <c r="N64" s="37">
        <f t="shared" si="21"/>
        <v>118000</v>
      </c>
      <c r="O64" s="37">
        <f>D64-SUM(F64:N64)</f>
        <v>119000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321000</v>
      </c>
      <c r="E65" s="114" t="s">
        <v>202</v>
      </c>
      <c r="F65" s="37">
        <f t="shared" ref="F65:F66" si="22">ROUND($D65/12*3,-3)</f>
        <v>80000</v>
      </c>
      <c r="G65" s="37">
        <f t="shared" ref="G65:G66" si="23">ROUND($D65/12,-3)</f>
        <v>27000</v>
      </c>
      <c r="H65" s="37">
        <f t="shared" si="21"/>
        <v>27000</v>
      </c>
      <c r="I65" s="37">
        <f t="shared" si="21"/>
        <v>27000</v>
      </c>
      <c r="J65" s="37">
        <f t="shared" si="21"/>
        <v>27000</v>
      </c>
      <c r="K65" s="37">
        <f t="shared" si="21"/>
        <v>27000</v>
      </c>
      <c r="L65" s="37">
        <f t="shared" si="21"/>
        <v>27000</v>
      </c>
      <c r="M65" s="37">
        <f t="shared" si="21"/>
        <v>27000</v>
      </c>
      <c r="N65" s="37">
        <f t="shared" si="21"/>
        <v>27000</v>
      </c>
      <c r="O65" s="37">
        <f t="shared" ref="O65:O66" si="24">D65-SUM(F65:N65)</f>
        <v>25000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1065000</v>
      </c>
      <c r="E66" s="114" t="s">
        <v>202</v>
      </c>
      <c r="F66" s="37">
        <f t="shared" si="22"/>
        <v>266000</v>
      </c>
      <c r="G66" s="37">
        <f t="shared" si="23"/>
        <v>89000</v>
      </c>
      <c r="H66" s="37">
        <f t="shared" si="21"/>
        <v>89000</v>
      </c>
      <c r="I66" s="37">
        <f t="shared" si="21"/>
        <v>89000</v>
      </c>
      <c r="J66" s="37">
        <f t="shared" si="21"/>
        <v>89000</v>
      </c>
      <c r="K66" s="37">
        <f t="shared" si="21"/>
        <v>89000</v>
      </c>
      <c r="L66" s="37">
        <f t="shared" si="21"/>
        <v>89000</v>
      </c>
      <c r="M66" s="37">
        <f t="shared" si="21"/>
        <v>89000</v>
      </c>
      <c r="N66" s="37">
        <f t="shared" si="21"/>
        <v>89000</v>
      </c>
      <c r="O66" s="37">
        <f t="shared" si="24"/>
        <v>87000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31000</v>
      </c>
      <c r="E67" s="37" t="s">
        <v>196</v>
      </c>
      <c r="F67" s="37"/>
      <c r="G67" s="37"/>
      <c r="H67" s="37">
        <f>D67</f>
        <v>31000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115000</v>
      </c>
      <c r="E68" s="37" t="s">
        <v>195</v>
      </c>
      <c r="F68" s="37">
        <f>D68</f>
        <v>115000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22644000</v>
      </c>
      <c r="E70" s="108"/>
      <c r="F70" s="108">
        <f t="shared" ref="F70:P70" si="25">ROUND(SUM(F49:F69),-3)</f>
        <v>6866000</v>
      </c>
      <c r="G70" s="108">
        <f t="shared" si="25"/>
        <v>1579000</v>
      </c>
      <c r="H70" s="108">
        <f t="shared" si="25"/>
        <v>1610000</v>
      </c>
      <c r="I70" s="108">
        <f t="shared" si="25"/>
        <v>1885000</v>
      </c>
      <c r="J70" s="108">
        <f t="shared" si="25"/>
        <v>1579000</v>
      </c>
      <c r="K70" s="108">
        <f t="shared" si="25"/>
        <v>1579000</v>
      </c>
      <c r="L70" s="108">
        <f t="shared" si="25"/>
        <v>1579000</v>
      </c>
      <c r="M70" s="108">
        <f t="shared" si="25"/>
        <v>1579000</v>
      </c>
      <c r="N70" s="108">
        <f t="shared" si="25"/>
        <v>2803000</v>
      </c>
      <c r="O70" s="108">
        <f t="shared" si="25"/>
        <v>1580000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4744000</v>
      </c>
      <c r="E72" s="114" t="s">
        <v>202</v>
      </c>
      <c r="F72" s="37">
        <f>ROUND($D72/12*3,-3)</f>
        <v>1186000</v>
      </c>
      <c r="G72" s="37">
        <f>ROUND($D72/12,-3)</f>
        <v>395000</v>
      </c>
      <c r="H72" s="37">
        <f t="shared" ref="H72:N75" si="26">ROUND($D72/12,-3)</f>
        <v>395000</v>
      </c>
      <c r="I72" s="37">
        <f t="shared" si="26"/>
        <v>395000</v>
      </c>
      <c r="J72" s="37">
        <f t="shared" si="26"/>
        <v>395000</v>
      </c>
      <c r="K72" s="37">
        <f t="shared" si="26"/>
        <v>395000</v>
      </c>
      <c r="L72" s="37">
        <f t="shared" si="26"/>
        <v>395000</v>
      </c>
      <c r="M72" s="37">
        <f t="shared" si="26"/>
        <v>395000</v>
      </c>
      <c r="N72" s="37">
        <f t="shared" si="26"/>
        <v>395000</v>
      </c>
      <c r="O72" s="37">
        <f>D72-SUM(F72:N72)</f>
        <v>398000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4744000</v>
      </c>
      <c r="E76" s="108"/>
      <c r="F76" s="108">
        <f>ROUND(SUM(F71:F75),-3)</f>
        <v>1186000</v>
      </c>
      <c r="G76" s="108">
        <f t="shared" ref="G76:N76" si="27">ROUND(SUM(G71:G75),-3)</f>
        <v>395000</v>
      </c>
      <c r="H76" s="108">
        <f t="shared" si="27"/>
        <v>395000</v>
      </c>
      <c r="I76" s="108">
        <f t="shared" si="27"/>
        <v>395000</v>
      </c>
      <c r="J76" s="108">
        <f t="shared" si="27"/>
        <v>395000</v>
      </c>
      <c r="K76" s="108">
        <f t="shared" si="27"/>
        <v>395000</v>
      </c>
      <c r="L76" s="108">
        <f t="shared" si="27"/>
        <v>395000</v>
      </c>
      <c r="M76" s="108">
        <f t="shared" si="27"/>
        <v>395000</v>
      </c>
      <c r="N76" s="108">
        <f t="shared" si="27"/>
        <v>395000</v>
      </c>
      <c r="O76" s="108">
        <f>D76-SUM(F76:N76)</f>
        <v>398000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2000</v>
      </c>
      <c r="E77" s="37" t="s">
        <v>681</v>
      </c>
      <c r="F77" s="224"/>
      <c r="G77" s="224"/>
      <c r="H77" s="224">
        <f>ROUND($D77/2,-3)</f>
        <v>1000</v>
      </c>
      <c r="I77" s="224"/>
      <c r="J77" s="224"/>
      <c r="K77" s="224"/>
      <c r="L77" s="224"/>
      <c r="M77" s="224"/>
      <c r="N77" s="224">
        <f>D77-H77</f>
        <v>1000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27390000</v>
      </c>
      <c r="E78" s="227"/>
      <c r="F78" s="227">
        <f>F76+F70+F77</f>
        <v>8052000</v>
      </c>
      <c r="G78" s="227">
        <f t="shared" ref="G78:Q78" si="29">G76+G70+G77</f>
        <v>1974000</v>
      </c>
      <c r="H78" s="227">
        <f t="shared" si="29"/>
        <v>2006000</v>
      </c>
      <c r="I78" s="227">
        <f t="shared" si="29"/>
        <v>2280000</v>
      </c>
      <c r="J78" s="227">
        <f t="shared" si="29"/>
        <v>1974000</v>
      </c>
      <c r="K78" s="227">
        <f t="shared" si="29"/>
        <v>1974000</v>
      </c>
      <c r="L78" s="227">
        <f t="shared" si="29"/>
        <v>1974000</v>
      </c>
      <c r="M78" s="227">
        <f t="shared" si="29"/>
        <v>1974000</v>
      </c>
      <c r="N78" s="227">
        <f t="shared" si="29"/>
        <v>3199000</v>
      </c>
      <c r="O78" s="227">
        <f t="shared" si="29"/>
        <v>1978000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28270000</v>
      </c>
      <c r="E87" s="37"/>
      <c r="F87" s="37">
        <f>F88+F89+F90+F91</f>
        <v>8145000</v>
      </c>
      <c r="G87" s="37">
        <f t="shared" ref="G87:Q87" si="32">G88+G89+G90+G91</f>
        <v>2044000</v>
      </c>
      <c r="H87" s="37">
        <f t="shared" si="32"/>
        <v>2076000</v>
      </c>
      <c r="I87" s="37">
        <f t="shared" si="32"/>
        <v>2350000</v>
      </c>
      <c r="J87" s="37">
        <f t="shared" si="32"/>
        <v>2044000</v>
      </c>
      <c r="K87" s="37">
        <f t="shared" si="32"/>
        <v>2046000</v>
      </c>
      <c r="L87" s="37">
        <f t="shared" si="32"/>
        <v>2065000</v>
      </c>
      <c r="M87" s="37">
        <f t="shared" si="32"/>
        <v>2044000</v>
      </c>
      <c r="N87" s="37">
        <f t="shared" si="32"/>
        <v>3271000</v>
      </c>
      <c r="O87" s="37">
        <f t="shared" si="32"/>
        <v>2048000</v>
      </c>
      <c r="P87" s="37">
        <f t="shared" si="32"/>
        <v>75000</v>
      </c>
      <c r="Q87" s="37">
        <f t="shared" si="32"/>
        <v>62000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10000</v>
      </c>
      <c r="E88" s="108" t="s">
        <v>193</v>
      </c>
      <c r="F88" s="108">
        <f>ROUND($D88/2,-3)</f>
        <v>5000</v>
      </c>
      <c r="G88" s="108"/>
      <c r="H88" s="108"/>
      <c r="I88" s="108"/>
      <c r="J88" s="108"/>
      <c r="K88" s="108"/>
      <c r="L88" s="108">
        <f>D88-F88</f>
        <v>5000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28259000</v>
      </c>
      <c r="E91" s="108"/>
      <c r="F91" s="108">
        <f>F92+F93+F94+F95</f>
        <v>8140000</v>
      </c>
      <c r="G91" s="108">
        <f t="shared" ref="G91:Q91" si="34">G92+G93+G94+G95</f>
        <v>2044000</v>
      </c>
      <c r="H91" s="108">
        <f t="shared" si="34"/>
        <v>2076000</v>
      </c>
      <c r="I91" s="108">
        <f t="shared" si="34"/>
        <v>2350000</v>
      </c>
      <c r="J91" s="108">
        <f t="shared" si="34"/>
        <v>2044000</v>
      </c>
      <c r="K91" s="108">
        <f t="shared" si="34"/>
        <v>2046000</v>
      </c>
      <c r="L91" s="108">
        <f t="shared" si="34"/>
        <v>2060000</v>
      </c>
      <c r="M91" s="108">
        <f t="shared" si="34"/>
        <v>2044000</v>
      </c>
      <c r="N91" s="108">
        <f t="shared" si="34"/>
        <v>3271000</v>
      </c>
      <c r="O91" s="108">
        <f t="shared" si="34"/>
        <v>2048000</v>
      </c>
      <c r="P91" s="108">
        <f t="shared" si="34"/>
        <v>75000</v>
      </c>
      <c r="Q91" s="108">
        <f t="shared" si="34"/>
        <v>61000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2965000</v>
      </c>
      <c r="E92" s="114" t="s">
        <v>537</v>
      </c>
      <c r="F92" s="37">
        <f>ROUND($D92/12*5,-3)</f>
        <v>1235000</v>
      </c>
      <c r="G92" s="37">
        <f>ROUND($D92/12,-3)</f>
        <v>247000</v>
      </c>
      <c r="H92" s="37">
        <f t="shared" ref="H92:L92" si="35">ROUND($D92/12,-3)</f>
        <v>247000</v>
      </c>
      <c r="I92" s="37">
        <f t="shared" si="35"/>
        <v>247000</v>
      </c>
      <c r="J92" s="37">
        <f t="shared" si="35"/>
        <v>247000</v>
      </c>
      <c r="K92" s="37">
        <f t="shared" si="35"/>
        <v>247000</v>
      </c>
      <c r="L92" s="37">
        <f t="shared" si="35"/>
        <v>247000</v>
      </c>
      <c r="M92" s="37">
        <f>D92-SUM(F92:L92)</f>
        <v>248000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14000</v>
      </c>
      <c r="E94" s="190" t="s">
        <v>229</v>
      </c>
      <c r="F94" s="37"/>
      <c r="G94" s="37"/>
      <c r="H94" s="37">
        <f>ROUND($D94/2,-3)</f>
        <v>7000</v>
      </c>
      <c r="I94" s="37"/>
      <c r="J94" s="37"/>
      <c r="K94" s="37"/>
      <c r="L94" s="37"/>
      <c r="M94" s="37"/>
      <c r="N94" s="37"/>
      <c r="O94" s="37">
        <f>D94-H94</f>
        <v>7000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25190000</v>
      </c>
      <c r="E95" s="37"/>
      <c r="F95" s="37">
        <f>F2+F86-F88-F89-F90-F92-F93-F94</f>
        <v>6897000</v>
      </c>
      <c r="G95" s="37">
        <f t="shared" ref="G95:Q95" si="37">G2-G88-G89-G90-G92-G93-G94</f>
        <v>1789000</v>
      </c>
      <c r="H95" s="37">
        <f t="shared" si="37"/>
        <v>1814000</v>
      </c>
      <c r="I95" s="37">
        <f t="shared" si="37"/>
        <v>2095000</v>
      </c>
      <c r="J95" s="37">
        <f t="shared" si="37"/>
        <v>1789000</v>
      </c>
      <c r="K95" s="37">
        <f t="shared" si="37"/>
        <v>1791000</v>
      </c>
      <c r="L95" s="37">
        <f t="shared" si="37"/>
        <v>1805000</v>
      </c>
      <c r="M95" s="37">
        <f t="shared" si="37"/>
        <v>1788000</v>
      </c>
      <c r="N95" s="37">
        <f t="shared" si="37"/>
        <v>3263000</v>
      </c>
      <c r="O95" s="37">
        <f t="shared" si="37"/>
        <v>2033000</v>
      </c>
      <c r="P95" s="37">
        <f t="shared" si="37"/>
        <v>67000</v>
      </c>
      <c r="Q95" s="37">
        <f t="shared" si="37"/>
        <v>59000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1300000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0</v>
      </c>
    </row>
    <row r="104" spans="2:17" ht="32.4">
      <c r="B104" s="76" t="s">
        <v>240</v>
      </c>
      <c r="D104" s="30">
        <f>HLOOKUP(D1,[1]縣庫撥款收入明細表!H:DD,18,FALSE)</f>
        <v>14000</v>
      </c>
    </row>
    <row r="105" spans="2:17" ht="32.4">
      <c r="B105" s="72" t="s">
        <v>380</v>
      </c>
      <c r="D105" s="30">
        <f>HLOOKUP(D1,[1]縣庫撥款收入明細表!H:DD,19,FALSE)</f>
        <v>650000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25190000</v>
      </c>
    </row>
    <row r="108" spans="2:17" ht="16.5" customHeight="1"/>
    <row r="109" spans="2:17" ht="16.5" customHeight="1">
      <c r="B109" s="4" t="s">
        <v>682</v>
      </c>
      <c r="D109" s="30">
        <f>D91-D76</f>
        <v>23515000</v>
      </c>
      <c r="F109" s="30">
        <f>F91-F76</f>
        <v>6954000</v>
      </c>
      <c r="G109" s="30">
        <f t="shared" ref="G109:Q109" si="38">G91-G76</f>
        <v>1649000</v>
      </c>
      <c r="H109" s="30">
        <f t="shared" si="38"/>
        <v>1681000</v>
      </c>
      <c r="I109" s="30">
        <f t="shared" si="38"/>
        <v>1955000</v>
      </c>
      <c r="J109" s="30">
        <f t="shared" si="38"/>
        <v>1649000</v>
      </c>
      <c r="K109" s="30">
        <f t="shared" si="38"/>
        <v>1651000</v>
      </c>
      <c r="L109" s="30">
        <f t="shared" si="38"/>
        <v>1665000</v>
      </c>
      <c r="M109" s="30">
        <f t="shared" si="38"/>
        <v>1649000</v>
      </c>
      <c r="N109" s="30">
        <f t="shared" si="38"/>
        <v>2876000</v>
      </c>
      <c r="O109" s="30">
        <f t="shared" si="38"/>
        <v>1650000</v>
      </c>
      <c r="P109" s="30">
        <f t="shared" si="38"/>
        <v>75000</v>
      </c>
      <c r="Q109" s="30">
        <f t="shared" si="38"/>
        <v>61000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32" priority="1" operator="lessThan">
      <formula>0</formula>
    </cfRule>
  </conditionalFormatting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692</v>
      </c>
      <c r="D1" s="28" t="str">
        <f>VLOOKUP(C1,[1]學校編號!A:B,2,FALSE)</f>
        <v>692見晴國小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26340000</v>
      </c>
      <c r="E2" s="37"/>
      <c r="F2" s="37">
        <f>F48+F70+F76+F77+F83</f>
        <v>7636000</v>
      </c>
      <c r="G2" s="37">
        <f t="shared" ref="G2:Q2" si="0">G48+G70+G76+G77+G83</f>
        <v>1860000</v>
      </c>
      <c r="H2" s="37">
        <f t="shared" si="0"/>
        <v>2017000</v>
      </c>
      <c r="I2" s="37">
        <f t="shared" si="0"/>
        <v>2164000</v>
      </c>
      <c r="J2" s="37">
        <f t="shared" si="0"/>
        <v>1860000</v>
      </c>
      <c r="K2" s="37">
        <f t="shared" si="0"/>
        <v>1860000</v>
      </c>
      <c r="L2" s="37">
        <f t="shared" si="0"/>
        <v>1877000</v>
      </c>
      <c r="M2" s="37">
        <f t="shared" si="0"/>
        <v>1860000</v>
      </c>
      <c r="N2" s="37">
        <f t="shared" si="0"/>
        <v>3205000</v>
      </c>
      <c r="O2" s="37">
        <f t="shared" si="0"/>
        <v>1861000</v>
      </c>
      <c r="P2" s="37">
        <f t="shared" si="0"/>
        <v>72000</v>
      </c>
      <c r="Q2" s="37">
        <f t="shared" si="0"/>
        <v>68000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164000</v>
      </c>
      <c r="E13" s="37" t="s">
        <v>525</v>
      </c>
      <c r="F13" s="37">
        <f>ROUND($D13/12,0)</f>
        <v>13667</v>
      </c>
      <c r="G13" s="37">
        <f t="shared" si="1"/>
        <v>13667</v>
      </c>
      <c r="H13" s="37">
        <f t="shared" si="1"/>
        <v>13667</v>
      </c>
      <c r="I13" s="37">
        <f t="shared" si="1"/>
        <v>13667</v>
      </c>
      <c r="J13" s="37">
        <f t="shared" si="1"/>
        <v>13667</v>
      </c>
      <c r="K13" s="37">
        <f t="shared" si="1"/>
        <v>13667</v>
      </c>
      <c r="L13" s="37">
        <f t="shared" si="1"/>
        <v>13667</v>
      </c>
      <c r="M13" s="37">
        <f t="shared" si="1"/>
        <v>13667</v>
      </c>
      <c r="N13" s="37">
        <f t="shared" si="1"/>
        <v>13667</v>
      </c>
      <c r="O13" s="37">
        <f t="shared" si="1"/>
        <v>13667</v>
      </c>
      <c r="P13" s="37">
        <f t="shared" si="1"/>
        <v>13667</v>
      </c>
      <c r="Q13" s="37">
        <f>D13-SUM(F13:P13)</f>
        <v>13663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32000</v>
      </c>
      <c r="E15" s="37" t="s">
        <v>193</v>
      </c>
      <c r="F15" s="37">
        <f>ROUND($D15/2,-3)</f>
        <v>16000</v>
      </c>
      <c r="G15" s="37"/>
      <c r="H15" s="37"/>
      <c r="I15" s="37"/>
      <c r="J15" s="37"/>
      <c r="K15" s="37"/>
      <c r="L15" s="37">
        <f>D15-F15</f>
        <v>16000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0</v>
      </c>
      <c r="E16" s="37" t="s">
        <v>525</v>
      </c>
      <c r="F16" s="37">
        <f>ROUND($D16/12,0)</f>
        <v>0</v>
      </c>
      <c r="G16" s="37">
        <f t="shared" si="1"/>
        <v>0</v>
      </c>
      <c r="H16" s="37">
        <f t="shared" si="1"/>
        <v>0</v>
      </c>
      <c r="I16" s="37">
        <f t="shared" si="1"/>
        <v>0</v>
      </c>
      <c r="J16" s="37">
        <f t="shared" si="1"/>
        <v>0</v>
      </c>
      <c r="K16" s="37">
        <f t="shared" si="1"/>
        <v>0</v>
      </c>
      <c r="L16" s="37">
        <f t="shared" si="1"/>
        <v>0</v>
      </c>
      <c r="M16" s="37">
        <f t="shared" si="1"/>
        <v>0</v>
      </c>
      <c r="N16" s="37">
        <f t="shared" si="1"/>
        <v>0</v>
      </c>
      <c r="O16" s="37">
        <f t="shared" si="1"/>
        <v>0</v>
      </c>
      <c r="P16" s="37">
        <f t="shared" si="1"/>
        <v>0</v>
      </c>
      <c r="Q16" s="37">
        <f>D16-SUM(F16:P16)</f>
        <v>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558000</v>
      </c>
      <c r="E25" s="108"/>
      <c r="F25" s="108">
        <f>ROUND(SUM(F3:F24),-3)</f>
        <v>60000</v>
      </c>
      <c r="G25" s="108">
        <f t="shared" ref="G25:P25" si="5">ROUND(SUM(G3:G24),-3)</f>
        <v>44000</v>
      </c>
      <c r="H25" s="108">
        <f t="shared" si="5"/>
        <v>44000</v>
      </c>
      <c r="I25" s="108">
        <f t="shared" si="5"/>
        <v>44000</v>
      </c>
      <c r="J25" s="108">
        <f t="shared" si="5"/>
        <v>44000</v>
      </c>
      <c r="K25" s="108">
        <f t="shared" si="5"/>
        <v>44000</v>
      </c>
      <c r="L25" s="108">
        <f t="shared" si="5"/>
        <v>60000</v>
      </c>
      <c r="M25" s="108">
        <f t="shared" si="5"/>
        <v>44000</v>
      </c>
      <c r="N25" s="108">
        <f t="shared" si="5"/>
        <v>44000</v>
      </c>
      <c r="O25" s="108">
        <f t="shared" si="5"/>
        <v>44000</v>
      </c>
      <c r="P25" s="108">
        <f t="shared" si="5"/>
        <v>44000</v>
      </c>
      <c r="Q25" s="108">
        <f t="shared" ref="Q25:Q33" si="6">D25-SUM(F25:P25)</f>
        <v>42000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9000</v>
      </c>
      <c r="E30" s="37" t="s">
        <v>525</v>
      </c>
      <c r="F30" s="37">
        <f t="shared" si="8"/>
        <v>750</v>
      </c>
      <c r="G30" s="37">
        <f t="shared" si="8"/>
        <v>750</v>
      </c>
      <c r="H30" s="37">
        <f t="shared" si="8"/>
        <v>750</v>
      </c>
      <c r="I30" s="37">
        <f t="shared" si="8"/>
        <v>750</v>
      </c>
      <c r="J30" s="37">
        <f t="shared" si="8"/>
        <v>750</v>
      </c>
      <c r="K30" s="37">
        <f t="shared" si="8"/>
        <v>750</v>
      </c>
      <c r="L30" s="37">
        <f t="shared" si="8"/>
        <v>750</v>
      </c>
      <c r="M30" s="37">
        <f t="shared" si="8"/>
        <v>750</v>
      </c>
      <c r="N30" s="37">
        <f t="shared" si="8"/>
        <v>750</v>
      </c>
      <c r="O30" s="37">
        <f t="shared" si="8"/>
        <v>750</v>
      </c>
      <c r="P30" s="37">
        <f t="shared" si="8"/>
        <v>750</v>
      </c>
      <c r="Q30" s="37">
        <f t="shared" si="6"/>
        <v>750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4000</v>
      </c>
      <c r="E31" s="37" t="s">
        <v>525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3000</v>
      </c>
      <c r="E36" s="37" t="s">
        <v>193</v>
      </c>
      <c r="F36" s="37">
        <f>ROUND($D36/2,-3)</f>
        <v>2000</v>
      </c>
      <c r="G36" s="37"/>
      <c r="H36" s="37"/>
      <c r="I36" s="37"/>
      <c r="J36" s="37"/>
      <c r="K36" s="37"/>
      <c r="L36" s="37">
        <f>D36-F36</f>
        <v>1000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282000</v>
      </c>
      <c r="E37" s="108"/>
      <c r="F37" s="108">
        <f t="shared" ref="F37:P37" si="9">ROUND(SUM(F26:F36),-3)</f>
        <v>25000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24000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26000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840000</v>
      </c>
      <c r="E48" s="37"/>
      <c r="F48" s="115">
        <f>F25+F37+F45+F47</f>
        <v>85000</v>
      </c>
      <c r="G48" s="115">
        <f t="shared" ref="G48:R48" si="14">G25+G37+G45+G47</f>
        <v>67000</v>
      </c>
      <c r="H48" s="115">
        <f t="shared" si="14"/>
        <v>67000</v>
      </c>
      <c r="I48" s="115">
        <f t="shared" si="14"/>
        <v>67000</v>
      </c>
      <c r="J48" s="115">
        <f t="shared" si="14"/>
        <v>67000</v>
      </c>
      <c r="K48" s="115">
        <f t="shared" si="14"/>
        <v>67000</v>
      </c>
      <c r="L48" s="115">
        <f t="shared" si="14"/>
        <v>84000</v>
      </c>
      <c r="M48" s="115">
        <f t="shared" si="14"/>
        <v>67000</v>
      </c>
      <c r="N48" s="115">
        <f t="shared" si="14"/>
        <v>67000</v>
      </c>
      <c r="O48" s="115">
        <f t="shared" si="14"/>
        <v>67000</v>
      </c>
      <c r="P48" s="115">
        <f t="shared" si="14"/>
        <v>67000</v>
      </c>
      <c r="Q48" s="115">
        <f t="shared" si="14"/>
        <v>68000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14601000</v>
      </c>
      <c r="E49" s="114" t="s">
        <v>202</v>
      </c>
      <c r="F49" s="37">
        <f>ROUND($D49/12*3,-3)</f>
        <v>3650000</v>
      </c>
      <c r="G49" s="37">
        <f>ROUND($D49/12,-3)</f>
        <v>1217000</v>
      </c>
      <c r="H49" s="37">
        <f t="shared" ref="H49:N53" si="15">ROUND($D49/12,-3)</f>
        <v>1217000</v>
      </c>
      <c r="I49" s="37">
        <f t="shared" si="15"/>
        <v>1217000</v>
      </c>
      <c r="J49" s="37">
        <f t="shared" si="15"/>
        <v>1217000</v>
      </c>
      <c r="K49" s="37">
        <f t="shared" si="15"/>
        <v>1217000</v>
      </c>
      <c r="L49" s="37">
        <f t="shared" si="15"/>
        <v>1217000</v>
      </c>
      <c r="M49" s="37">
        <f t="shared" si="15"/>
        <v>1217000</v>
      </c>
      <c r="N49" s="37">
        <f t="shared" si="15"/>
        <v>1217000</v>
      </c>
      <c r="O49" s="37">
        <f>D49-SUM(F49:N49)</f>
        <v>1215000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1349000</v>
      </c>
      <c r="E51" s="114" t="s">
        <v>202</v>
      </c>
      <c r="F51" s="37">
        <f t="shared" si="16"/>
        <v>337000</v>
      </c>
      <c r="G51" s="37">
        <f t="shared" si="17"/>
        <v>112000</v>
      </c>
      <c r="H51" s="37">
        <f t="shared" si="15"/>
        <v>112000</v>
      </c>
      <c r="I51" s="37">
        <f t="shared" si="15"/>
        <v>112000</v>
      </c>
      <c r="J51" s="37">
        <f t="shared" si="15"/>
        <v>112000</v>
      </c>
      <c r="K51" s="37">
        <f t="shared" si="15"/>
        <v>112000</v>
      </c>
      <c r="L51" s="37">
        <f t="shared" si="15"/>
        <v>112000</v>
      </c>
      <c r="M51" s="37">
        <f t="shared" si="15"/>
        <v>112000</v>
      </c>
      <c r="N51" s="37">
        <f t="shared" si="15"/>
        <v>112000</v>
      </c>
      <c r="O51" s="37">
        <f t="shared" si="18"/>
        <v>116000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371000</v>
      </c>
      <c r="E60" s="37" t="s">
        <v>195</v>
      </c>
      <c r="F60" s="37">
        <f>D60</f>
        <v>371000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1520000</v>
      </c>
      <c r="E62" s="37" t="s">
        <v>197</v>
      </c>
      <c r="F62" s="37"/>
      <c r="G62" s="37"/>
      <c r="H62" s="37"/>
      <c r="I62" s="37">
        <f>ROUND($D62/5,-3)</f>
        <v>304000</v>
      </c>
      <c r="J62" s="37"/>
      <c r="K62" s="37"/>
      <c r="L62" s="37"/>
      <c r="M62" s="37"/>
      <c r="N62" s="37">
        <f>D62-I62</f>
        <v>1216000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1682000</v>
      </c>
      <c r="E63" s="37" t="s">
        <v>195</v>
      </c>
      <c r="F63" s="37">
        <f>D63</f>
        <v>1682000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1404000</v>
      </c>
      <c r="E64" s="114" t="s">
        <v>202</v>
      </c>
      <c r="F64" s="37">
        <f>ROUND($D64/12*3,-3)</f>
        <v>351000</v>
      </c>
      <c r="G64" s="37">
        <f>ROUND($D64/12,-3)</f>
        <v>117000</v>
      </c>
      <c r="H64" s="37">
        <f t="shared" ref="H64:N66" si="21">ROUND($D64/12,-3)</f>
        <v>117000</v>
      </c>
      <c r="I64" s="37">
        <f t="shared" si="21"/>
        <v>117000</v>
      </c>
      <c r="J64" s="37">
        <f t="shared" si="21"/>
        <v>117000</v>
      </c>
      <c r="K64" s="37">
        <f t="shared" si="21"/>
        <v>117000</v>
      </c>
      <c r="L64" s="37">
        <f t="shared" si="21"/>
        <v>117000</v>
      </c>
      <c r="M64" s="37">
        <f t="shared" si="21"/>
        <v>117000</v>
      </c>
      <c r="N64" s="37">
        <f t="shared" si="21"/>
        <v>117000</v>
      </c>
      <c r="O64" s="37">
        <f>D64-SUM(F64:N64)</f>
        <v>117000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311000</v>
      </c>
      <c r="E65" s="114" t="s">
        <v>202</v>
      </c>
      <c r="F65" s="37">
        <f t="shared" ref="F65:F66" si="22">ROUND($D65/12*3,-3)</f>
        <v>78000</v>
      </c>
      <c r="G65" s="37">
        <f t="shared" ref="G65:G66" si="23">ROUND($D65/12,-3)</f>
        <v>26000</v>
      </c>
      <c r="H65" s="37">
        <f t="shared" si="21"/>
        <v>26000</v>
      </c>
      <c r="I65" s="37">
        <f t="shared" si="21"/>
        <v>26000</v>
      </c>
      <c r="J65" s="37">
        <f t="shared" si="21"/>
        <v>26000</v>
      </c>
      <c r="K65" s="37">
        <f t="shared" si="21"/>
        <v>26000</v>
      </c>
      <c r="L65" s="37">
        <f t="shared" si="21"/>
        <v>26000</v>
      </c>
      <c r="M65" s="37">
        <f t="shared" si="21"/>
        <v>26000</v>
      </c>
      <c r="N65" s="37">
        <f t="shared" si="21"/>
        <v>26000</v>
      </c>
      <c r="O65" s="37">
        <f t="shared" ref="O65:O66" si="24">D65-SUM(F65:N65)</f>
        <v>25000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1076000</v>
      </c>
      <c r="E66" s="114" t="s">
        <v>202</v>
      </c>
      <c r="F66" s="37">
        <f t="shared" si="22"/>
        <v>269000</v>
      </c>
      <c r="G66" s="37">
        <f t="shared" si="23"/>
        <v>90000</v>
      </c>
      <c r="H66" s="37">
        <f t="shared" si="21"/>
        <v>90000</v>
      </c>
      <c r="I66" s="37">
        <f t="shared" si="21"/>
        <v>90000</v>
      </c>
      <c r="J66" s="37">
        <f t="shared" si="21"/>
        <v>90000</v>
      </c>
      <c r="K66" s="37">
        <f t="shared" si="21"/>
        <v>90000</v>
      </c>
      <c r="L66" s="37">
        <f t="shared" si="21"/>
        <v>90000</v>
      </c>
      <c r="M66" s="37">
        <f t="shared" si="21"/>
        <v>90000</v>
      </c>
      <c r="N66" s="37">
        <f t="shared" si="21"/>
        <v>90000</v>
      </c>
      <c r="O66" s="37">
        <f t="shared" si="24"/>
        <v>87000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27000</v>
      </c>
      <c r="E67" s="37" t="s">
        <v>196</v>
      </c>
      <c r="F67" s="37"/>
      <c r="G67" s="37"/>
      <c r="H67" s="37">
        <f>D67</f>
        <v>27000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128000</v>
      </c>
      <c r="E68" s="37" t="s">
        <v>195</v>
      </c>
      <c r="F68" s="37">
        <f>D68</f>
        <v>128000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22789000</v>
      </c>
      <c r="E70" s="108"/>
      <c r="F70" s="108">
        <f t="shared" ref="F70:P70" si="25">ROUND(SUM(F49:F69),-3)</f>
        <v>6937000</v>
      </c>
      <c r="G70" s="108">
        <f t="shared" si="25"/>
        <v>1589000</v>
      </c>
      <c r="H70" s="108">
        <f t="shared" si="25"/>
        <v>1616000</v>
      </c>
      <c r="I70" s="108">
        <f t="shared" si="25"/>
        <v>1893000</v>
      </c>
      <c r="J70" s="108">
        <f t="shared" si="25"/>
        <v>1589000</v>
      </c>
      <c r="K70" s="108">
        <f t="shared" si="25"/>
        <v>1589000</v>
      </c>
      <c r="L70" s="108">
        <f t="shared" si="25"/>
        <v>1589000</v>
      </c>
      <c r="M70" s="108">
        <f t="shared" si="25"/>
        <v>1589000</v>
      </c>
      <c r="N70" s="108">
        <f t="shared" si="25"/>
        <v>2805000</v>
      </c>
      <c r="O70" s="108">
        <f t="shared" si="25"/>
        <v>1588000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2174000</v>
      </c>
      <c r="E72" s="114" t="s">
        <v>202</v>
      </c>
      <c r="F72" s="37">
        <f>ROUND($D72/12*3,-3)</f>
        <v>544000</v>
      </c>
      <c r="G72" s="37">
        <f>ROUND($D72/12,-3)</f>
        <v>181000</v>
      </c>
      <c r="H72" s="37">
        <f t="shared" ref="H72:N75" si="26">ROUND($D72/12,-3)</f>
        <v>181000</v>
      </c>
      <c r="I72" s="37">
        <f t="shared" si="26"/>
        <v>181000</v>
      </c>
      <c r="J72" s="37">
        <f t="shared" si="26"/>
        <v>181000</v>
      </c>
      <c r="K72" s="37">
        <f t="shared" si="26"/>
        <v>181000</v>
      </c>
      <c r="L72" s="37">
        <f t="shared" si="26"/>
        <v>181000</v>
      </c>
      <c r="M72" s="37">
        <f t="shared" si="26"/>
        <v>181000</v>
      </c>
      <c r="N72" s="37">
        <f t="shared" si="26"/>
        <v>181000</v>
      </c>
      <c r="O72" s="37">
        <f>D72-SUM(F72:N72)</f>
        <v>182000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278000</v>
      </c>
      <c r="E75" s="114" t="s">
        <v>202</v>
      </c>
      <c r="F75" s="37">
        <f>ROUND($D75/12*3,-3)</f>
        <v>70000</v>
      </c>
      <c r="G75" s="37">
        <f>ROUND($D75/12,-3)</f>
        <v>23000</v>
      </c>
      <c r="H75" s="37">
        <f t="shared" si="26"/>
        <v>23000</v>
      </c>
      <c r="I75" s="37">
        <f t="shared" si="26"/>
        <v>23000</v>
      </c>
      <c r="J75" s="37">
        <f t="shared" si="26"/>
        <v>23000</v>
      </c>
      <c r="K75" s="37">
        <f t="shared" si="26"/>
        <v>23000</v>
      </c>
      <c r="L75" s="37">
        <f t="shared" si="26"/>
        <v>23000</v>
      </c>
      <c r="M75" s="37">
        <f t="shared" si="26"/>
        <v>23000</v>
      </c>
      <c r="N75" s="37">
        <f t="shared" si="26"/>
        <v>23000</v>
      </c>
      <c r="O75" s="37">
        <f>D75-SUM(F75:N75)</f>
        <v>24000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2452000</v>
      </c>
      <c r="E76" s="108"/>
      <c r="F76" s="108">
        <f>ROUND(SUM(F71:F75),-3)</f>
        <v>614000</v>
      </c>
      <c r="G76" s="108">
        <f t="shared" ref="G76:N76" si="27">ROUND(SUM(G71:G75),-3)</f>
        <v>204000</v>
      </c>
      <c r="H76" s="108">
        <f t="shared" si="27"/>
        <v>204000</v>
      </c>
      <c r="I76" s="108">
        <f t="shared" si="27"/>
        <v>204000</v>
      </c>
      <c r="J76" s="108">
        <f t="shared" si="27"/>
        <v>204000</v>
      </c>
      <c r="K76" s="108">
        <f t="shared" si="27"/>
        <v>204000</v>
      </c>
      <c r="L76" s="108">
        <f t="shared" si="27"/>
        <v>204000</v>
      </c>
      <c r="M76" s="108">
        <f t="shared" si="27"/>
        <v>204000</v>
      </c>
      <c r="N76" s="108">
        <f t="shared" si="27"/>
        <v>204000</v>
      </c>
      <c r="O76" s="108">
        <f>D76-SUM(F76:N76)</f>
        <v>206000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259000</v>
      </c>
      <c r="E77" s="37" t="s">
        <v>681</v>
      </c>
      <c r="F77" s="224"/>
      <c r="G77" s="224"/>
      <c r="H77" s="224">
        <f>ROUND($D77/2,-3)</f>
        <v>130000</v>
      </c>
      <c r="I77" s="224"/>
      <c r="J77" s="224"/>
      <c r="K77" s="224"/>
      <c r="L77" s="224"/>
      <c r="M77" s="224"/>
      <c r="N77" s="224">
        <f>D77-H77</f>
        <v>129000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25500000</v>
      </c>
      <c r="E78" s="227"/>
      <c r="F78" s="227">
        <f>F76+F70+F77</f>
        <v>7551000</v>
      </c>
      <c r="G78" s="227">
        <f t="shared" ref="G78:Q78" si="29">G76+G70+G77</f>
        <v>1793000</v>
      </c>
      <c r="H78" s="227">
        <f t="shared" si="29"/>
        <v>1950000</v>
      </c>
      <c r="I78" s="227">
        <f t="shared" si="29"/>
        <v>2097000</v>
      </c>
      <c r="J78" s="227">
        <f t="shared" si="29"/>
        <v>1793000</v>
      </c>
      <c r="K78" s="227">
        <f t="shared" si="29"/>
        <v>1793000</v>
      </c>
      <c r="L78" s="227">
        <f t="shared" si="29"/>
        <v>1793000</v>
      </c>
      <c r="M78" s="227">
        <f t="shared" si="29"/>
        <v>1793000</v>
      </c>
      <c r="N78" s="227">
        <f t="shared" si="29"/>
        <v>3138000</v>
      </c>
      <c r="O78" s="227">
        <f t="shared" si="29"/>
        <v>1794000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26340000</v>
      </c>
      <c r="E87" s="37"/>
      <c r="F87" s="37">
        <f>F88+F89+F90+F91</f>
        <v>7636000</v>
      </c>
      <c r="G87" s="37">
        <f t="shared" ref="G87:Q87" si="32">G88+G89+G90+G91</f>
        <v>1860000</v>
      </c>
      <c r="H87" s="37">
        <f t="shared" si="32"/>
        <v>2017000</v>
      </c>
      <c r="I87" s="37">
        <f t="shared" si="32"/>
        <v>2164000</v>
      </c>
      <c r="J87" s="37">
        <f t="shared" si="32"/>
        <v>1860000</v>
      </c>
      <c r="K87" s="37">
        <f t="shared" si="32"/>
        <v>1860000</v>
      </c>
      <c r="L87" s="37">
        <f t="shared" si="32"/>
        <v>1877000</v>
      </c>
      <c r="M87" s="37">
        <f t="shared" si="32"/>
        <v>1860000</v>
      </c>
      <c r="N87" s="37">
        <f t="shared" si="32"/>
        <v>3205000</v>
      </c>
      <c r="O87" s="37">
        <f t="shared" si="32"/>
        <v>1861000</v>
      </c>
      <c r="P87" s="37">
        <f t="shared" si="32"/>
        <v>72000</v>
      </c>
      <c r="Q87" s="37">
        <f t="shared" si="32"/>
        <v>68000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3000</v>
      </c>
      <c r="E88" s="108" t="s">
        <v>193</v>
      </c>
      <c r="F88" s="108">
        <f>ROUND($D88/2,-3)</f>
        <v>2000</v>
      </c>
      <c r="G88" s="108"/>
      <c r="H88" s="108"/>
      <c r="I88" s="108"/>
      <c r="J88" s="108"/>
      <c r="K88" s="108"/>
      <c r="L88" s="108">
        <f>D88-F88</f>
        <v>1000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2000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1000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26335000</v>
      </c>
      <c r="E91" s="108"/>
      <c r="F91" s="108">
        <f>F92+F93+F94+F95</f>
        <v>7634000</v>
      </c>
      <c r="G91" s="108">
        <f t="shared" ref="G91:Q91" si="34">G92+G93+G94+G95</f>
        <v>1860000</v>
      </c>
      <c r="H91" s="108">
        <f t="shared" si="34"/>
        <v>2017000</v>
      </c>
      <c r="I91" s="108">
        <f t="shared" si="34"/>
        <v>2164000</v>
      </c>
      <c r="J91" s="108">
        <f t="shared" si="34"/>
        <v>1860000</v>
      </c>
      <c r="K91" s="108">
        <f t="shared" si="34"/>
        <v>1860000</v>
      </c>
      <c r="L91" s="108">
        <f t="shared" si="34"/>
        <v>1875000</v>
      </c>
      <c r="M91" s="108">
        <f t="shared" si="34"/>
        <v>1860000</v>
      </c>
      <c r="N91" s="108">
        <f t="shared" si="34"/>
        <v>3205000</v>
      </c>
      <c r="O91" s="108">
        <f t="shared" si="34"/>
        <v>1861000</v>
      </c>
      <c r="P91" s="108">
        <f t="shared" si="34"/>
        <v>72000</v>
      </c>
      <c r="Q91" s="108">
        <f t="shared" si="34"/>
        <v>67000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3615000</v>
      </c>
      <c r="E92" s="114" t="s">
        <v>537</v>
      </c>
      <c r="F92" s="37">
        <f>ROUND($D92/12*5,-3)</f>
        <v>1506000</v>
      </c>
      <c r="G92" s="37">
        <f>ROUND($D92/12,-3)</f>
        <v>301000</v>
      </c>
      <c r="H92" s="37">
        <f t="shared" ref="H92:L92" si="35">ROUND($D92/12,-3)</f>
        <v>301000</v>
      </c>
      <c r="I92" s="37">
        <f t="shared" si="35"/>
        <v>301000</v>
      </c>
      <c r="J92" s="37">
        <f t="shared" si="35"/>
        <v>301000</v>
      </c>
      <c r="K92" s="37">
        <f t="shared" si="35"/>
        <v>301000</v>
      </c>
      <c r="L92" s="37">
        <f t="shared" si="35"/>
        <v>301000</v>
      </c>
      <c r="M92" s="37">
        <f>D92-SUM(F92:L92)</f>
        <v>303000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14000</v>
      </c>
      <c r="E94" s="190" t="s">
        <v>229</v>
      </c>
      <c r="F94" s="37"/>
      <c r="G94" s="37"/>
      <c r="H94" s="37">
        <f>ROUND($D94/2,-3)</f>
        <v>7000</v>
      </c>
      <c r="I94" s="37"/>
      <c r="J94" s="37"/>
      <c r="K94" s="37"/>
      <c r="L94" s="37"/>
      <c r="M94" s="37"/>
      <c r="N94" s="37"/>
      <c r="O94" s="37">
        <f>D94-H94</f>
        <v>7000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22616000</v>
      </c>
      <c r="E95" s="37"/>
      <c r="F95" s="37">
        <f>F2+F86-F88-F89-F90-F92-F93-F94</f>
        <v>6120000</v>
      </c>
      <c r="G95" s="37">
        <f t="shared" ref="G95:Q95" si="37">G2-G88-G89-G90-G92-G93-G94</f>
        <v>1551000</v>
      </c>
      <c r="H95" s="37">
        <f t="shared" si="37"/>
        <v>1701000</v>
      </c>
      <c r="I95" s="37">
        <f t="shared" si="37"/>
        <v>1855000</v>
      </c>
      <c r="J95" s="37">
        <f t="shared" si="37"/>
        <v>1551000</v>
      </c>
      <c r="K95" s="37">
        <f t="shared" si="37"/>
        <v>1551000</v>
      </c>
      <c r="L95" s="37">
        <f t="shared" si="37"/>
        <v>1566000</v>
      </c>
      <c r="M95" s="37">
        <f t="shared" si="37"/>
        <v>1549000</v>
      </c>
      <c r="N95" s="37">
        <f t="shared" si="37"/>
        <v>3197000</v>
      </c>
      <c r="O95" s="37">
        <f t="shared" si="37"/>
        <v>1846000</v>
      </c>
      <c r="P95" s="37">
        <f t="shared" si="37"/>
        <v>64000</v>
      </c>
      <c r="Q95" s="37">
        <f t="shared" si="37"/>
        <v>65000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1300000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14000</v>
      </c>
    </row>
    <row r="105" spans="2:17" ht="32.4">
      <c r="B105" s="72" t="s">
        <v>380</v>
      </c>
      <c r="D105" s="30">
        <f>HLOOKUP(D1,[1]縣庫撥款收入明細表!H:DD,19,FALSE)</f>
        <v>650000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22616000</v>
      </c>
    </row>
    <row r="108" spans="2:17" ht="16.5" customHeight="1"/>
    <row r="109" spans="2:17" ht="16.5" customHeight="1">
      <c r="B109" s="4" t="s">
        <v>682</v>
      </c>
      <c r="D109" s="30">
        <f>D91-D76</f>
        <v>23883000</v>
      </c>
      <c r="F109" s="30">
        <f>F91-F76</f>
        <v>7020000</v>
      </c>
      <c r="G109" s="30">
        <f t="shared" ref="G109:Q109" si="38">G91-G76</f>
        <v>1656000</v>
      </c>
      <c r="H109" s="30">
        <f t="shared" si="38"/>
        <v>1813000</v>
      </c>
      <c r="I109" s="30">
        <f t="shared" si="38"/>
        <v>1960000</v>
      </c>
      <c r="J109" s="30">
        <f t="shared" si="38"/>
        <v>1656000</v>
      </c>
      <c r="K109" s="30">
        <f t="shared" si="38"/>
        <v>1656000</v>
      </c>
      <c r="L109" s="30">
        <f t="shared" si="38"/>
        <v>1671000</v>
      </c>
      <c r="M109" s="30">
        <f t="shared" si="38"/>
        <v>1656000</v>
      </c>
      <c r="N109" s="30">
        <f t="shared" si="38"/>
        <v>3001000</v>
      </c>
      <c r="O109" s="30">
        <f t="shared" si="38"/>
        <v>1655000</v>
      </c>
      <c r="P109" s="30">
        <f t="shared" si="38"/>
        <v>72000</v>
      </c>
      <c r="Q109" s="30">
        <f t="shared" si="38"/>
        <v>67000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30" priority="1" operator="lessThan">
      <formula>0</formula>
    </cfRule>
  </conditionalFormatting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693</v>
      </c>
      <c r="D1" s="28" t="str">
        <f>VLOOKUP(C1,[1]學校編號!A:B,2,FALSE)</f>
        <v>693馬遠國小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28647000</v>
      </c>
      <c r="E2" s="37"/>
      <c r="F2" s="37">
        <f>F48+F70+F76+F77+F83</f>
        <v>8039000</v>
      </c>
      <c r="G2" s="37">
        <f t="shared" ref="G2:Q2" si="0">G48+G70+G76+G77+G83</f>
        <v>2069000</v>
      </c>
      <c r="H2" s="37">
        <f t="shared" si="0"/>
        <v>2240000</v>
      </c>
      <c r="I2" s="37">
        <f t="shared" si="0"/>
        <v>2373000</v>
      </c>
      <c r="J2" s="37">
        <f t="shared" si="0"/>
        <v>2069000</v>
      </c>
      <c r="K2" s="37">
        <f t="shared" si="0"/>
        <v>2069000</v>
      </c>
      <c r="L2" s="37">
        <f t="shared" si="0"/>
        <v>2084000</v>
      </c>
      <c r="M2" s="37">
        <f t="shared" si="0"/>
        <v>2069000</v>
      </c>
      <c r="N2" s="37">
        <f t="shared" si="0"/>
        <v>3436000</v>
      </c>
      <c r="O2" s="37">
        <f t="shared" si="0"/>
        <v>2066000</v>
      </c>
      <c r="P2" s="37">
        <f t="shared" si="0"/>
        <v>69000</v>
      </c>
      <c r="Q2" s="37">
        <f t="shared" si="0"/>
        <v>64000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120000</v>
      </c>
      <c r="E3" s="37" t="s">
        <v>525</v>
      </c>
      <c r="F3" s="37">
        <f t="shared" ref="F3:P17" si="1">ROUND($D3/12,0)</f>
        <v>10000</v>
      </c>
      <c r="G3" s="37">
        <f t="shared" si="1"/>
        <v>10000</v>
      </c>
      <c r="H3" s="37">
        <f t="shared" si="1"/>
        <v>10000</v>
      </c>
      <c r="I3" s="37">
        <f t="shared" si="1"/>
        <v>10000</v>
      </c>
      <c r="J3" s="37">
        <f t="shared" si="1"/>
        <v>10000</v>
      </c>
      <c r="K3" s="37">
        <f t="shared" si="1"/>
        <v>10000</v>
      </c>
      <c r="L3" s="37">
        <f t="shared" si="1"/>
        <v>10000</v>
      </c>
      <c r="M3" s="37">
        <f t="shared" si="1"/>
        <v>10000</v>
      </c>
      <c r="N3" s="37">
        <f t="shared" si="1"/>
        <v>10000</v>
      </c>
      <c r="O3" s="37">
        <f t="shared" si="1"/>
        <v>10000</v>
      </c>
      <c r="P3" s="37">
        <f t="shared" si="1"/>
        <v>10000</v>
      </c>
      <c r="Q3" s="37">
        <f t="shared" ref="Q3:Q10" si="2">D3-SUM(F3:P3)</f>
        <v>10000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51000</v>
      </c>
      <c r="E4" s="37" t="s">
        <v>525</v>
      </c>
      <c r="F4" s="37">
        <f t="shared" si="1"/>
        <v>4250</v>
      </c>
      <c r="G4" s="37">
        <f t="shared" si="1"/>
        <v>4250</v>
      </c>
      <c r="H4" s="37">
        <f t="shared" si="1"/>
        <v>4250</v>
      </c>
      <c r="I4" s="37">
        <f t="shared" si="1"/>
        <v>4250</v>
      </c>
      <c r="J4" s="37">
        <f t="shared" si="1"/>
        <v>4250</v>
      </c>
      <c r="K4" s="37">
        <f t="shared" si="1"/>
        <v>4250</v>
      </c>
      <c r="L4" s="37">
        <f t="shared" si="1"/>
        <v>4250</v>
      </c>
      <c r="M4" s="37">
        <f t="shared" si="1"/>
        <v>4250</v>
      </c>
      <c r="N4" s="37">
        <f t="shared" si="1"/>
        <v>4250</v>
      </c>
      <c r="O4" s="37">
        <f t="shared" si="1"/>
        <v>4250</v>
      </c>
      <c r="P4" s="37">
        <f t="shared" si="1"/>
        <v>4250</v>
      </c>
      <c r="Q4" s="37">
        <f t="shared" si="2"/>
        <v>4250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63000</v>
      </c>
      <c r="E7" s="37" t="s">
        <v>525</v>
      </c>
      <c r="F7" s="37">
        <f t="shared" si="1"/>
        <v>5250</v>
      </c>
      <c r="G7" s="37">
        <f t="shared" si="1"/>
        <v>5250</v>
      </c>
      <c r="H7" s="37">
        <f t="shared" si="1"/>
        <v>5250</v>
      </c>
      <c r="I7" s="37">
        <f t="shared" si="1"/>
        <v>5250</v>
      </c>
      <c r="J7" s="37">
        <f t="shared" si="1"/>
        <v>5250</v>
      </c>
      <c r="K7" s="37">
        <f t="shared" si="1"/>
        <v>5250</v>
      </c>
      <c r="L7" s="37">
        <f t="shared" si="1"/>
        <v>5250</v>
      </c>
      <c r="M7" s="37">
        <f t="shared" si="1"/>
        <v>5250</v>
      </c>
      <c r="N7" s="37">
        <f t="shared" si="1"/>
        <v>5250</v>
      </c>
      <c r="O7" s="37">
        <f t="shared" si="1"/>
        <v>5250</v>
      </c>
      <c r="P7" s="37">
        <f t="shared" si="1"/>
        <v>5250</v>
      </c>
      <c r="Q7" s="37">
        <f t="shared" si="2"/>
        <v>5250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30000</v>
      </c>
      <c r="E15" s="37" t="s">
        <v>193</v>
      </c>
      <c r="F15" s="37">
        <f>ROUND($D15/2,-3)</f>
        <v>15000</v>
      </c>
      <c r="G15" s="37"/>
      <c r="H15" s="37"/>
      <c r="I15" s="37"/>
      <c r="J15" s="37"/>
      <c r="K15" s="37"/>
      <c r="L15" s="37">
        <f>D15-F15</f>
        <v>15000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42000</v>
      </c>
      <c r="E17" s="37" t="s">
        <v>525</v>
      </c>
      <c r="F17" s="37">
        <f>ROUND($D17/12,0)</f>
        <v>3500</v>
      </c>
      <c r="G17" s="37">
        <f t="shared" si="1"/>
        <v>3500</v>
      </c>
      <c r="H17" s="37">
        <f t="shared" si="1"/>
        <v>3500</v>
      </c>
      <c r="I17" s="37">
        <f t="shared" si="1"/>
        <v>3500</v>
      </c>
      <c r="J17" s="37">
        <f t="shared" si="1"/>
        <v>3500</v>
      </c>
      <c r="K17" s="37">
        <f t="shared" si="1"/>
        <v>3500</v>
      </c>
      <c r="L17" s="37">
        <f t="shared" si="1"/>
        <v>3500</v>
      </c>
      <c r="M17" s="37">
        <f t="shared" si="1"/>
        <v>3500</v>
      </c>
      <c r="N17" s="37">
        <f t="shared" si="1"/>
        <v>3500</v>
      </c>
      <c r="O17" s="37">
        <f t="shared" si="1"/>
        <v>3500</v>
      </c>
      <c r="P17" s="37">
        <f t="shared" si="1"/>
        <v>3500</v>
      </c>
      <c r="Q17" s="37">
        <f>D17-SUM(F17:P17)</f>
        <v>3500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530000</v>
      </c>
      <c r="E25" s="108"/>
      <c r="F25" s="108">
        <f>ROUND(SUM(F3:F24),-3)</f>
        <v>57000</v>
      </c>
      <c r="G25" s="108">
        <f t="shared" ref="G25:P25" si="5">ROUND(SUM(G3:G24),-3)</f>
        <v>42000</v>
      </c>
      <c r="H25" s="108">
        <f t="shared" si="5"/>
        <v>42000</v>
      </c>
      <c r="I25" s="108">
        <f t="shared" si="5"/>
        <v>42000</v>
      </c>
      <c r="J25" s="108">
        <f t="shared" si="5"/>
        <v>42000</v>
      </c>
      <c r="K25" s="108">
        <f t="shared" si="5"/>
        <v>42000</v>
      </c>
      <c r="L25" s="108">
        <f t="shared" si="5"/>
        <v>57000</v>
      </c>
      <c r="M25" s="108">
        <f t="shared" si="5"/>
        <v>42000</v>
      </c>
      <c r="N25" s="108">
        <f t="shared" si="5"/>
        <v>42000</v>
      </c>
      <c r="O25" s="108">
        <f t="shared" si="5"/>
        <v>42000</v>
      </c>
      <c r="P25" s="108">
        <f t="shared" si="5"/>
        <v>42000</v>
      </c>
      <c r="Q25" s="108">
        <f t="shared" ref="Q25:Q33" si="6">D25-SUM(F25:P25)</f>
        <v>38000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241000</v>
      </c>
      <c r="E27" s="37" t="s">
        <v>525</v>
      </c>
      <c r="F27" s="37">
        <f t="shared" ref="F27:P33" si="8">ROUND($D27/12,0)</f>
        <v>20083</v>
      </c>
      <c r="G27" s="37">
        <f t="shared" si="8"/>
        <v>20083</v>
      </c>
      <c r="H27" s="37">
        <f t="shared" si="8"/>
        <v>20083</v>
      </c>
      <c r="I27" s="37">
        <f t="shared" si="8"/>
        <v>20083</v>
      </c>
      <c r="J27" s="37">
        <f t="shared" si="8"/>
        <v>20083</v>
      </c>
      <c r="K27" s="37">
        <f t="shared" si="8"/>
        <v>20083</v>
      </c>
      <c r="L27" s="37">
        <f t="shared" si="8"/>
        <v>20083</v>
      </c>
      <c r="M27" s="37">
        <f t="shared" si="8"/>
        <v>20083</v>
      </c>
      <c r="N27" s="37">
        <f t="shared" si="8"/>
        <v>20083</v>
      </c>
      <c r="O27" s="37">
        <f t="shared" si="8"/>
        <v>20083</v>
      </c>
      <c r="P27" s="37">
        <f t="shared" si="8"/>
        <v>20083</v>
      </c>
      <c r="Q27" s="37">
        <f t="shared" si="6"/>
        <v>20087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18000</v>
      </c>
      <c r="E29" s="37" t="s">
        <v>525</v>
      </c>
      <c r="F29" s="37">
        <f t="shared" si="8"/>
        <v>1500</v>
      </c>
      <c r="G29" s="37">
        <f t="shared" si="8"/>
        <v>1500</v>
      </c>
      <c r="H29" s="37">
        <f t="shared" si="8"/>
        <v>1500</v>
      </c>
      <c r="I29" s="37">
        <f t="shared" si="8"/>
        <v>1500</v>
      </c>
      <c r="J29" s="37">
        <f t="shared" si="8"/>
        <v>1500</v>
      </c>
      <c r="K29" s="37">
        <f t="shared" si="8"/>
        <v>1500</v>
      </c>
      <c r="L29" s="37">
        <f t="shared" si="8"/>
        <v>1500</v>
      </c>
      <c r="M29" s="37">
        <f t="shared" si="8"/>
        <v>1500</v>
      </c>
      <c r="N29" s="37">
        <f t="shared" si="8"/>
        <v>1500</v>
      </c>
      <c r="O29" s="37">
        <f t="shared" si="8"/>
        <v>1500</v>
      </c>
      <c r="P29" s="37">
        <f t="shared" si="8"/>
        <v>1500</v>
      </c>
      <c r="Q29" s="37">
        <f t="shared" si="6"/>
        <v>1500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9000</v>
      </c>
      <c r="E30" s="37" t="s">
        <v>525</v>
      </c>
      <c r="F30" s="37">
        <f t="shared" si="8"/>
        <v>750</v>
      </c>
      <c r="G30" s="37">
        <f t="shared" si="8"/>
        <v>750</v>
      </c>
      <c r="H30" s="37">
        <f t="shared" si="8"/>
        <v>750</v>
      </c>
      <c r="I30" s="37">
        <f t="shared" si="8"/>
        <v>750</v>
      </c>
      <c r="J30" s="37">
        <f t="shared" si="8"/>
        <v>750</v>
      </c>
      <c r="K30" s="37">
        <f t="shared" si="8"/>
        <v>750</v>
      </c>
      <c r="L30" s="37">
        <f t="shared" si="8"/>
        <v>750</v>
      </c>
      <c r="M30" s="37">
        <f t="shared" si="8"/>
        <v>750</v>
      </c>
      <c r="N30" s="37">
        <f t="shared" si="8"/>
        <v>750</v>
      </c>
      <c r="O30" s="37">
        <f t="shared" si="8"/>
        <v>750</v>
      </c>
      <c r="P30" s="37">
        <f t="shared" si="8"/>
        <v>750</v>
      </c>
      <c r="Q30" s="37">
        <f t="shared" si="6"/>
        <v>750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5000</v>
      </c>
      <c r="E31" s="37" t="s">
        <v>525</v>
      </c>
      <c r="F31" s="37">
        <f t="shared" si="8"/>
        <v>417</v>
      </c>
      <c r="G31" s="37">
        <f t="shared" si="8"/>
        <v>417</v>
      </c>
      <c r="H31" s="37">
        <f t="shared" si="8"/>
        <v>417</v>
      </c>
      <c r="I31" s="37">
        <f t="shared" si="8"/>
        <v>417</v>
      </c>
      <c r="J31" s="37">
        <f t="shared" si="8"/>
        <v>417</v>
      </c>
      <c r="K31" s="37">
        <f t="shared" si="8"/>
        <v>417</v>
      </c>
      <c r="L31" s="37">
        <f t="shared" si="8"/>
        <v>417</v>
      </c>
      <c r="M31" s="37">
        <f t="shared" si="8"/>
        <v>417</v>
      </c>
      <c r="N31" s="37">
        <f t="shared" si="8"/>
        <v>417</v>
      </c>
      <c r="O31" s="37">
        <f t="shared" si="8"/>
        <v>417</v>
      </c>
      <c r="P31" s="37">
        <f t="shared" si="8"/>
        <v>417</v>
      </c>
      <c r="Q31" s="37">
        <f t="shared" si="6"/>
        <v>413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0</v>
      </c>
      <c r="E36" s="37" t="s">
        <v>193</v>
      </c>
      <c r="F36" s="37">
        <f>ROUND($D36/2,-3)</f>
        <v>0</v>
      </c>
      <c r="G36" s="37"/>
      <c r="H36" s="37"/>
      <c r="I36" s="37"/>
      <c r="J36" s="37"/>
      <c r="K36" s="37"/>
      <c r="L36" s="37">
        <f>D36-F36</f>
        <v>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273000</v>
      </c>
      <c r="E37" s="108"/>
      <c r="F37" s="108">
        <f t="shared" ref="F37:P37" si="9">ROUND(SUM(F26:F36),-3)</f>
        <v>23000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23000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20000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0</v>
      </c>
      <c r="E46" s="37" t="s">
        <v>194</v>
      </c>
      <c r="F46" s="37">
        <f>ROUND($D46/3,0)</f>
        <v>0</v>
      </c>
      <c r="G46" s="37"/>
      <c r="H46" s="37"/>
      <c r="I46" s="37"/>
      <c r="J46" s="37"/>
      <c r="K46" s="37">
        <f>ROUND($D46/3,0)</f>
        <v>0</v>
      </c>
      <c r="L46" s="37"/>
      <c r="M46" s="37"/>
      <c r="N46" s="37">
        <f>ROUND($D46/3,0)</f>
        <v>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0</v>
      </c>
      <c r="E47" s="108"/>
      <c r="F47" s="108">
        <f t="shared" ref="F47:P47" si="13">ROUND(SUM(F46),-3)</f>
        <v>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0</v>
      </c>
      <c r="L47" s="108">
        <f t="shared" si="13"/>
        <v>0</v>
      </c>
      <c r="M47" s="108">
        <f t="shared" si="13"/>
        <v>0</v>
      </c>
      <c r="N47" s="108">
        <f t="shared" si="13"/>
        <v>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803000</v>
      </c>
      <c r="E48" s="37"/>
      <c r="F48" s="115">
        <f>F25+F37+F45+F47</f>
        <v>80000</v>
      </c>
      <c r="G48" s="115">
        <f t="shared" ref="G48:R48" si="14">G25+G37+G45+G47</f>
        <v>65000</v>
      </c>
      <c r="H48" s="115">
        <f t="shared" si="14"/>
        <v>65000</v>
      </c>
      <c r="I48" s="115">
        <f t="shared" si="14"/>
        <v>65000</v>
      </c>
      <c r="J48" s="115">
        <f t="shared" si="14"/>
        <v>65000</v>
      </c>
      <c r="K48" s="115">
        <f t="shared" si="14"/>
        <v>65000</v>
      </c>
      <c r="L48" s="115">
        <f t="shared" si="14"/>
        <v>80000</v>
      </c>
      <c r="M48" s="115">
        <f t="shared" si="14"/>
        <v>65000</v>
      </c>
      <c r="N48" s="115">
        <f t="shared" si="14"/>
        <v>65000</v>
      </c>
      <c r="O48" s="115">
        <f t="shared" si="14"/>
        <v>65000</v>
      </c>
      <c r="P48" s="115">
        <f t="shared" si="14"/>
        <v>65000</v>
      </c>
      <c r="Q48" s="115">
        <f t="shared" si="14"/>
        <v>58000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13052000</v>
      </c>
      <c r="E49" s="114" t="s">
        <v>202</v>
      </c>
      <c r="F49" s="37">
        <f>ROUND($D49/12*3,-3)</f>
        <v>3263000</v>
      </c>
      <c r="G49" s="37">
        <f>ROUND($D49/12,-3)</f>
        <v>1088000</v>
      </c>
      <c r="H49" s="37">
        <f t="shared" ref="H49:N53" si="15">ROUND($D49/12,-3)</f>
        <v>1088000</v>
      </c>
      <c r="I49" s="37">
        <f t="shared" si="15"/>
        <v>1088000</v>
      </c>
      <c r="J49" s="37">
        <f t="shared" si="15"/>
        <v>1088000</v>
      </c>
      <c r="K49" s="37">
        <f t="shared" si="15"/>
        <v>1088000</v>
      </c>
      <c r="L49" s="37">
        <f t="shared" si="15"/>
        <v>1088000</v>
      </c>
      <c r="M49" s="37">
        <f t="shared" si="15"/>
        <v>1088000</v>
      </c>
      <c r="N49" s="37">
        <f t="shared" si="15"/>
        <v>1088000</v>
      </c>
      <c r="O49" s="37">
        <f>D49-SUM(F49:N49)</f>
        <v>1085000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0</v>
      </c>
      <c r="E51" s="114" t="s">
        <v>202</v>
      </c>
      <c r="F51" s="37">
        <f t="shared" si="16"/>
        <v>0</v>
      </c>
      <c r="G51" s="37">
        <f t="shared" si="17"/>
        <v>0</v>
      </c>
      <c r="H51" s="37">
        <f t="shared" si="15"/>
        <v>0</v>
      </c>
      <c r="I51" s="37">
        <f t="shared" si="15"/>
        <v>0</v>
      </c>
      <c r="J51" s="37">
        <f t="shared" si="15"/>
        <v>0</v>
      </c>
      <c r="K51" s="37">
        <f t="shared" si="15"/>
        <v>0</v>
      </c>
      <c r="L51" s="37">
        <f t="shared" si="15"/>
        <v>0</v>
      </c>
      <c r="M51" s="37">
        <f t="shared" si="15"/>
        <v>0</v>
      </c>
      <c r="N51" s="37">
        <f t="shared" si="15"/>
        <v>0</v>
      </c>
      <c r="O51" s="37">
        <f t="shared" si="18"/>
        <v>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0</v>
      </c>
      <c r="E52" s="114" t="s">
        <v>202</v>
      </c>
      <c r="F52" s="37">
        <f t="shared" si="16"/>
        <v>0</v>
      </c>
      <c r="G52" s="37">
        <f t="shared" si="17"/>
        <v>0</v>
      </c>
      <c r="H52" s="37">
        <f t="shared" si="15"/>
        <v>0</v>
      </c>
      <c r="I52" s="37">
        <f t="shared" si="15"/>
        <v>0</v>
      </c>
      <c r="J52" s="37">
        <f t="shared" si="15"/>
        <v>0</v>
      </c>
      <c r="K52" s="37">
        <f t="shared" si="15"/>
        <v>0</v>
      </c>
      <c r="L52" s="37">
        <f t="shared" si="15"/>
        <v>0</v>
      </c>
      <c r="M52" s="37">
        <f t="shared" si="15"/>
        <v>0</v>
      </c>
      <c r="N52" s="37">
        <f t="shared" si="15"/>
        <v>0</v>
      </c>
      <c r="O52" s="37">
        <f t="shared" si="18"/>
        <v>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26000</v>
      </c>
      <c r="E54" s="37" t="s">
        <v>525</v>
      </c>
      <c r="F54" s="37">
        <f t="shared" ref="F54:P61" si="19">ROUND($D54/12,0)</f>
        <v>2167</v>
      </c>
      <c r="G54" s="37">
        <f t="shared" si="19"/>
        <v>2167</v>
      </c>
      <c r="H54" s="37">
        <f t="shared" si="19"/>
        <v>2167</v>
      </c>
      <c r="I54" s="37">
        <f t="shared" si="19"/>
        <v>2167</v>
      </c>
      <c r="J54" s="37">
        <f t="shared" si="19"/>
        <v>2167</v>
      </c>
      <c r="K54" s="37">
        <f t="shared" si="19"/>
        <v>2167</v>
      </c>
      <c r="L54" s="37">
        <f t="shared" si="19"/>
        <v>2167</v>
      </c>
      <c r="M54" s="37">
        <f t="shared" si="19"/>
        <v>2167</v>
      </c>
      <c r="N54" s="37">
        <f t="shared" si="19"/>
        <v>2167</v>
      </c>
      <c r="O54" s="37">
        <f t="shared" si="19"/>
        <v>2167</v>
      </c>
      <c r="P54" s="37">
        <f t="shared" si="19"/>
        <v>2167</v>
      </c>
      <c r="Q54" s="37">
        <f t="shared" ref="Q54:Q61" si="20">D54-SUM(F54:P54)</f>
        <v>2163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337000</v>
      </c>
      <c r="E60" s="37" t="s">
        <v>195</v>
      </c>
      <c r="F60" s="37">
        <f>D60</f>
        <v>337000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1519000</v>
      </c>
      <c r="E62" s="37" t="s">
        <v>197</v>
      </c>
      <c r="F62" s="37"/>
      <c r="G62" s="37"/>
      <c r="H62" s="37"/>
      <c r="I62" s="37">
        <f>ROUND($D62/5,-3)</f>
        <v>304000</v>
      </c>
      <c r="J62" s="37"/>
      <c r="K62" s="37"/>
      <c r="L62" s="37"/>
      <c r="M62" s="37"/>
      <c r="N62" s="37">
        <f>D62-I62</f>
        <v>1215000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1477000</v>
      </c>
      <c r="E63" s="37" t="s">
        <v>195</v>
      </c>
      <c r="F63" s="37">
        <f>D63</f>
        <v>1477000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1276000</v>
      </c>
      <c r="E64" s="114" t="s">
        <v>202</v>
      </c>
      <c r="F64" s="37">
        <f>ROUND($D64/12*3,-3)</f>
        <v>319000</v>
      </c>
      <c r="G64" s="37">
        <f>ROUND($D64/12,-3)</f>
        <v>106000</v>
      </c>
      <c r="H64" s="37">
        <f t="shared" ref="H64:N66" si="21">ROUND($D64/12,-3)</f>
        <v>106000</v>
      </c>
      <c r="I64" s="37">
        <f t="shared" si="21"/>
        <v>106000</v>
      </c>
      <c r="J64" s="37">
        <f t="shared" si="21"/>
        <v>106000</v>
      </c>
      <c r="K64" s="37">
        <f t="shared" si="21"/>
        <v>106000</v>
      </c>
      <c r="L64" s="37">
        <f t="shared" si="21"/>
        <v>106000</v>
      </c>
      <c r="M64" s="37">
        <f t="shared" si="21"/>
        <v>106000</v>
      </c>
      <c r="N64" s="37">
        <f t="shared" si="21"/>
        <v>106000</v>
      </c>
      <c r="O64" s="37">
        <f>D64-SUM(F64:N64)</f>
        <v>109000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300000</v>
      </c>
      <c r="E65" s="114" t="s">
        <v>202</v>
      </c>
      <c r="F65" s="37">
        <f t="shared" ref="F65:F66" si="22">ROUND($D65/12*3,-3)</f>
        <v>75000</v>
      </c>
      <c r="G65" s="37">
        <f t="shared" ref="G65:G66" si="23">ROUND($D65/12,-3)</f>
        <v>25000</v>
      </c>
      <c r="H65" s="37">
        <f t="shared" si="21"/>
        <v>25000</v>
      </c>
      <c r="I65" s="37">
        <f t="shared" si="21"/>
        <v>25000</v>
      </c>
      <c r="J65" s="37">
        <f t="shared" si="21"/>
        <v>25000</v>
      </c>
      <c r="K65" s="37">
        <f t="shared" si="21"/>
        <v>25000</v>
      </c>
      <c r="L65" s="37">
        <f t="shared" si="21"/>
        <v>25000</v>
      </c>
      <c r="M65" s="37">
        <f t="shared" si="21"/>
        <v>25000</v>
      </c>
      <c r="N65" s="37">
        <f t="shared" si="21"/>
        <v>25000</v>
      </c>
      <c r="O65" s="37">
        <f t="shared" ref="O65:O66" si="24">D65-SUM(F65:N65)</f>
        <v>25000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900000</v>
      </c>
      <c r="E66" s="114" t="s">
        <v>202</v>
      </c>
      <c r="F66" s="37">
        <f t="shared" si="22"/>
        <v>225000</v>
      </c>
      <c r="G66" s="37">
        <f t="shared" si="23"/>
        <v>75000</v>
      </c>
      <c r="H66" s="37">
        <f t="shared" si="21"/>
        <v>75000</v>
      </c>
      <c r="I66" s="37">
        <f t="shared" si="21"/>
        <v>75000</v>
      </c>
      <c r="J66" s="37">
        <f t="shared" si="21"/>
        <v>75000</v>
      </c>
      <c r="K66" s="37">
        <f t="shared" si="21"/>
        <v>75000</v>
      </c>
      <c r="L66" s="37">
        <f t="shared" si="21"/>
        <v>75000</v>
      </c>
      <c r="M66" s="37">
        <f t="shared" si="21"/>
        <v>75000</v>
      </c>
      <c r="N66" s="37">
        <f t="shared" si="21"/>
        <v>75000</v>
      </c>
      <c r="O66" s="37">
        <f t="shared" si="24"/>
        <v>75000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18000</v>
      </c>
      <c r="E67" s="37" t="s">
        <v>196</v>
      </c>
      <c r="F67" s="37"/>
      <c r="G67" s="37"/>
      <c r="H67" s="37">
        <f>D67</f>
        <v>18000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112000</v>
      </c>
      <c r="E68" s="37" t="s">
        <v>195</v>
      </c>
      <c r="F68" s="37">
        <f>D68</f>
        <v>112000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19041000</v>
      </c>
      <c r="E70" s="108"/>
      <c r="F70" s="108">
        <f t="shared" ref="F70:P70" si="25">ROUND(SUM(F49:F69),-3)</f>
        <v>5812000</v>
      </c>
      <c r="G70" s="108">
        <f t="shared" si="25"/>
        <v>1298000</v>
      </c>
      <c r="H70" s="108">
        <f t="shared" si="25"/>
        <v>1316000</v>
      </c>
      <c r="I70" s="108">
        <f t="shared" si="25"/>
        <v>1602000</v>
      </c>
      <c r="J70" s="108">
        <f t="shared" si="25"/>
        <v>1298000</v>
      </c>
      <c r="K70" s="108">
        <f t="shared" si="25"/>
        <v>1298000</v>
      </c>
      <c r="L70" s="108">
        <f t="shared" si="25"/>
        <v>1298000</v>
      </c>
      <c r="M70" s="108">
        <f t="shared" si="25"/>
        <v>1298000</v>
      </c>
      <c r="N70" s="108">
        <f t="shared" si="25"/>
        <v>2513000</v>
      </c>
      <c r="O70" s="108">
        <f t="shared" si="25"/>
        <v>1298000</v>
      </c>
      <c r="P70" s="108">
        <f t="shared" si="25"/>
        <v>4000</v>
      </c>
      <c r="Q70" s="108">
        <f>D70-SUM(F70:P70)</f>
        <v>6000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8215000</v>
      </c>
      <c r="E72" s="114" t="s">
        <v>202</v>
      </c>
      <c r="F72" s="37">
        <f>ROUND($D72/12*3,-3)</f>
        <v>2054000</v>
      </c>
      <c r="G72" s="37">
        <f>ROUND($D72/12,-3)</f>
        <v>685000</v>
      </c>
      <c r="H72" s="37">
        <f t="shared" ref="H72:N75" si="26">ROUND($D72/12,-3)</f>
        <v>685000</v>
      </c>
      <c r="I72" s="37">
        <f t="shared" si="26"/>
        <v>685000</v>
      </c>
      <c r="J72" s="37">
        <f t="shared" si="26"/>
        <v>685000</v>
      </c>
      <c r="K72" s="37">
        <f t="shared" si="26"/>
        <v>685000</v>
      </c>
      <c r="L72" s="37">
        <f t="shared" si="26"/>
        <v>685000</v>
      </c>
      <c r="M72" s="37">
        <f t="shared" si="26"/>
        <v>685000</v>
      </c>
      <c r="N72" s="37">
        <f t="shared" si="26"/>
        <v>685000</v>
      </c>
      <c r="O72" s="37">
        <f>D72-SUM(F72:N72)</f>
        <v>681000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253000</v>
      </c>
      <c r="E74" s="114" t="s">
        <v>202</v>
      </c>
      <c r="F74" s="37">
        <f>ROUND($D74/12*3,-3)</f>
        <v>63000</v>
      </c>
      <c r="G74" s="37">
        <f>ROUND($D74/12,-3)</f>
        <v>21000</v>
      </c>
      <c r="H74" s="37">
        <f t="shared" si="26"/>
        <v>21000</v>
      </c>
      <c r="I74" s="37">
        <f t="shared" si="26"/>
        <v>21000</v>
      </c>
      <c r="J74" s="37">
        <f t="shared" si="26"/>
        <v>21000</v>
      </c>
      <c r="K74" s="37">
        <f t="shared" si="26"/>
        <v>21000</v>
      </c>
      <c r="L74" s="37">
        <f t="shared" si="26"/>
        <v>21000</v>
      </c>
      <c r="M74" s="37">
        <f t="shared" si="26"/>
        <v>21000</v>
      </c>
      <c r="N74" s="37">
        <f t="shared" si="26"/>
        <v>21000</v>
      </c>
      <c r="O74" s="37">
        <f>D74-SUM(F74:N74)</f>
        <v>22000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0</v>
      </c>
      <c r="E75" s="114" t="s">
        <v>202</v>
      </c>
      <c r="F75" s="37">
        <f>ROUND($D75/12*3,-3)</f>
        <v>0</v>
      </c>
      <c r="G75" s="37">
        <f>ROUND($D75/12,-3)</f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37">
        <f t="shared" si="26"/>
        <v>0</v>
      </c>
      <c r="N75" s="37">
        <f t="shared" si="26"/>
        <v>0</v>
      </c>
      <c r="O75" s="37">
        <f>D75-SUM(F75:N75)</f>
        <v>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8468000</v>
      </c>
      <c r="E76" s="108"/>
      <c r="F76" s="108">
        <f>ROUND(SUM(F71:F75),-3)</f>
        <v>2117000</v>
      </c>
      <c r="G76" s="108">
        <f t="shared" ref="G76:N76" si="27">ROUND(SUM(G71:G75),-3)</f>
        <v>706000</v>
      </c>
      <c r="H76" s="108">
        <f t="shared" si="27"/>
        <v>706000</v>
      </c>
      <c r="I76" s="108">
        <f t="shared" si="27"/>
        <v>706000</v>
      </c>
      <c r="J76" s="108">
        <f t="shared" si="27"/>
        <v>706000</v>
      </c>
      <c r="K76" s="108">
        <f t="shared" si="27"/>
        <v>706000</v>
      </c>
      <c r="L76" s="108">
        <f t="shared" si="27"/>
        <v>706000</v>
      </c>
      <c r="M76" s="108">
        <f t="shared" si="27"/>
        <v>706000</v>
      </c>
      <c r="N76" s="108">
        <f t="shared" si="27"/>
        <v>706000</v>
      </c>
      <c r="O76" s="108">
        <f>D76-SUM(F76:N76)</f>
        <v>703000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305000</v>
      </c>
      <c r="E77" s="37" t="s">
        <v>681</v>
      </c>
      <c r="F77" s="224"/>
      <c r="G77" s="224"/>
      <c r="H77" s="224">
        <f>ROUND($D77/2,-3)</f>
        <v>153000</v>
      </c>
      <c r="I77" s="224"/>
      <c r="J77" s="224"/>
      <c r="K77" s="224"/>
      <c r="L77" s="224"/>
      <c r="M77" s="224"/>
      <c r="N77" s="224">
        <f>D77-H77</f>
        <v>152000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27814000</v>
      </c>
      <c r="E78" s="227"/>
      <c r="F78" s="227">
        <f>F76+F70+F77</f>
        <v>7929000</v>
      </c>
      <c r="G78" s="227">
        <f t="shared" ref="G78:Q78" si="29">G76+G70+G77</f>
        <v>2004000</v>
      </c>
      <c r="H78" s="227">
        <f t="shared" si="29"/>
        <v>2175000</v>
      </c>
      <c r="I78" s="227">
        <f t="shared" si="29"/>
        <v>2308000</v>
      </c>
      <c r="J78" s="227">
        <f t="shared" si="29"/>
        <v>2004000</v>
      </c>
      <c r="K78" s="227">
        <f t="shared" si="29"/>
        <v>2004000</v>
      </c>
      <c r="L78" s="227">
        <f t="shared" si="29"/>
        <v>2004000</v>
      </c>
      <c r="M78" s="227">
        <f t="shared" si="29"/>
        <v>2004000</v>
      </c>
      <c r="N78" s="227">
        <f t="shared" si="29"/>
        <v>3371000</v>
      </c>
      <c r="O78" s="227">
        <f t="shared" si="29"/>
        <v>2001000</v>
      </c>
      <c r="P78" s="227">
        <f t="shared" si="29"/>
        <v>4000</v>
      </c>
      <c r="Q78" s="227">
        <f t="shared" si="29"/>
        <v>6000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30000</v>
      </c>
      <c r="E82" s="108" t="s">
        <v>195</v>
      </c>
      <c r="F82" s="108">
        <f t="shared" si="30"/>
        <v>30000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30000</v>
      </c>
      <c r="E83" s="116"/>
      <c r="F83" s="116">
        <f>SUM(F79:F82)</f>
        <v>30000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-30000</v>
      </c>
      <c r="E86" s="37"/>
      <c r="F86" s="37">
        <f>D86</f>
        <v>-30000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28617000</v>
      </c>
      <c r="E87" s="37"/>
      <c r="F87" s="37">
        <f>F88+F89+F90+F91</f>
        <v>8009000</v>
      </c>
      <c r="G87" s="37">
        <f t="shared" ref="G87:Q87" si="32">G88+G89+G90+G91</f>
        <v>2069000</v>
      </c>
      <c r="H87" s="37">
        <f t="shared" si="32"/>
        <v>2240000</v>
      </c>
      <c r="I87" s="37">
        <f t="shared" si="32"/>
        <v>2373000</v>
      </c>
      <c r="J87" s="37">
        <f t="shared" si="32"/>
        <v>2069000</v>
      </c>
      <c r="K87" s="37">
        <f t="shared" si="32"/>
        <v>2069000</v>
      </c>
      <c r="L87" s="37">
        <f t="shared" si="32"/>
        <v>2084000</v>
      </c>
      <c r="M87" s="37">
        <f t="shared" si="32"/>
        <v>2069000</v>
      </c>
      <c r="N87" s="37">
        <f t="shared" si="32"/>
        <v>3436000</v>
      </c>
      <c r="O87" s="37">
        <f t="shared" si="32"/>
        <v>2066000</v>
      </c>
      <c r="P87" s="37">
        <f t="shared" si="32"/>
        <v>69000</v>
      </c>
      <c r="Q87" s="37">
        <f t="shared" si="32"/>
        <v>64000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0</v>
      </c>
      <c r="E88" s="108" t="s">
        <v>193</v>
      </c>
      <c r="F88" s="108">
        <f>ROUND($D88/2,-3)</f>
        <v>0</v>
      </c>
      <c r="G88" s="108"/>
      <c r="H88" s="108"/>
      <c r="I88" s="108"/>
      <c r="J88" s="108"/>
      <c r="K88" s="108"/>
      <c r="L88" s="108">
        <f>D88-F88</f>
        <v>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28617000</v>
      </c>
      <c r="E91" s="108"/>
      <c r="F91" s="108">
        <f>F92+F93+F94+F95</f>
        <v>8009000</v>
      </c>
      <c r="G91" s="108">
        <f t="shared" ref="G91:Q91" si="34">G92+G93+G94+G95</f>
        <v>2069000</v>
      </c>
      <c r="H91" s="108">
        <f t="shared" si="34"/>
        <v>2240000</v>
      </c>
      <c r="I91" s="108">
        <f t="shared" si="34"/>
        <v>2373000</v>
      </c>
      <c r="J91" s="108">
        <f t="shared" si="34"/>
        <v>2069000</v>
      </c>
      <c r="K91" s="108">
        <f t="shared" si="34"/>
        <v>2069000</v>
      </c>
      <c r="L91" s="108">
        <f t="shared" si="34"/>
        <v>2084000</v>
      </c>
      <c r="M91" s="108">
        <f t="shared" si="34"/>
        <v>2069000</v>
      </c>
      <c r="N91" s="108">
        <f t="shared" si="34"/>
        <v>3436000</v>
      </c>
      <c r="O91" s="108">
        <f t="shared" si="34"/>
        <v>2066000</v>
      </c>
      <c r="P91" s="108">
        <f t="shared" si="34"/>
        <v>69000</v>
      </c>
      <c r="Q91" s="108">
        <f t="shared" si="34"/>
        <v>64000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1300000</v>
      </c>
      <c r="E92" s="114" t="s">
        <v>537</v>
      </c>
      <c r="F92" s="37">
        <f>ROUND($D92/12*5,-3)</f>
        <v>542000</v>
      </c>
      <c r="G92" s="37">
        <f>ROUND($D92/12,-3)</f>
        <v>108000</v>
      </c>
      <c r="H92" s="37">
        <f t="shared" ref="H92:L92" si="35">ROUND($D92/12,-3)</f>
        <v>108000</v>
      </c>
      <c r="I92" s="37">
        <f t="shared" si="35"/>
        <v>108000</v>
      </c>
      <c r="J92" s="37">
        <f t="shared" si="35"/>
        <v>108000</v>
      </c>
      <c r="K92" s="37">
        <f t="shared" si="35"/>
        <v>108000</v>
      </c>
      <c r="L92" s="37">
        <f t="shared" si="35"/>
        <v>108000</v>
      </c>
      <c r="M92" s="37">
        <f>D92-SUM(F92:L92)</f>
        <v>110000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77000</v>
      </c>
      <c r="E93" s="189" t="s">
        <v>227</v>
      </c>
      <c r="F93" s="37">
        <f>ROUND($D93/12,-3)</f>
        <v>6000</v>
      </c>
      <c r="G93" s="37">
        <f t="shared" ref="G93:P93" si="36">ROUND($D93/12,-3)</f>
        <v>6000</v>
      </c>
      <c r="H93" s="37">
        <f t="shared" si="36"/>
        <v>6000</v>
      </c>
      <c r="I93" s="37">
        <f t="shared" si="36"/>
        <v>6000</v>
      </c>
      <c r="J93" s="37">
        <f t="shared" si="36"/>
        <v>6000</v>
      </c>
      <c r="K93" s="37">
        <f t="shared" si="36"/>
        <v>6000</v>
      </c>
      <c r="L93" s="37">
        <f t="shared" si="36"/>
        <v>6000</v>
      </c>
      <c r="M93" s="37">
        <f t="shared" si="36"/>
        <v>6000</v>
      </c>
      <c r="N93" s="37">
        <f t="shared" si="36"/>
        <v>6000</v>
      </c>
      <c r="O93" s="37">
        <f t="shared" si="36"/>
        <v>6000</v>
      </c>
      <c r="P93" s="37">
        <f t="shared" si="36"/>
        <v>6000</v>
      </c>
      <c r="Q93" s="37">
        <f>D93-SUM(F93:P93)</f>
        <v>11000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0</v>
      </c>
      <c r="E94" s="190" t="s">
        <v>229</v>
      </c>
      <c r="F94" s="37"/>
      <c r="G94" s="37"/>
      <c r="H94" s="37">
        <f>ROUND($D94/2,-3)</f>
        <v>0</v>
      </c>
      <c r="I94" s="37"/>
      <c r="J94" s="37"/>
      <c r="K94" s="37"/>
      <c r="L94" s="37"/>
      <c r="M94" s="37"/>
      <c r="N94" s="37"/>
      <c r="O94" s="37">
        <f>D94-H94</f>
        <v>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27240000</v>
      </c>
      <c r="E95" s="37"/>
      <c r="F95" s="37">
        <f>F2+F86-F88-F89-F90-F92-F93-F94</f>
        <v>7461000</v>
      </c>
      <c r="G95" s="37">
        <f t="shared" ref="G95:Q95" si="37">G2-G88-G89-G90-G92-G93-G94</f>
        <v>1955000</v>
      </c>
      <c r="H95" s="37">
        <f t="shared" si="37"/>
        <v>2126000</v>
      </c>
      <c r="I95" s="37">
        <f t="shared" si="37"/>
        <v>2259000</v>
      </c>
      <c r="J95" s="37">
        <f t="shared" si="37"/>
        <v>1955000</v>
      </c>
      <c r="K95" s="37">
        <f t="shared" si="37"/>
        <v>1955000</v>
      </c>
      <c r="L95" s="37">
        <f t="shared" si="37"/>
        <v>1970000</v>
      </c>
      <c r="M95" s="37">
        <f t="shared" si="37"/>
        <v>1953000</v>
      </c>
      <c r="N95" s="37">
        <f t="shared" si="37"/>
        <v>3430000</v>
      </c>
      <c r="O95" s="37">
        <f t="shared" si="37"/>
        <v>2060000</v>
      </c>
      <c r="P95" s="37">
        <f t="shared" si="37"/>
        <v>63000</v>
      </c>
      <c r="Q95" s="37">
        <f t="shared" si="37"/>
        <v>53000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0</v>
      </c>
    </row>
    <row r="102" spans="2:17" ht="32.4">
      <c r="B102" s="71" t="s">
        <v>238</v>
      </c>
      <c r="D102" s="30">
        <f>HLOOKUP(D1,[1]縣庫撥款收入明細表!H:DD,16,FALSE)</f>
        <v>72000</v>
      </c>
    </row>
    <row r="103" spans="2:17" ht="32.4">
      <c r="B103" s="72" t="s">
        <v>239</v>
      </c>
      <c r="D103" s="30">
        <f>HLOOKUP(D1,[1]縣庫撥款收入明細表!H:DD,17,FALSE)</f>
        <v>650000</v>
      </c>
    </row>
    <row r="104" spans="2:17" ht="32.4">
      <c r="B104" s="76" t="s">
        <v>240</v>
      </c>
      <c r="D104" s="30">
        <f>HLOOKUP(D1,[1]縣庫撥款收入明細表!H:DD,18,FALSE)</f>
        <v>0</v>
      </c>
    </row>
    <row r="105" spans="2:17" ht="32.4">
      <c r="B105" s="72" t="s">
        <v>380</v>
      </c>
      <c r="D105" s="30">
        <f>HLOOKUP(D1,[1]縣庫撥款收入明細表!H:DD,19,FALSE)</f>
        <v>650000</v>
      </c>
    </row>
    <row r="106" spans="2:17" ht="32.4">
      <c r="B106" s="71" t="s">
        <v>241</v>
      </c>
      <c r="D106" s="30">
        <f>HLOOKUP(D1,[1]縣庫撥款收入明細表!H:DD,20,FALSE)</f>
        <v>5000</v>
      </c>
    </row>
    <row r="107" spans="2:17" ht="32.4">
      <c r="B107" s="77" t="s">
        <v>242</v>
      </c>
      <c r="D107" s="30">
        <f>HLOOKUP(D1,[1]縣庫撥款收入明細表!H:DD,21,FALSE)</f>
        <v>27240000</v>
      </c>
    </row>
    <row r="108" spans="2:17" ht="16.5" customHeight="1"/>
    <row r="109" spans="2:17" ht="16.5" customHeight="1">
      <c r="B109" s="4" t="s">
        <v>682</v>
      </c>
      <c r="D109" s="30">
        <f>D91-D76</f>
        <v>20149000</v>
      </c>
      <c r="F109" s="30">
        <f>F91-F76</f>
        <v>5892000</v>
      </c>
      <c r="G109" s="30">
        <f t="shared" ref="G109:Q109" si="38">G91-G76</f>
        <v>1363000</v>
      </c>
      <c r="H109" s="30">
        <f t="shared" si="38"/>
        <v>1534000</v>
      </c>
      <c r="I109" s="30">
        <f t="shared" si="38"/>
        <v>1667000</v>
      </c>
      <c r="J109" s="30">
        <f t="shared" si="38"/>
        <v>1363000</v>
      </c>
      <c r="K109" s="30">
        <f t="shared" si="38"/>
        <v>1363000</v>
      </c>
      <c r="L109" s="30">
        <f t="shared" si="38"/>
        <v>1378000</v>
      </c>
      <c r="M109" s="30">
        <f t="shared" si="38"/>
        <v>1363000</v>
      </c>
      <c r="N109" s="30">
        <f t="shared" si="38"/>
        <v>2730000</v>
      </c>
      <c r="O109" s="30">
        <f t="shared" si="38"/>
        <v>1363000</v>
      </c>
      <c r="P109" s="30">
        <f t="shared" si="38"/>
        <v>69000</v>
      </c>
      <c r="Q109" s="30">
        <f t="shared" si="38"/>
        <v>64000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28" priority="1" operator="lessThan">
      <formula>0</formula>
    </cfRule>
  </conditionalFormatting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694</v>
      </c>
      <c r="D1" s="28" t="str">
        <f>VLOOKUP(C1,[1]學校編號!A:B,2,FALSE)</f>
        <v>694紅葉國小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27741000</v>
      </c>
      <c r="E2" s="37"/>
      <c r="F2" s="37">
        <f>F48+F70+F76+F77+F83</f>
        <v>7937000</v>
      </c>
      <c r="G2" s="37">
        <f t="shared" ref="G2:Q2" si="0">G48+G70+G76+G77+G83</f>
        <v>1970000</v>
      </c>
      <c r="H2" s="37">
        <f t="shared" si="0"/>
        <v>2049000</v>
      </c>
      <c r="I2" s="37">
        <f t="shared" si="0"/>
        <v>2318000</v>
      </c>
      <c r="J2" s="37">
        <f t="shared" si="0"/>
        <v>1970000</v>
      </c>
      <c r="K2" s="37">
        <f t="shared" si="0"/>
        <v>1972000</v>
      </c>
      <c r="L2" s="37">
        <f t="shared" si="0"/>
        <v>2029000</v>
      </c>
      <c r="M2" s="37">
        <f t="shared" si="0"/>
        <v>1970000</v>
      </c>
      <c r="N2" s="37">
        <f t="shared" si="0"/>
        <v>3416000</v>
      </c>
      <c r="O2" s="37">
        <f t="shared" si="0"/>
        <v>1965000</v>
      </c>
      <c r="P2" s="37">
        <f t="shared" si="0"/>
        <v>75000</v>
      </c>
      <c r="Q2" s="37">
        <f t="shared" si="0"/>
        <v>70000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153000</v>
      </c>
      <c r="E3" s="37" t="s">
        <v>525</v>
      </c>
      <c r="F3" s="37">
        <f t="shared" ref="F3:P17" si="1">ROUND($D3/12,0)</f>
        <v>12750</v>
      </c>
      <c r="G3" s="37">
        <f t="shared" si="1"/>
        <v>12750</v>
      </c>
      <c r="H3" s="37">
        <f t="shared" si="1"/>
        <v>12750</v>
      </c>
      <c r="I3" s="37">
        <f t="shared" si="1"/>
        <v>12750</v>
      </c>
      <c r="J3" s="37">
        <f t="shared" si="1"/>
        <v>12750</v>
      </c>
      <c r="K3" s="37">
        <f t="shared" si="1"/>
        <v>12750</v>
      </c>
      <c r="L3" s="37">
        <f t="shared" si="1"/>
        <v>12750</v>
      </c>
      <c r="M3" s="37">
        <f t="shared" si="1"/>
        <v>12750</v>
      </c>
      <c r="N3" s="37">
        <f t="shared" si="1"/>
        <v>12750</v>
      </c>
      <c r="O3" s="37">
        <f t="shared" si="1"/>
        <v>12750</v>
      </c>
      <c r="P3" s="37">
        <f t="shared" si="1"/>
        <v>12750</v>
      </c>
      <c r="Q3" s="37">
        <f t="shared" ref="Q3:Q10" si="2">D3-SUM(F3:P3)</f>
        <v>12750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66000</v>
      </c>
      <c r="E4" s="37" t="s">
        <v>525</v>
      </c>
      <c r="F4" s="37">
        <f t="shared" si="1"/>
        <v>5500</v>
      </c>
      <c r="G4" s="37">
        <f t="shared" si="1"/>
        <v>5500</v>
      </c>
      <c r="H4" s="37">
        <f t="shared" si="1"/>
        <v>5500</v>
      </c>
      <c r="I4" s="37">
        <f t="shared" si="1"/>
        <v>5500</v>
      </c>
      <c r="J4" s="37">
        <f t="shared" si="1"/>
        <v>5500</v>
      </c>
      <c r="K4" s="37">
        <f t="shared" si="1"/>
        <v>5500</v>
      </c>
      <c r="L4" s="37">
        <f t="shared" si="1"/>
        <v>5500</v>
      </c>
      <c r="M4" s="37">
        <f t="shared" si="1"/>
        <v>5500</v>
      </c>
      <c r="N4" s="37">
        <f t="shared" si="1"/>
        <v>5500</v>
      </c>
      <c r="O4" s="37">
        <f t="shared" si="1"/>
        <v>5500</v>
      </c>
      <c r="P4" s="37">
        <f t="shared" si="1"/>
        <v>5500</v>
      </c>
      <c r="Q4" s="37">
        <f t="shared" si="2"/>
        <v>5500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0</v>
      </c>
      <c r="E8" s="37" t="s">
        <v>525</v>
      </c>
      <c r="F8" s="37">
        <f t="shared" si="1"/>
        <v>0</v>
      </c>
      <c r="G8" s="37">
        <f t="shared" si="1"/>
        <v>0</v>
      </c>
      <c r="H8" s="37">
        <f t="shared" si="1"/>
        <v>0</v>
      </c>
      <c r="I8" s="37">
        <f t="shared" si="1"/>
        <v>0</v>
      </c>
      <c r="J8" s="37">
        <f t="shared" si="1"/>
        <v>0</v>
      </c>
      <c r="K8" s="37">
        <f t="shared" si="1"/>
        <v>0</v>
      </c>
      <c r="L8" s="37">
        <f t="shared" si="1"/>
        <v>0</v>
      </c>
      <c r="M8" s="37">
        <f t="shared" si="1"/>
        <v>0</v>
      </c>
      <c r="N8" s="37">
        <f t="shared" si="1"/>
        <v>0</v>
      </c>
      <c r="O8" s="37">
        <f t="shared" si="1"/>
        <v>0</v>
      </c>
      <c r="P8" s="37">
        <f t="shared" si="1"/>
        <v>0</v>
      </c>
      <c r="Q8" s="37">
        <f t="shared" si="2"/>
        <v>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0</v>
      </c>
      <c r="E9" s="37" t="s">
        <v>525</v>
      </c>
      <c r="F9" s="37">
        <f t="shared" si="1"/>
        <v>0</v>
      </c>
      <c r="G9" s="37">
        <f t="shared" si="1"/>
        <v>0</v>
      </c>
      <c r="H9" s="37">
        <f t="shared" si="1"/>
        <v>0</v>
      </c>
      <c r="I9" s="37">
        <f t="shared" si="1"/>
        <v>0</v>
      </c>
      <c r="J9" s="37">
        <f t="shared" si="1"/>
        <v>0</v>
      </c>
      <c r="K9" s="37">
        <f t="shared" si="1"/>
        <v>0</v>
      </c>
      <c r="L9" s="37">
        <f t="shared" si="1"/>
        <v>0</v>
      </c>
      <c r="M9" s="37">
        <f t="shared" si="1"/>
        <v>0</v>
      </c>
      <c r="N9" s="37">
        <f t="shared" si="1"/>
        <v>0</v>
      </c>
      <c r="O9" s="37">
        <f t="shared" si="1"/>
        <v>0</v>
      </c>
      <c r="P9" s="37">
        <f t="shared" si="1"/>
        <v>0</v>
      </c>
      <c r="Q9" s="37">
        <f t="shared" si="2"/>
        <v>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68000</v>
      </c>
      <c r="E13" s="37" t="s">
        <v>525</v>
      </c>
      <c r="F13" s="37">
        <f>ROUND($D13/12,0)</f>
        <v>5667</v>
      </c>
      <c r="G13" s="37">
        <f t="shared" si="1"/>
        <v>5667</v>
      </c>
      <c r="H13" s="37">
        <f t="shared" si="1"/>
        <v>5667</v>
      </c>
      <c r="I13" s="37">
        <f t="shared" si="1"/>
        <v>5667</v>
      </c>
      <c r="J13" s="37">
        <f t="shared" si="1"/>
        <v>5667</v>
      </c>
      <c r="K13" s="37">
        <f t="shared" si="1"/>
        <v>5667</v>
      </c>
      <c r="L13" s="37">
        <f t="shared" si="1"/>
        <v>5667</v>
      </c>
      <c r="M13" s="37">
        <f t="shared" si="1"/>
        <v>5667</v>
      </c>
      <c r="N13" s="37">
        <f t="shared" si="1"/>
        <v>5667</v>
      </c>
      <c r="O13" s="37">
        <f t="shared" si="1"/>
        <v>5667</v>
      </c>
      <c r="P13" s="37">
        <f t="shared" si="1"/>
        <v>5667</v>
      </c>
      <c r="Q13" s="37">
        <f>D13-SUM(F13:P13)</f>
        <v>5663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60000</v>
      </c>
      <c r="E14" s="37" t="s">
        <v>525</v>
      </c>
      <c r="F14" s="37">
        <f>ROUND($D14/12,0)</f>
        <v>5000</v>
      </c>
      <c r="G14" s="37">
        <f t="shared" si="1"/>
        <v>5000</v>
      </c>
      <c r="H14" s="37">
        <f t="shared" si="1"/>
        <v>5000</v>
      </c>
      <c r="I14" s="37">
        <f t="shared" si="1"/>
        <v>5000</v>
      </c>
      <c r="J14" s="37">
        <f t="shared" si="1"/>
        <v>5000</v>
      </c>
      <c r="K14" s="37">
        <f t="shared" si="1"/>
        <v>5000</v>
      </c>
      <c r="L14" s="37">
        <f t="shared" si="1"/>
        <v>5000</v>
      </c>
      <c r="M14" s="37">
        <f t="shared" si="1"/>
        <v>5000</v>
      </c>
      <c r="N14" s="37">
        <f t="shared" si="1"/>
        <v>5000</v>
      </c>
      <c r="O14" s="37">
        <f t="shared" si="1"/>
        <v>5000</v>
      </c>
      <c r="P14" s="37">
        <f t="shared" si="1"/>
        <v>5000</v>
      </c>
      <c r="Q14" s="37">
        <f>D14-SUM(F14:P14)</f>
        <v>5000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34000</v>
      </c>
      <c r="E15" s="37" t="s">
        <v>193</v>
      </c>
      <c r="F15" s="37">
        <f>ROUND($D15/2,-3)</f>
        <v>17000</v>
      </c>
      <c r="G15" s="37"/>
      <c r="H15" s="37"/>
      <c r="I15" s="37"/>
      <c r="J15" s="37"/>
      <c r="K15" s="37"/>
      <c r="L15" s="37">
        <f>D15-F15</f>
        <v>17000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96000</v>
      </c>
      <c r="E16" s="37" t="s">
        <v>525</v>
      </c>
      <c r="F16" s="37">
        <f>ROUND($D16/12,0)</f>
        <v>8000</v>
      </c>
      <c r="G16" s="37">
        <f t="shared" si="1"/>
        <v>8000</v>
      </c>
      <c r="H16" s="37">
        <f t="shared" si="1"/>
        <v>8000</v>
      </c>
      <c r="I16" s="37">
        <f t="shared" si="1"/>
        <v>8000</v>
      </c>
      <c r="J16" s="37">
        <f t="shared" si="1"/>
        <v>8000</v>
      </c>
      <c r="K16" s="37">
        <f t="shared" si="1"/>
        <v>8000</v>
      </c>
      <c r="L16" s="37">
        <f t="shared" si="1"/>
        <v>8000</v>
      </c>
      <c r="M16" s="37">
        <f t="shared" si="1"/>
        <v>8000</v>
      </c>
      <c r="N16" s="37">
        <f t="shared" si="1"/>
        <v>8000</v>
      </c>
      <c r="O16" s="37">
        <f t="shared" si="1"/>
        <v>8000</v>
      </c>
      <c r="P16" s="37">
        <f t="shared" si="1"/>
        <v>8000</v>
      </c>
      <c r="Q16" s="37">
        <f>D16-SUM(F16:P16)</f>
        <v>8000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44000</v>
      </c>
      <c r="E17" s="37" t="s">
        <v>525</v>
      </c>
      <c r="F17" s="37">
        <f>ROUND($D17/12,0)</f>
        <v>3667</v>
      </c>
      <c r="G17" s="37">
        <f t="shared" si="1"/>
        <v>3667</v>
      </c>
      <c r="H17" s="37">
        <f t="shared" si="1"/>
        <v>3667</v>
      </c>
      <c r="I17" s="37">
        <f t="shared" si="1"/>
        <v>3667</v>
      </c>
      <c r="J17" s="37">
        <f t="shared" si="1"/>
        <v>3667</v>
      </c>
      <c r="K17" s="37">
        <f t="shared" si="1"/>
        <v>3667</v>
      </c>
      <c r="L17" s="37">
        <f t="shared" si="1"/>
        <v>3667</v>
      </c>
      <c r="M17" s="37">
        <f t="shared" si="1"/>
        <v>3667</v>
      </c>
      <c r="N17" s="37">
        <f t="shared" si="1"/>
        <v>3667</v>
      </c>
      <c r="O17" s="37">
        <f t="shared" si="1"/>
        <v>3667</v>
      </c>
      <c r="P17" s="37">
        <f t="shared" si="1"/>
        <v>3667</v>
      </c>
      <c r="Q17" s="37">
        <f>D17-SUM(F17:P17)</f>
        <v>3663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60000</v>
      </c>
      <c r="E24" s="37" t="s">
        <v>193</v>
      </c>
      <c r="F24" s="37">
        <f>ROUND($D24/2,-3)</f>
        <v>30000</v>
      </c>
      <c r="G24" s="37"/>
      <c r="H24" s="37"/>
      <c r="I24" s="37"/>
      <c r="J24" s="37"/>
      <c r="K24" s="37"/>
      <c r="L24" s="37">
        <f>D24-F24</f>
        <v>30000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645000</v>
      </c>
      <c r="E25" s="108"/>
      <c r="F25" s="108">
        <f>ROUND(SUM(F3:F24),-3)</f>
        <v>93000</v>
      </c>
      <c r="G25" s="108">
        <f t="shared" ref="G25:P25" si="5">ROUND(SUM(G3:G24),-3)</f>
        <v>46000</v>
      </c>
      <c r="H25" s="108">
        <f t="shared" si="5"/>
        <v>46000</v>
      </c>
      <c r="I25" s="108">
        <f t="shared" si="5"/>
        <v>46000</v>
      </c>
      <c r="J25" s="108">
        <f t="shared" si="5"/>
        <v>46000</v>
      </c>
      <c r="K25" s="108">
        <f t="shared" si="5"/>
        <v>46000</v>
      </c>
      <c r="L25" s="108">
        <f t="shared" si="5"/>
        <v>93000</v>
      </c>
      <c r="M25" s="108">
        <f t="shared" si="5"/>
        <v>46000</v>
      </c>
      <c r="N25" s="108">
        <f t="shared" si="5"/>
        <v>46000</v>
      </c>
      <c r="O25" s="108">
        <f t="shared" si="5"/>
        <v>46000</v>
      </c>
      <c r="P25" s="108">
        <f t="shared" si="5"/>
        <v>46000</v>
      </c>
      <c r="Q25" s="108">
        <f t="shared" ref="Q25:Q33" si="6">D25-SUM(F25:P25)</f>
        <v>45000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253000</v>
      </c>
      <c r="E27" s="37" t="s">
        <v>525</v>
      </c>
      <c r="F27" s="37">
        <f t="shared" ref="F27:P33" si="8">ROUND($D27/12,0)</f>
        <v>21083</v>
      </c>
      <c r="G27" s="37">
        <f t="shared" si="8"/>
        <v>21083</v>
      </c>
      <c r="H27" s="37">
        <f t="shared" si="8"/>
        <v>21083</v>
      </c>
      <c r="I27" s="37">
        <f t="shared" si="8"/>
        <v>21083</v>
      </c>
      <c r="J27" s="37">
        <f t="shared" si="8"/>
        <v>21083</v>
      </c>
      <c r="K27" s="37">
        <f t="shared" si="8"/>
        <v>21083</v>
      </c>
      <c r="L27" s="37">
        <f t="shared" si="8"/>
        <v>21083</v>
      </c>
      <c r="M27" s="37">
        <f t="shared" si="8"/>
        <v>21083</v>
      </c>
      <c r="N27" s="37">
        <f t="shared" si="8"/>
        <v>21083</v>
      </c>
      <c r="O27" s="37">
        <f t="shared" si="8"/>
        <v>21083</v>
      </c>
      <c r="P27" s="37">
        <f t="shared" si="8"/>
        <v>21083</v>
      </c>
      <c r="Q27" s="37">
        <f t="shared" si="6"/>
        <v>21087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20000</v>
      </c>
      <c r="E29" s="37" t="s">
        <v>525</v>
      </c>
      <c r="F29" s="37">
        <f t="shared" si="8"/>
        <v>1667</v>
      </c>
      <c r="G29" s="37">
        <f t="shared" si="8"/>
        <v>1667</v>
      </c>
      <c r="H29" s="37">
        <f t="shared" si="8"/>
        <v>1667</v>
      </c>
      <c r="I29" s="37">
        <f t="shared" si="8"/>
        <v>1667</v>
      </c>
      <c r="J29" s="37">
        <f t="shared" si="8"/>
        <v>1667</v>
      </c>
      <c r="K29" s="37">
        <f t="shared" si="8"/>
        <v>1667</v>
      </c>
      <c r="L29" s="37">
        <f t="shared" si="8"/>
        <v>1667</v>
      </c>
      <c r="M29" s="37">
        <f t="shared" si="8"/>
        <v>1667</v>
      </c>
      <c r="N29" s="37">
        <f t="shared" si="8"/>
        <v>1667</v>
      </c>
      <c r="O29" s="37">
        <f t="shared" si="8"/>
        <v>1667</v>
      </c>
      <c r="P29" s="37">
        <f t="shared" si="8"/>
        <v>1667</v>
      </c>
      <c r="Q29" s="37">
        <f t="shared" si="6"/>
        <v>1663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8000</v>
      </c>
      <c r="E30" s="37" t="s">
        <v>525</v>
      </c>
      <c r="F30" s="37">
        <f t="shared" si="8"/>
        <v>667</v>
      </c>
      <c r="G30" s="37">
        <f t="shared" si="8"/>
        <v>667</v>
      </c>
      <c r="H30" s="37">
        <f t="shared" si="8"/>
        <v>667</v>
      </c>
      <c r="I30" s="37">
        <f t="shared" si="8"/>
        <v>667</v>
      </c>
      <c r="J30" s="37">
        <f t="shared" si="8"/>
        <v>667</v>
      </c>
      <c r="K30" s="37">
        <f t="shared" si="8"/>
        <v>667</v>
      </c>
      <c r="L30" s="37">
        <f t="shared" si="8"/>
        <v>667</v>
      </c>
      <c r="M30" s="37">
        <f t="shared" si="8"/>
        <v>667</v>
      </c>
      <c r="N30" s="37">
        <f t="shared" si="8"/>
        <v>667</v>
      </c>
      <c r="O30" s="37">
        <f t="shared" si="8"/>
        <v>667</v>
      </c>
      <c r="P30" s="37">
        <f t="shared" si="8"/>
        <v>667</v>
      </c>
      <c r="Q30" s="37">
        <f t="shared" si="6"/>
        <v>663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4000</v>
      </c>
      <c r="E31" s="37" t="s">
        <v>525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25000</v>
      </c>
      <c r="E36" s="37" t="s">
        <v>193</v>
      </c>
      <c r="F36" s="37">
        <f>ROUND($D36/2,-3)</f>
        <v>13000</v>
      </c>
      <c r="G36" s="37"/>
      <c r="H36" s="37"/>
      <c r="I36" s="37"/>
      <c r="J36" s="37"/>
      <c r="K36" s="37"/>
      <c r="L36" s="37">
        <f>D36-F36</f>
        <v>12000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310000</v>
      </c>
      <c r="E37" s="108"/>
      <c r="F37" s="108">
        <f t="shared" ref="F37:P37" si="9">ROUND(SUM(F26:F36),-3)</f>
        <v>37000</v>
      </c>
      <c r="G37" s="108">
        <f t="shared" si="9"/>
        <v>24000</v>
      </c>
      <c r="H37" s="108">
        <f t="shared" si="9"/>
        <v>24000</v>
      </c>
      <c r="I37" s="108">
        <f t="shared" si="9"/>
        <v>24000</v>
      </c>
      <c r="J37" s="108">
        <f t="shared" si="9"/>
        <v>24000</v>
      </c>
      <c r="K37" s="108">
        <f t="shared" si="9"/>
        <v>24000</v>
      </c>
      <c r="L37" s="108">
        <f t="shared" si="9"/>
        <v>36000</v>
      </c>
      <c r="M37" s="108">
        <f t="shared" si="9"/>
        <v>24000</v>
      </c>
      <c r="N37" s="108">
        <f t="shared" si="9"/>
        <v>24000</v>
      </c>
      <c r="O37" s="108">
        <f t="shared" si="9"/>
        <v>24000</v>
      </c>
      <c r="P37" s="108">
        <f t="shared" si="9"/>
        <v>24000</v>
      </c>
      <c r="Q37" s="108">
        <f>D37-SUM(F37:P37)</f>
        <v>21000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6000</v>
      </c>
      <c r="E46" s="37" t="s">
        <v>194</v>
      </c>
      <c r="F46" s="37">
        <f>ROUND($D46/3,0)</f>
        <v>2000</v>
      </c>
      <c r="G46" s="37"/>
      <c r="H46" s="37"/>
      <c r="I46" s="37"/>
      <c r="J46" s="37"/>
      <c r="K46" s="37">
        <f>ROUND($D46/3,0)</f>
        <v>2000</v>
      </c>
      <c r="L46" s="37"/>
      <c r="M46" s="37"/>
      <c r="N46" s="37">
        <f>ROUND($D46/3,0)</f>
        <v>2000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6000</v>
      </c>
      <c r="E47" s="108"/>
      <c r="F47" s="108">
        <f t="shared" ref="F47:P47" si="13">ROUND(SUM(F46),-3)</f>
        <v>2000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2000</v>
      </c>
      <c r="L47" s="108">
        <f t="shared" si="13"/>
        <v>0</v>
      </c>
      <c r="M47" s="108">
        <f t="shared" si="13"/>
        <v>0</v>
      </c>
      <c r="N47" s="108">
        <f t="shared" si="13"/>
        <v>2000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961000</v>
      </c>
      <c r="E48" s="37"/>
      <c r="F48" s="115">
        <f>F25+F37+F45+F47</f>
        <v>132000</v>
      </c>
      <c r="G48" s="115">
        <f t="shared" ref="G48:R48" si="14">G25+G37+G45+G47</f>
        <v>70000</v>
      </c>
      <c r="H48" s="115">
        <f t="shared" si="14"/>
        <v>70000</v>
      </c>
      <c r="I48" s="115">
        <f t="shared" si="14"/>
        <v>70000</v>
      </c>
      <c r="J48" s="115">
        <f t="shared" si="14"/>
        <v>70000</v>
      </c>
      <c r="K48" s="115">
        <f t="shared" si="14"/>
        <v>72000</v>
      </c>
      <c r="L48" s="115">
        <f t="shared" si="14"/>
        <v>129000</v>
      </c>
      <c r="M48" s="115">
        <f t="shared" si="14"/>
        <v>70000</v>
      </c>
      <c r="N48" s="115">
        <f t="shared" si="14"/>
        <v>72000</v>
      </c>
      <c r="O48" s="115">
        <f t="shared" si="14"/>
        <v>70000</v>
      </c>
      <c r="P48" s="115">
        <f t="shared" si="14"/>
        <v>70000</v>
      </c>
      <c r="Q48" s="115">
        <f t="shared" si="14"/>
        <v>66000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14171000</v>
      </c>
      <c r="E49" s="114" t="s">
        <v>202</v>
      </c>
      <c r="F49" s="37">
        <f>ROUND($D49/12*3,-3)</f>
        <v>3543000</v>
      </c>
      <c r="G49" s="37">
        <f>ROUND($D49/12,-3)</f>
        <v>1181000</v>
      </c>
      <c r="H49" s="37">
        <f t="shared" ref="H49:N53" si="15">ROUND($D49/12,-3)</f>
        <v>1181000</v>
      </c>
      <c r="I49" s="37">
        <f t="shared" si="15"/>
        <v>1181000</v>
      </c>
      <c r="J49" s="37">
        <f t="shared" si="15"/>
        <v>1181000</v>
      </c>
      <c r="K49" s="37">
        <f t="shared" si="15"/>
        <v>1181000</v>
      </c>
      <c r="L49" s="37">
        <f t="shared" si="15"/>
        <v>1181000</v>
      </c>
      <c r="M49" s="37">
        <f t="shared" si="15"/>
        <v>1181000</v>
      </c>
      <c r="N49" s="37">
        <f t="shared" si="15"/>
        <v>1181000</v>
      </c>
      <c r="O49" s="37">
        <f>D49-SUM(F49:N49)</f>
        <v>1180000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1412000</v>
      </c>
      <c r="E51" s="114" t="s">
        <v>202</v>
      </c>
      <c r="F51" s="37">
        <f t="shared" si="16"/>
        <v>353000</v>
      </c>
      <c r="G51" s="37">
        <f t="shared" si="17"/>
        <v>118000</v>
      </c>
      <c r="H51" s="37">
        <f t="shared" si="15"/>
        <v>118000</v>
      </c>
      <c r="I51" s="37">
        <f t="shared" si="15"/>
        <v>118000</v>
      </c>
      <c r="J51" s="37">
        <f t="shared" si="15"/>
        <v>118000</v>
      </c>
      <c r="K51" s="37">
        <f t="shared" si="15"/>
        <v>118000</v>
      </c>
      <c r="L51" s="37">
        <f t="shared" si="15"/>
        <v>118000</v>
      </c>
      <c r="M51" s="37">
        <f t="shared" si="15"/>
        <v>118000</v>
      </c>
      <c r="N51" s="37">
        <f t="shared" si="15"/>
        <v>118000</v>
      </c>
      <c r="O51" s="37">
        <f t="shared" si="18"/>
        <v>115000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35000</v>
      </c>
      <c r="E54" s="37" t="s">
        <v>525</v>
      </c>
      <c r="F54" s="37">
        <f t="shared" ref="F54:P61" si="19">ROUND($D54/12,0)</f>
        <v>2917</v>
      </c>
      <c r="G54" s="37">
        <f t="shared" si="19"/>
        <v>2917</v>
      </c>
      <c r="H54" s="37">
        <f t="shared" si="19"/>
        <v>2917</v>
      </c>
      <c r="I54" s="37">
        <f t="shared" si="19"/>
        <v>2917</v>
      </c>
      <c r="J54" s="37">
        <f t="shared" si="19"/>
        <v>2917</v>
      </c>
      <c r="K54" s="37">
        <f t="shared" si="19"/>
        <v>2917</v>
      </c>
      <c r="L54" s="37">
        <f t="shared" si="19"/>
        <v>2917</v>
      </c>
      <c r="M54" s="37">
        <f t="shared" si="19"/>
        <v>2917</v>
      </c>
      <c r="N54" s="37">
        <f t="shared" si="19"/>
        <v>2917</v>
      </c>
      <c r="O54" s="37">
        <f t="shared" si="19"/>
        <v>2917</v>
      </c>
      <c r="P54" s="37">
        <f t="shared" si="19"/>
        <v>2917</v>
      </c>
      <c r="Q54" s="37">
        <f t="shared" ref="Q54:Q61" si="20">D54-SUM(F54:P54)</f>
        <v>2913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370000</v>
      </c>
      <c r="E60" s="37" t="s">
        <v>195</v>
      </c>
      <c r="F60" s="37">
        <f>D60</f>
        <v>370000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1741000</v>
      </c>
      <c r="E62" s="37" t="s">
        <v>197</v>
      </c>
      <c r="F62" s="37"/>
      <c r="G62" s="37"/>
      <c r="H62" s="37"/>
      <c r="I62" s="37">
        <f>ROUND($D62/5,-3)</f>
        <v>348000</v>
      </c>
      <c r="J62" s="37"/>
      <c r="K62" s="37"/>
      <c r="L62" s="37"/>
      <c r="M62" s="37"/>
      <c r="N62" s="37">
        <f>D62-I62</f>
        <v>1393000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1577000</v>
      </c>
      <c r="E63" s="37" t="s">
        <v>195</v>
      </c>
      <c r="F63" s="37">
        <f>D63</f>
        <v>1577000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1411000</v>
      </c>
      <c r="E64" s="114" t="s">
        <v>202</v>
      </c>
      <c r="F64" s="37">
        <f>ROUND($D64/12*3,-3)</f>
        <v>353000</v>
      </c>
      <c r="G64" s="37">
        <f>ROUND($D64/12,-3)</f>
        <v>118000</v>
      </c>
      <c r="H64" s="37">
        <f t="shared" ref="H64:N66" si="21">ROUND($D64/12,-3)</f>
        <v>118000</v>
      </c>
      <c r="I64" s="37">
        <f t="shared" si="21"/>
        <v>118000</v>
      </c>
      <c r="J64" s="37">
        <f t="shared" si="21"/>
        <v>118000</v>
      </c>
      <c r="K64" s="37">
        <f t="shared" si="21"/>
        <v>118000</v>
      </c>
      <c r="L64" s="37">
        <f t="shared" si="21"/>
        <v>118000</v>
      </c>
      <c r="M64" s="37">
        <f t="shared" si="21"/>
        <v>118000</v>
      </c>
      <c r="N64" s="37">
        <f t="shared" si="21"/>
        <v>118000</v>
      </c>
      <c r="O64" s="37">
        <f>D64-SUM(F64:N64)</f>
        <v>114000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329000</v>
      </c>
      <c r="E65" s="114" t="s">
        <v>202</v>
      </c>
      <c r="F65" s="37">
        <f t="shared" ref="F65:F66" si="22">ROUND($D65/12*3,-3)</f>
        <v>82000</v>
      </c>
      <c r="G65" s="37">
        <f t="shared" ref="G65:G66" si="23">ROUND($D65/12,-3)</f>
        <v>27000</v>
      </c>
      <c r="H65" s="37">
        <f t="shared" si="21"/>
        <v>27000</v>
      </c>
      <c r="I65" s="37">
        <f t="shared" si="21"/>
        <v>27000</v>
      </c>
      <c r="J65" s="37">
        <f t="shared" si="21"/>
        <v>27000</v>
      </c>
      <c r="K65" s="37">
        <f t="shared" si="21"/>
        <v>27000</v>
      </c>
      <c r="L65" s="37">
        <f t="shared" si="21"/>
        <v>27000</v>
      </c>
      <c r="M65" s="37">
        <f t="shared" si="21"/>
        <v>27000</v>
      </c>
      <c r="N65" s="37">
        <f t="shared" si="21"/>
        <v>27000</v>
      </c>
      <c r="O65" s="37">
        <f t="shared" ref="O65:O66" si="24">D65-SUM(F65:N65)</f>
        <v>31000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1014000</v>
      </c>
      <c r="E66" s="114" t="s">
        <v>202</v>
      </c>
      <c r="F66" s="37">
        <f t="shared" si="22"/>
        <v>254000</v>
      </c>
      <c r="G66" s="37">
        <f t="shared" si="23"/>
        <v>85000</v>
      </c>
      <c r="H66" s="37">
        <f t="shared" si="21"/>
        <v>85000</v>
      </c>
      <c r="I66" s="37">
        <f t="shared" si="21"/>
        <v>85000</v>
      </c>
      <c r="J66" s="37">
        <f t="shared" si="21"/>
        <v>85000</v>
      </c>
      <c r="K66" s="37">
        <f t="shared" si="21"/>
        <v>85000</v>
      </c>
      <c r="L66" s="37">
        <f t="shared" si="21"/>
        <v>85000</v>
      </c>
      <c r="M66" s="37">
        <f t="shared" si="21"/>
        <v>85000</v>
      </c>
      <c r="N66" s="37">
        <f t="shared" si="21"/>
        <v>85000</v>
      </c>
      <c r="O66" s="37">
        <f t="shared" si="24"/>
        <v>80000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27000</v>
      </c>
      <c r="E67" s="37" t="s">
        <v>196</v>
      </c>
      <c r="F67" s="37"/>
      <c r="G67" s="37"/>
      <c r="H67" s="37">
        <f>D67</f>
        <v>27000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123000</v>
      </c>
      <c r="E68" s="37" t="s">
        <v>195</v>
      </c>
      <c r="F68" s="37">
        <f>D68</f>
        <v>123000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22499000</v>
      </c>
      <c r="E70" s="108"/>
      <c r="F70" s="108">
        <f t="shared" ref="F70:P70" si="25">ROUND(SUM(F49:F69),-3)</f>
        <v>6726000</v>
      </c>
      <c r="G70" s="108">
        <f t="shared" si="25"/>
        <v>1556000</v>
      </c>
      <c r="H70" s="108">
        <f t="shared" si="25"/>
        <v>1583000</v>
      </c>
      <c r="I70" s="108">
        <f t="shared" si="25"/>
        <v>1904000</v>
      </c>
      <c r="J70" s="108">
        <f t="shared" si="25"/>
        <v>1556000</v>
      </c>
      <c r="K70" s="108">
        <f t="shared" si="25"/>
        <v>1556000</v>
      </c>
      <c r="L70" s="108">
        <f t="shared" si="25"/>
        <v>1556000</v>
      </c>
      <c r="M70" s="108">
        <f t="shared" si="25"/>
        <v>1556000</v>
      </c>
      <c r="N70" s="108">
        <f t="shared" si="25"/>
        <v>2949000</v>
      </c>
      <c r="O70" s="108">
        <f t="shared" si="25"/>
        <v>1548000</v>
      </c>
      <c r="P70" s="108">
        <f t="shared" si="25"/>
        <v>5000</v>
      </c>
      <c r="Q70" s="108">
        <f>D70-SUM(F70:P70)</f>
        <v>4000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4007000</v>
      </c>
      <c r="E72" s="114" t="s">
        <v>202</v>
      </c>
      <c r="F72" s="37">
        <f>ROUND($D72/12*3,-3)</f>
        <v>1002000</v>
      </c>
      <c r="G72" s="37">
        <f>ROUND($D72/12,-3)</f>
        <v>334000</v>
      </c>
      <c r="H72" s="37">
        <f t="shared" ref="H72:N75" si="26">ROUND($D72/12,-3)</f>
        <v>334000</v>
      </c>
      <c r="I72" s="37">
        <f t="shared" si="26"/>
        <v>334000</v>
      </c>
      <c r="J72" s="37">
        <f t="shared" si="26"/>
        <v>334000</v>
      </c>
      <c r="K72" s="37">
        <f t="shared" si="26"/>
        <v>334000</v>
      </c>
      <c r="L72" s="37">
        <f t="shared" si="26"/>
        <v>334000</v>
      </c>
      <c r="M72" s="37">
        <f t="shared" si="26"/>
        <v>334000</v>
      </c>
      <c r="N72" s="37">
        <f t="shared" si="26"/>
        <v>334000</v>
      </c>
      <c r="O72" s="37">
        <f>D72-SUM(F72:N72)</f>
        <v>333000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125000</v>
      </c>
      <c r="E75" s="114" t="s">
        <v>202</v>
      </c>
      <c r="F75" s="37">
        <f>ROUND($D75/12*3,-3)</f>
        <v>31000</v>
      </c>
      <c r="G75" s="37">
        <f>ROUND($D75/12,-3)</f>
        <v>10000</v>
      </c>
      <c r="H75" s="37">
        <f t="shared" si="26"/>
        <v>10000</v>
      </c>
      <c r="I75" s="37">
        <f t="shared" si="26"/>
        <v>10000</v>
      </c>
      <c r="J75" s="37">
        <f t="shared" si="26"/>
        <v>10000</v>
      </c>
      <c r="K75" s="37">
        <f t="shared" si="26"/>
        <v>10000</v>
      </c>
      <c r="L75" s="37">
        <f t="shared" si="26"/>
        <v>10000</v>
      </c>
      <c r="M75" s="37">
        <f t="shared" si="26"/>
        <v>10000</v>
      </c>
      <c r="N75" s="37">
        <f t="shared" si="26"/>
        <v>10000</v>
      </c>
      <c r="O75" s="37">
        <f>D75-SUM(F75:N75)</f>
        <v>14000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4132000</v>
      </c>
      <c r="E76" s="108"/>
      <c r="F76" s="108">
        <f>ROUND(SUM(F71:F75),-3)</f>
        <v>1033000</v>
      </c>
      <c r="G76" s="108">
        <f t="shared" ref="G76:N76" si="27">ROUND(SUM(G71:G75),-3)</f>
        <v>344000</v>
      </c>
      <c r="H76" s="108">
        <f t="shared" si="27"/>
        <v>344000</v>
      </c>
      <c r="I76" s="108">
        <f t="shared" si="27"/>
        <v>344000</v>
      </c>
      <c r="J76" s="108">
        <f t="shared" si="27"/>
        <v>344000</v>
      </c>
      <c r="K76" s="108">
        <f t="shared" si="27"/>
        <v>344000</v>
      </c>
      <c r="L76" s="108">
        <f t="shared" si="27"/>
        <v>344000</v>
      </c>
      <c r="M76" s="108">
        <f t="shared" si="27"/>
        <v>344000</v>
      </c>
      <c r="N76" s="108">
        <f t="shared" si="27"/>
        <v>344000</v>
      </c>
      <c r="O76" s="108">
        <f>D76-SUM(F76:N76)</f>
        <v>347000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103000</v>
      </c>
      <c r="E77" s="37" t="s">
        <v>681</v>
      </c>
      <c r="F77" s="224"/>
      <c r="G77" s="224"/>
      <c r="H77" s="224">
        <f>ROUND($D77/2,-3)</f>
        <v>52000</v>
      </c>
      <c r="I77" s="224"/>
      <c r="J77" s="224"/>
      <c r="K77" s="224"/>
      <c r="L77" s="224"/>
      <c r="M77" s="224"/>
      <c r="N77" s="224">
        <f>D77-H77</f>
        <v>51000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26734000</v>
      </c>
      <c r="E78" s="227"/>
      <c r="F78" s="227">
        <f>F76+F70+F77</f>
        <v>7759000</v>
      </c>
      <c r="G78" s="227">
        <f t="shared" ref="G78:Q78" si="29">G76+G70+G77</f>
        <v>1900000</v>
      </c>
      <c r="H78" s="227">
        <f t="shared" si="29"/>
        <v>1979000</v>
      </c>
      <c r="I78" s="227">
        <f t="shared" si="29"/>
        <v>2248000</v>
      </c>
      <c r="J78" s="227">
        <f t="shared" si="29"/>
        <v>1900000</v>
      </c>
      <c r="K78" s="227">
        <f t="shared" si="29"/>
        <v>1900000</v>
      </c>
      <c r="L78" s="227">
        <f t="shared" si="29"/>
        <v>1900000</v>
      </c>
      <c r="M78" s="227">
        <f t="shared" si="29"/>
        <v>1900000</v>
      </c>
      <c r="N78" s="227">
        <f t="shared" si="29"/>
        <v>3344000</v>
      </c>
      <c r="O78" s="227">
        <f t="shared" si="29"/>
        <v>1895000</v>
      </c>
      <c r="P78" s="227">
        <f t="shared" si="29"/>
        <v>5000</v>
      </c>
      <c r="Q78" s="227">
        <f t="shared" si="29"/>
        <v>4000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20000</v>
      </c>
      <c r="E80" s="108" t="s">
        <v>195</v>
      </c>
      <c r="F80" s="108">
        <f t="shared" ref="F80:F82" si="30">D80</f>
        <v>20000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26000</v>
      </c>
      <c r="E82" s="108" t="s">
        <v>195</v>
      </c>
      <c r="F82" s="108">
        <f t="shared" si="30"/>
        <v>26000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46000</v>
      </c>
      <c r="E83" s="116"/>
      <c r="F83" s="116">
        <f>SUM(F79:F82)</f>
        <v>46000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-126000</v>
      </c>
      <c r="E86" s="37"/>
      <c r="F86" s="37">
        <f>D86</f>
        <v>-126000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27615000</v>
      </c>
      <c r="E87" s="37"/>
      <c r="F87" s="37">
        <f>F88+F89+F90+F91</f>
        <v>7811000</v>
      </c>
      <c r="G87" s="37">
        <f t="shared" ref="G87:Q87" si="32">G88+G89+G90+G91</f>
        <v>1970000</v>
      </c>
      <c r="H87" s="37">
        <f t="shared" si="32"/>
        <v>2049000</v>
      </c>
      <c r="I87" s="37">
        <f t="shared" si="32"/>
        <v>2318000</v>
      </c>
      <c r="J87" s="37">
        <f t="shared" si="32"/>
        <v>1970000</v>
      </c>
      <c r="K87" s="37">
        <f t="shared" si="32"/>
        <v>1972000</v>
      </c>
      <c r="L87" s="37">
        <f t="shared" si="32"/>
        <v>2029000</v>
      </c>
      <c r="M87" s="37">
        <f t="shared" si="32"/>
        <v>1970000</v>
      </c>
      <c r="N87" s="37">
        <f t="shared" si="32"/>
        <v>3416000</v>
      </c>
      <c r="O87" s="37">
        <f t="shared" si="32"/>
        <v>1965000</v>
      </c>
      <c r="P87" s="37">
        <f t="shared" si="32"/>
        <v>75000</v>
      </c>
      <c r="Q87" s="37">
        <f t="shared" si="32"/>
        <v>70000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5000</v>
      </c>
      <c r="E88" s="108" t="s">
        <v>193</v>
      </c>
      <c r="F88" s="108">
        <f>ROUND($D88/2,-3)</f>
        <v>3000</v>
      </c>
      <c r="G88" s="108"/>
      <c r="H88" s="108"/>
      <c r="I88" s="108"/>
      <c r="J88" s="108"/>
      <c r="K88" s="108"/>
      <c r="L88" s="108">
        <f>D88-F88</f>
        <v>2000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1000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1000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27609000</v>
      </c>
      <c r="E91" s="108"/>
      <c r="F91" s="108">
        <f>F92+F93+F94+F95</f>
        <v>7808000</v>
      </c>
      <c r="G91" s="108">
        <f t="shared" ref="G91:Q91" si="34">G92+G93+G94+G95</f>
        <v>1970000</v>
      </c>
      <c r="H91" s="108">
        <f t="shared" si="34"/>
        <v>2049000</v>
      </c>
      <c r="I91" s="108">
        <f t="shared" si="34"/>
        <v>2318000</v>
      </c>
      <c r="J91" s="108">
        <f t="shared" si="34"/>
        <v>1970000</v>
      </c>
      <c r="K91" s="108">
        <f t="shared" si="34"/>
        <v>1972000</v>
      </c>
      <c r="L91" s="108">
        <f t="shared" si="34"/>
        <v>2027000</v>
      </c>
      <c r="M91" s="108">
        <f t="shared" si="34"/>
        <v>1970000</v>
      </c>
      <c r="N91" s="108">
        <f t="shared" si="34"/>
        <v>3416000</v>
      </c>
      <c r="O91" s="108">
        <f t="shared" si="34"/>
        <v>1965000</v>
      </c>
      <c r="P91" s="108">
        <f t="shared" si="34"/>
        <v>75000</v>
      </c>
      <c r="Q91" s="108">
        <f t="shared" si="34"/>
        <v>69000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2265000</v>
      </c>
      <c r="E92" s="114" t="s">
        <v>537</v>
      </c>
      <c r="F92" s="37">
        <f>ROUND($D92/12*5,-3)</f>
        <v>944000</v>
      </c>
      <c r="G92" s="37">
        <f>ROUND($D92/12,-3)</f>
        <v>189000</v>
      </c>
      <c r="H92" s="37">
        <f t="shared" ref="H92:L92" si="35">ROUND($D92/12,-3)</f>
        <v>189000</v>
      </c>
      <c r="I92" s="37">
        <f t="shared" si="35"/>
        <v>189000</v>
      </c>
      <c r="J92" s="37">
        <f t="shared" si="35"/>
        <v>189000</v>
      </c>
      <c r="K92" s="37">
        <f t="shared" si="35"/>
        <v>189000</v>
      </c>
      <c r="L92" s="37">
        <f t="shared" si="35"/>
        <v>189000</v>
      </c>
      <c r="M92" s="37">
        <f>D92-SUM(F92:L92)</f>
        <v>187000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103000</v>
      </c>
      <c r="E93" s="189" t="s">
        <v>227</v>
      </c>
      <c r="F93" s="37">
        <f>ROUND($D93/12,-3)</f>
        <v>9000</v>
      </c>
      <c r="G93" s="37">
        <f t="shared" ref="G93:P93" si="36">ROUND($D93/12,-3)</f>
        <v>9000</v>
      </c>
      <c r="H93" s="37">
        <f t="shared" si="36"/>
        <v>9000</v>
      </c>
      <c r="I93" s="37">
        <f t="shared" si="36"/>
        <v>9000</v>
      </c>
      <c r="J93" s="37">
        <f t="shared" si="36"/>
        <v>9000</v>
      </c>
      <c r="K93" s="37">
        <f t="shared" si="36"/>
        <v>9000</v>
      </c>
      <c r="L93" s="37">
        <f t="shared" si="36"/>
        <v>9000</v>
      </c>
      <c r="M93" s="37">
        <f t="shared" si="36"/>
        <v>9000</v>
      </c>
      <c r="N93" s="37">
        <f t="shared" si="36"/>
        <v>9000</v>
      </c>
      <c r="O93" s="37">
        <f t="shared" si="36"/>
        <v>9000</v>
      </c>
      <c r="P93" s="37">
        <f t="shared" si="36"/>
        <v>9000</v>
      </c>
      <c r="Q93" s="37">
        <f>D93-SUM(F93:P93)</f>
        <v>4000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434000</v>
      </c>
      <c r="E94" s="190" t="s">
        <v>229</v>
      </c>
      <c r="F94" s="37"/>
      <c r="G94" s="37"/>
      <c r="H94" s="37">
        <f>ROUND($D94/2,-3)</f>
        <v>217000</v>
      </c>
      <c r="I94" s="37"/>
      <c r="J94" s="37"/>
      <c r="K94" s="37"/>
      <c r="L94" s="37"/>
      <c r="M94" s="37"/>
      <c r="N94" s="37"/>
      <c r="O94" s="37">
        <f>D94-H94</f>
        <v>217000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24807000</v>
      </c>
      <c r="E95" s="37"/>
      <c r="F95" s="37">
        <f>F2+F86-F88-F89-F90-F92-F93-F94</f>
        <v>6855000</v>
      </c>
      <c r="G95" s="37">
        <f t="shared" ref="G95:Q95" si="37">G2-G88-G89-G90-G92-G93-G94</f>
        <v>1772000</v>
      </c>
      <c r="H95" s="37">
        <f t="shared" si="37"/>
        <v>1634000</v>
      </c>
      <c r="I95" s="37">
        <f t="shared" si="37"/>
        <v>2120000</v>
      </c>
      <c r="J95" s="37">
        <f t="shared" si="37"/>
        <v>1772000</v>
      </c>
      <c r="K95" s="37">
        <f t="shared" si="37"/>
        <v>1774000</v>
      </c>
      <c r="L95" s="37">
        <f t="shared" si="37"/>
        <v>1829000</v>
      </c>
      <c r="M95" s="37">
        <f t="shared" si="37"/>
        <v>1774000</v>
      </c>
      <c r="N95" s="37">
        <f t="shared" si="37"/>
        <v>3407000</v>
      </c>
      <c r="O95" s="37">
        <f t="shared" si="37"/>
        <v>1739000</v>
      </c>
      <c r="P95" s="37">
        <f t="shared" si="37"/>
        <v>66000</v>
      </c>
      <c r="Q95" s="37">
        <f t="shared" si="37"/>
        <v>65000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600000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96000</v>
      </c>
    </row>
    <row r="103" spans="2:17" ht="32.4">
      <c r="B103" s="72" t="s">
        <v>239</v>
      </c>
      <c r="D103" s="30">
        <f>HLOOKUP(D1,[1]縣庫撥款收入明細表!H:DD,17,FALSE)</f>
        <v>0</v>
      </c>
    </row>
    <row r="104" spans="2:17" ht="32.4">
      <c r="B104" s="76" t="s">
        <v>240</v>
      </c>
      <c r="D104" s="30">
        <f>HLOOKUP(D1,[1]縣庫撥款收入明細表!H:DD,18,FALSE)</f>
        <v>434000</v>
      </c>
    </row>
    <row r="105" spans="2:17" ht="32.4">
      <c r="B105" s="72" t="s">
        <v>380</v>
      </c>
      <c r="D105" s="30">
        <f>HLOOKUP(D1,[1]縣庫撥款收入明細表!H:DD,19,FALSE)</f>
        <v>650000</v>
      </c>
    </row>
    <row r="106" spans="2:17" ht="32.4">
      <c r="B106" s="71" t="s">
        <v>241</v>
      </c>
      <c r="D106" s="30">
        <f>HLOOKUP(D1,[1]縣庫撥款收入明細表!H:DD,20,FALSE)</f>
        <v>7000</v>
      </c>
    </row>
    <row r="107" spans="2:17" ht="32.4">
      <c r="B107" s="77" t="s">
        <v>242</v>
      </c>
      <c r="D107" s="30">
        <f>HLOOKUP(D1,[1]縣庫撥款收入明細表!H:DD,21,FALSE)</f>
        <v>24807000</v>
      </c>
    </row>
    <row r="108" spans="2:17" ht="16.5" customHeight="1"/>
    <row r="109" spans="2:17" ht="16.5" customHeight="1">
      <c r="B109" s="4" t="s">
        <v>682</v>
      </c>
      <c r="D109" s="30">
        <f>D91-D76</f>
        <v>23477000</v>
      </c>
      <c r="F109" s="30">
        <f>F91-F76</f>
        <v>6775000</v>
      </c>
      <c r="G109" s="30">
        <f t="shared" ref="G109:Q109" si="38">G91-G76</f>
        <v>1626000</v>
      </c>
      <c r="H109" s="30">
        <f t="shared" si="38"/>
        <v>1705000</v>
      </c>
      <c r="I109" s="30">
        <f t="shared" si="38"/>
        <v>1974000</v>
      </c>
      <c r="J109" s="30">
        <f t="shared" si="38"/>
        <v>1626000</v>
      </c>
      <c r="K109" s="30">
        <f t="shared" si="38"/>
        <v>1628000</v>
      </c>
      <c r="L109" s="30">
        <f t="shared" si="38"/>
        <v>1683000</v>
      </c>
      <c r="M109" s="30">
        <f t="shared" si="38"/>
        <v>1626000</v>
      </c>
      <c r="N109" s="30">
        <f t="shared" si="38"/>
        <v>3072000</v>
      </c>
      <c r="O109" s="30">
        <f t="shared" si="38"/>
        <v>1618000</v>
      </c>
      <c r="P109" s="30">
        <f t="shared" si="38"/>
        <v>75000</v>
      </c>
      <c r="Q109" s="30">
        <f t="shared" si="38"/>
        <v>69000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26" priority="1" operator="lessThan">
      <formula>0</formula>
    </cfRule>
  </conditionalFormatting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13"/>
  <sheetViews>
    <sheetView workbookViewId="0">
      <selection sqref="A1:XFD1048576"/>
    </sheetView>
  </sheetViews>
  <sheetFormatPr defaultColWidth="9" defaultRowHeight="16.2"/>
  <cols>
    <col min="1" max="1" width="4.109375" style="4" customWidth="1"/>
    <col min="2" max="2" width="27.44140625" style="4" customWidth="1"/>
    <col min="3" max="3" width="9.21875" style="4" bestFit="1" customWidth="1"/>
    <col min="4" max="4" width="14.6640625" style="30" customWidth="1"/>
    <col min="5" max="5" width="20.6640625" style="30" customWidth="1"/>
    <col min="6" max="17" width="11.44140625" style="30" customWidth="1"/>
    <col min="18" max="18" width="11.21875" style="30" customWidth="1"/>
    <col min="19" max="16384" width="9" style="4"/>
  </cols>
  <sheetData>
    <row r="1" spans="1:18">
      <c r="A1" s="266" t="s">
        <v>536</v>
      </c>
      <c r="B1" s="266"/>
      <c r="C1" s="276">
        <v>695</v>
      </c>
      <c r="D1" s="28" t="str">
        <f>VLOOKUP(C1,[1]學校編號!A:B,2,FALSE)</f>
        <v>695明利國小</v>
      </c>
      <c r="E1" s="112" t="s">
        <v>180</v>
      </c>
      <c r="F1" s="112" t="s">
        <v>181</v>
      </c>
      <c r="G1" s="112" t="s">
        <v>182</v>
      </c>
      <c r="H1" s="112" t="s">
        <v>183</v>
      </c>
      <c r="I1" s="112" t="s">
        <v>184</v>
      </c>
      <c r="J1" s="112" t="s">
        <v>185</v>
      </c>
      <c r="K1" s="112" t="s">
        <v>186</v>
      </c>
      <c r="L1" s="112" t="s">
        <v>187</v>
      </c>
      <c r="M1" s="112" t="s">
        <v>188</v>
      </c>
      <c r="N1" s="112" t="s">
        <v>189</v>
      </c>
      <c r="O1" s="112" t="s">
        <v>190</v>
      </c>
      <c r="P1" s="112" t="s">
        <v>191</v>
      </c>
      <c r="Q1" s="112" t="s">
        <v>192</v>
      </c>
      <c r="R1" s="112" t="s">
        <v>203</v>
      </c>
    </row>
    <row r="2" spans="1:18">
      <c r="A2" s="260" t="s">
        <v>109</v>
      </c>
      <c r="B2" s="260"/>
      <c r="C2" s="231"/>
      <c r="D2" s="37">
        <f>HLOOKUP($D$1,[1]概算表!$E$12:$DA$78,2,FALSE)</f>
        <v>29302000</v>
      </c>
      <c r="E2" s="37"/>
      <c r="F2" s="37">
        <f>F48+F70+F76+F77+F83</f>
        <v>8585000</v>
      </c>
      <c r="G2" s="37">
        <f t="shared" ref="G2:Q2" si="0">G48+G70+G76+G77+G83</f>
        <v>2060000</v>
      </c>
      <c r="H2" s="37">
        <f t="shared" si="0"/>
        <v>2263000</v>
      </c>
      <c r="I2" s="37">
        <f t="shared" si="0"/>
        <v>2382000</v>
      </c>
      <c r="J2" s="37">
        <f t="shared" si="0"/>
        <v>2060000</v>
      </c>
      <c r="K2" s="37">
        <f t="shared" si="0"/>
        <v>2064000</v>
      </c>
      <c r="L2" s="37">
        <f t="shared" si="0"/>
        <v>2106000</v>
      </c>
      <c r="M2" s="37">
        <f t="shared" si="0"/>
        <v>2060000</v>
      </c>
      <c r="N2" s="37">
        <f t="shared" si="0"/>
        <v>3521000</v>
      </c>
      <c r="O2" s="37">
        <f t="shared" si="0"/>
        <v>2049000</v>
      </c>
      <c r="P2" s="37">
        <f t="shared" si="0"/>
        <v>76000</v>
      </c>
      <c r="Q2" s="37">
        <f t="shared" si="0"/>
        <v>76000</v>
      </c>
      <c r="R2" s="37">
        <f>SUM(F2:Q2)-D2</f>
        <v>0</v>
      </c>
    </row>
    <row r="3" spans="1:18" ht="16.5" customHeight="1">
      <c r="A3" s="269" t="s">
        <v>111</v>
      </c>
      <c r="B3" s="10" t="s">
        <v>112</v>
      </c>
      <c r="C3" s="11">
        <v>212</v>
      </c>
      <c r="D3" s="37">
        <f>HLOOKUP($D$1,[1]概算表!$E$12:$DA$78,3,FALSE)</f>
        <v>136000</v>
      </c>
      <c r="E3" s="37" t="s">
        <v>525</v>
      </c>
      <c r="F3" s="37">
        <f t="shared" ref="F3:P17" si="1">ROUND($D3/12,0)</f>
        <v>11333</v>
      </c>
      <c r="G3" s="37">
        <f t="shared" si="1"/>
        <v>11333</v>
      </c>
      <c r="H3" s="37">
        <f t="shared" si="1"/>
        <v>11333</v>
      </c>
      <c r="I3" s="37">
        <f t="shared" si="1"/>
        <v>11333</v>
      </c>
      <c r="J3" s="37">
        <f t="shared" si="1"/>
        <v>11333</v>
      </c>
      <c r="K3" s="37">
        <f t="shared" si="1"/>
        <v>11333</v>
      </c>
      <c r="L3" s="37">
        <f t="shared" si="1"/>
        <v>11333</v>
      </c>
      <c r="M3" s="37">
        <f t="shared" si="1"/>
        <v>11333</v>
      </c>
      <c r="N3" s="37">
        <f t="shared" si="1"/>
        <v>11333</v>
      </c>
      <c r="O3" s="37">
        <f t="shared" si="1"/>
        <v>11333</v>
      </c>
      <c r="P3" s="37">
        <f t="shared" si="1"/>
        <v>11333</v>
      </c>
      <c r="Q3" s="37">
        <f t="shared" ref="Q3:Q10" si="2">D3-SUM(F3:P3)</f>
        <v>11337</v>
      </c>
      <c r="R3" s="37">
        <f t="shared" ref="R3:R17" si="3">SUM(F3:Q3)-D3</f>
        <v>0</v>
      </c>
    </row>
    <row r="4" spans="1:18">
      <c r="A4" s="269"/>
      <c r="B4" s="10" t="s">
        <v>113</v>
      </c>
      <c r="C4" s="11">
        <v>214</v>
      </c>
      <c r="D4" s="37">
        <f>HLOOKUP($D$1,[1]概算表!$E$12:$DA$78,4,FALSE)</f>
        <v>59000</v>
      </c>
      <c r="E4" s="37" t="s">
        <v>525</v>
      </c>
      <c r="F4" s="37">
        <f t="shared" si="1"/>
        <v>4917</v>
      </c>
      <c r="G4" s="37">
        <f t="shared" si="1"/>
        <v>4917</v>
      </c>
      <c r="H4" s="37">
        <f t="shared" si="1"/>
        <v>4917</v>
      </c>
      <c r="I4" s="37">
        <f t="shared" si="1"/>
        <v>4917</v>
      </c>
      <c r="J4" s="37">
        <f t="shared" si="1"/>
        <v>4917</v>
      </c>
      <c r="K4" s="37">
        <f t="shared" si="1"/>
        <v>4917</v>
      </c>
      <c r="L4" s="37">
        <f t="shared" si="1"/>
        <v>4917</v>
      </c>
      <c r="M4" s="37">
        <f t="shared" si="1"/>
        <v>4917</v>
      </c>
      <c r="N4" s="37">
        <f t="shared" si="1"/>
        <v>4917</v>
      </c>
      <c r="O4" s="37">
        <f t="shared" si="1"/>
        <v>4917</v>
      </c>
      <c r="P4" s="37">
        <f t="shared" si="1"/>
        <v>4917</v>
      </c>
      <c r="Q4" s="37">
        <f t="shared" si="2"/>
        <v>4913</v>
      </c>
      <c r="R4" s="37">
        <f t="shared" si="3"/>
        <v>0</v>
      </c>
    </row>
    <row r="5" spans="1:18">
      <c r="A5" s="269"/>
      <c r="B5" s="10" t="s">
        <v>114</v>
      </c>
      <c r="C5" s="11" t="s">
        <v>115</v>
      </c>
      <c r="D5" s="37">
        <f>HLOOKUP($D$1,[1]概算表!$E$12:$DA$78,5,FALSE)</f>
        <v>0</v>
      </c>
      <c r="E5" s="37" t="s">
        <v>525</v>
      </c>
      <c r="F5" s="37">
        <f t="shared" si="1"/>
        <v>0</v>
      </c>
      <c r="G5" s="37">
        <f t="shared" si="1"/>
        <v>0</v>
      </c>
      <c r="H5" s="37">
        <f t="shared" si="1"/>
        <v>0</v>
      </c>
      <c r="I5" s="37">
        <f t="shared" si="1"/>
        <v>0</v>
      </c>
      <c r="J5" s="37">
        <f t="shared" si="1"/>
        <v>0</v>
      </c>
      <c r="K5" s="37">
        <f t="shared" si="1"/>
        <v>0</v>
      </c>
      <c r="L5" s="37">
        <f t="shared" si="1"/>
        <v>0</v>
      </c>
      <c r="M5" s="37">
        <f t="shared" si="1"/>
        <v>0</v>
      </c>
      <c r="N5" s="37">
        <f t="shared" si="1"/>
        <v>0</v>
      </c>
      <c r="O5" s="37">
        <f t="shared" si="1"/>
        <v>0</v>
      </c>
      <c r="P5" s="37">
        <f t="shared" si="1"/>
        <v>0</v>
      </c>
      <c r="Q5" s="37">
        <f t="shared" si="2"/>
        <v>0</v>
      </c>
      <c r="R5" s="37">
        <f t="shared" si="3"/>
        <v>0</v>
      </c>
    </row>
    <row r="6" spans="1:18">
      <c r="A6" s="269"/>
      <c r="B6" s="10" t="s">
        <v>116</v>
      </c>
      <c r="C6" s="11" t="s">
        <v>117</v>
      </c>
      <c r="D6" s="37">
        <f>HLOOKUP($D$1,[1]概算表!$E$12:$DA$78,6,FALSE)</f>
        <v>0</v>
      </c>
      <c r="E6" s="37" t="s">
        <v>525</v>
      </c>
      <c r="F6" s="37">
        <f t="shared" si="1"/>
        <v>0</v>
      </c>
      <c r="G6" s="37">
        <f t="shared" si="1"/>
        <v>0</v>
      </c>
      <c r="H6" s="37">
        <f t="shared" si="1"/>
        <v>0</v>
      </c>
      <c r="I6" s="37">
        <f t="shared" si="1"/>
        <v>0</v>
      </c>
      <c r="J6" s="37">
        <f t="shared" si="1"/>
        <v>0</v>
      </c>
      <c r="K6" s="37">
        <f t="shared" si="1"/>
        <v>0</v>
      </c>
      <c r="L6" s="37">
        <f t="shared" si="1"/>
        <v>0</v>
      </c>
      <c r="M6" s="37">
        <f t="shared" si="1"/>
        <v>0</v>
      </c>
      <c r="N6" s="37">
        <f t="shared" si="1"/>
        <v>0</v>
      </c>
      <c r="O6" s="37">
        <f t="shared" si="1"/>
        <v>0</v>
      </c>
      <c r="P6" s="37">
        <f t="shared" si="1"/>
        <v>0</v>
      </c>
      <c r="Q6" s="37">
        <f t="shared" si="2"/>
        <v>0</v>
      </c>
      <c r="R6" s="37">
        <f t="shared" si="3"/>
        <v>0</v>
      </c>
    </row>
    <row r="7" spans="1:18">
      <c r="A7" s="269"/>
      <c r="B7" s="10" t="s">
        <v>118</v>
      </c>
      <c r="C7" s="11">
        <v>255</v>
      </c>
      <c r="D7" s="37">
        <f>HLOOKUP($D$1,[1]概算表!$E$12:$DA$78,7,FALSE)</f>
        <v>64000</v>
      </c>
      <c r="E7" s="37" t="s">
        <v>525</v>
      </c>
      <c r="F7" s="37">
        <f t="shared" si="1"/>
        <v>5333</v>
      </c>
      <c r="G7" s="37">
        <f t="shared" si="1"/>
        <v>5333</v>
      </c>
      <c r="H7" s="37">
        <f t="shared" si="1"/>
        <v>5333</v>
      </c>
      <c r="I7" s="37">
        <f t="shared" si="1"/>
        <v>5333</v>
      </c>
      <c r="J7" s="37">
        <f t="shared" si="1"/>
        <v>5333</v>
      </c>
      <c r="K7" s="37">
        <f t="shared" si="1"/>
        <v>5333</v>
      </c>
      <c r="L7" s="37">
        <f t="shared" si="1"/>
        <v>5333</v>
      </c>
      <c r="M7" s="37">
        <f t="shared" si="1"/>
        <v>5333</v>
      </c>
      <c r="N7" s="37">
        <f t="shared" si="1"/>
        <v>5333</v>
      </c>
      <c r="O7" s="37">
        <f t="shared" si="1"/>
        <v>5333</v>
      </c>
      <c r="P7" s="37">
        <f t="shared" si="1"/>
        <v>5333</v>
      </c>
      <c r="Q7" s="37">
        <f t="shared" si="2"/>
        <v>5337</v>
      </c>
      <c r="R7" s="37">
        <f t="shared" si="3"/>
        <v>0</v>
      </c>
    </row>
    <row r="8" spans="1:18">
      <c r="A8" s="269"/>
      <c r="B8" s="13" t="s">
        <v>119</v>
      </c>
      <c r="C8" s="22">
        <v>255</v>
      </c>
      <c r="D8" s="37">
        <f>HLOOKUP($D$1,[1]概算表!$E$12:$DA$78,8,FALSE)</f>
        <v>30000</v>
      </c>
      <c r="E8" s="37" t="s">
        <v>525</v>
      </c>
      <c r="F8" s="37">
        <f t="shared" si="1"/>
        <v>2500</v>
      </c>
      <c r="G8" s="37">
        <f t="shared" si="1"/>
        <v>2500</v>
      </c>
      <c r="H8" s="37">
        <f t="shared" si="1"/>
        <v>2500</v>
      </c>
      <c r="I8" s="37">
        <f t="shared" si="1"/>
        <v>2500</v>
      </c>
      <c r="J8" s="37">
        <f t="shared" si="1"/>
        <v>2500</v>
      </c>
      <c r="K8" s="37">
        <f t="shared" si="1"/>
        <v>2500</v>
      </c>
      <c r="L8" s="37">
        <f t="shared" si="1"/>
        <v>2500</v>
      </c>
      <c r="M8" s="37">
        <f t="shared" si="1"/>
        <v>2500</v>
      </c>
      <c r="N8" s="37">
        <f t="shared" si="1"/>
        <v>2500</v>
      </c>
      <c r="O8" s="37">
        <f t="shared" si="1"/>
        <v>2500</v>
      </c>
      <c r="P8" s="37">
        <f t="shared" si="1"/>
        <v>2500</v>
      </c>
      <c r="Q8" s="37">
        <f t="shared" si="2"/>
        <v>2500</v>
      </c>
      <c r="R8" s="37">
        <f t="shared" si="3"/>
        <v>0</v>
      </c>
    </row>
    <row r="9" spans="1:18">
      <c r="A9" s="269"/>
      <c r="B9" s="13" t="s">
        <v>120</v>
      </c>
      <c r="C9" s="22">
        <v>255</v>
      </c>
      <c r="D9" s="37">
        <f>HLOOKUP($D$1,[1]概算表!$E$12:$DA$78,9,FALSE)</f>
        <v>3000</v>
      </c>
      <c r="E9" s="37" t="s">
        <v>525</v>
      </c>
      <c r="F9" s="37">
        <f t="shared" si="1"/>
        <v>250</v>
      </c>
      <c r="G9" s="37">
        <f t="shared" si="1"/>
        <v>250</v>
      </c>
      <c r="H9" s="37">
        <f t="shared" si="1"/>
        <v>250</v>
      </c>
      <c r="I9" s="37">
        <f t="shared" si="1"/>
        <v>250</v>
      </c>
      <c r="J9" s="37">
        <f t="shared" si="1"/>
        <v>250</v>
      </c>
      <c r="K9" s="37">
        <f t="shared" si="1"/>
        <v>250</v>
      </c>
      <c r="L9" s="37">
        <f t="shared" si="1"/>
        <v>250</v>
      </c>
      <c r="M9" s="37">
        <f t="shared" si="1"/>
        <v>250</v>
      </c>
      <c r="N9" s="37">
        <f t="shared" si="1"/>
        <v>250</v>
      </c>
      <c r="O9" s="37">
        <f t="shared" si="1"/>
        <v>250</v>
      </c>
      <c r="P9" s="37">
        <f t="shared" si="1"/>
        <v>250</v>
      </c>
      <c r="Q9" s="37">
        <f t="shared" si="2"/>
        <v>250</v>
      </c>
      <c r="R9" s="37">
        <f t="shared" si="3"/>
        <v>0</v>
      </c>
    </row>
    <row r="10" spans="1:18">
      <c r="A10" s="269"/>
      <c r="B10" s="23" t="s">
        <v>121</v>
      </c>
      <c r="C10" s="24">
        <v>256</v>
      </c>
      <c r="D10" s="37">
        <f>HLOOKUP($D$1,[1]概算表!$E$12:$DA$78,10,FALSE)</f>
        <v>0</v>
      </c>
      <c r="E10" s="37" t="s">
        <v>525</v>
      </c>
      <c r="F10" s="37">
        <f t="shared" si="1"/>
        <v>0</v>
      </c>
      <c r="G10" s="37">
        <f t="shared" si="1"/>
        <v>0</v>
      </c>
      <c r="H10" s="37">
        <f t="shared" si="1"/>
        <v>0</v>
      </c>
      <c r="I10" s="37">
        <f t="shared" si="1"/>
        <v>0</v>
      </c>
      <c r="J10" s="37">
        <f t="shared" si="1"/>
        <v>0</v>
      </c>
      <c r="K10" s="37">
        <f t="shared" si="1"/>
        <v>0</v>
      </c>
      <c r="L10" s="37">
        <f t="shared" si="1"/>
        <v>0</v>
      </c>
      <c r="M10" s="37">
        <f t="shared" si="1"/>
        <v>0</v>
      </c>
      <c r="N10" s="37">
        <f t="shared" si="1"/>
        <v>0</v>
      </c>
      <c r="O10" s="37">
        <f t="shared" si="1"/>
        <v>0</v>
      </c>
      <c r="P10" s="37">
        <f t="shared" si="1"/>
        <v>0</v>
      </c>
      <c r="Q10" s="37">
        <f t="shared" si="2"/>
        <v>0</v>
      </c>
      <c r="R10" s="37">
        <f t="shared" si="3"/>
        <v>0</v>
      </c>
    </row>
    <row r="11" spans="1:18">
      <c r="A11" s="269"/>
      <c r="B11" s="23" t="s">
        <v>122</v>
      </c>
      <c r="C11" s="24">
        <v>264</v>
      </c>
      <c r="D11" s="37">
        <f>HLOOKUP($D$1,[1]概算表!$E$12:$DA$78,11,FALSE)</f>
        <v>0</v>
      </c>
      <c r="E11" s="37" t="s">
        <v>195</v>
      </c>
      <c r="F11" s="37">
        <f>D11</f>
        <v>0</v>
      </c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>
        <f t="shared" si="3"/>
        <v>0</v>
      </c>
    </row>
    <row r="12" spans="1:18" ht="32.4">
      <c r="A12" s="269"/>
      <c r="B12" s="23" t="s">
        <v>123</v>
      </c>
      <c r="C12" s="24" t="s">
        <v>124</v>
      </c>
      <c r="D12" s="37">
        <f>HLOOKUP($D$1,[1]概算表!$E$12:$DA$78,12,FALSE)</f>
        <v>0</v>
      </c>
      <c r="E12" s="113" t="s">
        <v>202</v>
      </c>
      <c r="F12" s="37">
        <f>ROUND($D12/12*3,-3)</f>
        <v>0</v>
      </c>
      <c r="G12" s="37">
        <f>ROUND($D12/12,-3)</f>
        <v>0</v>
      </c>
      <c r="H12" s="37">
        <f t="shared" ref="H12:N12" si="4">ROUND($D12/12,-3)</f>
        <v>0</v>
      </c>
      <c r="I12" s="37">
        <f t="shared" si="4"/>
        <v>0</v>
      </c>
      <c r="J12" s="37">
        <f t="shared" si="4"/>
        <v>0</v>
      </c>
      <c r="K12" s="37">
        <f t="shared" si="4"/>
        <v>0</v>
      </c>
      <c r="L12" s="37">
        <f t="shared" si="4"/>
        <v>0</v>
      </c>
      <c r="M12" s="37">
        <f t="shared" si="4"/>
        <v>0</v>
      </c>
      <c r="N12" s="37">
        <f t="shared" si="4"/>
        <v>0</v>
      </c>
      <c r="O12" s="37">
        <f>D12-SUM(F12:N12)</f>
        <v>0</v>
      </c>
      <c r="P12" s="37"/>
      <c r="Q12" s="37"/>
      <c r="R12" s="37">
        <f t="shared" si="3"/>
        <v>0</v>
      </c>
    </row>
    <row r="13" spans="1:18">
      <c r="A13" s="269"/>
      <c r="B13" s="10" t="s">
        <v>125</v>
      </c>
      <c r="C13" s="11" t="s">
        <v>124</v>
      </c>
      <c r="D13" s="37">
        <f>HLOOKUP($D$1,[1]概算表!$E$12:$DA$78,13,FALSE)</f>
        <v>58000</v>
      </c>
      <c r="E13" s="37" t="s">
        <v>525</v>
      </c>
      <c r="F13" s="37">
        <f>ROUND($D13/12,0)</f>
        <v>4833</v>
      </c>
      <c r="G13" s="37">
        <f t="shared" si="1"/>
        <v>4833</v>
      </c>
      <c r="H13" s="37">
        <f t="shared" si="1"/>
        <v>4833</v>
      </c>
      <c r="I13" s="37">
        <f t="shared" si="1"/>
        <v>4833</v>
      </c>
      <c r="J13" s="37">
        <f t="shared" si="1"/>
        <v>4833</v>
      </c>
      <c r="K13" s="37">
        <f t="shared" si="1"/>
        <v>4833</v>
      </c>
      <c r="L13" s="37">
        <f t="shared" si="1"/>
        <v>4833</v>
      </c>
      <c r="M13" s="37">
        <f t="shared" si="1"/>
        <v>4833</v>
      </c>
      <c r="N13" s="37">
        <f t="shared" si="1"/>
        <v>4833</v>
      </c>
      <c r="O13" s="37">
        <f t="shared" si="1"/>
        <v>4833</v>
      </c>
      <c r="P13" s="37">
        <f t="shared" si="1"/>
        <v>4833</v>
      </c>
      <c r="Q13" s="37">
        <f>D13-SUM(F13:P13)</f>
        <v>4837</v>
      </c>
      <c r="R13" s="37">
        <f t="shared" si="3"/>
        <v>0</v>
      </c>
    </row>
    <row r="14" spans="1:18" ht="32.4">
      <c r="A14" s="269"/>
      <c r="B14" s="10" t="s">
        <v>126</v>
      </c>
      <c r="C14" s="11" t="s">
        <v>124</v>
      </c>
      <c r="D14" s="37">
        <f>HLOOKUP($D$1,[1]概算表!$E$12:$DA$78,14,FALSE)</f>
        <v>80000</v>
      </c>
      <c r="E14" s="37" t="s">
        <v>525</v>
      </c>
      <c r="F14" s="37">
        <f>ROUND($D14/12,0)</f>
        <v>6667</v>
      </c>
      <c r="G14" s="37">
        <f t="shared" si="1"/>
        <v>6667</v>
      </c>
      <c r="H14" s="37">
        <f t="shared" si="1"/>
        <v>6667</v>
      </c>
      <c r="I14" s="37">
        <f t="shared" si="1"/>
        <v>6667</v>
      </c>
      <c r="J14" s="37">
        <f t="shared" si="1"/>
        <v>6667</v>
      </c>
      <c r="K14" s="37">
        <f t="shared" si="1"/>
        <v>6667</v>
      </c>
      <c r="L14" s="37">
        <f t="shared" si="1"/>
        <v>6667</v>
      </c>
      <c r="M14" s="37">
        <f t="shared" si="1"/>
        <v>6667</v>
      </c>
      <c r="N14" s="37">
        <f t="shared" si="1"/>
        <v>6667</v>
      </c>
      <c r="O14" s="37">
        <f t="shared" si="1"/>
        <v>6667</v>
      </c>
      <c r="P14" s="37">
        <f t="shared" si="1"/>
        <v>6667</v>
      </c>
      <c r="Q14" s="37">
        <f>D14-SUM(F14:P14)</f>
        <v>6663</v>
      </c>
      <c r="R14" s="37">
        <f t="shared" si="3"/>
        <v>0</v>
      </c>
    </row>
    <row r="15" spans="1:18">
      <c r="A15" s="269"/>
      <c r="B15" s="10" t="s">
        <v>127</v>
      </c>
      <c r="C15" s="11" t="s">
        <v>128</v>
      </c>
      <c r="D15" s="37">
        <f>HLOOKUP($D$1,[1]概算表!$E$12:$DA$78,15,FALSE)</f>
        <v>32000</v>
      </c>
      <c r="E15" s="37" t="s">
        <v>193</v>
      </c>
      <c r="F15" s="37">
        <f>ROUND($D15/2,-3)</f>
        <v>16000</v>
      </c>
      <c r="G15" s="37"/>
      <c r="H15" s="37"/>
      <c r="I15" s="37"/>
      <c r="J15" s="37"/>
      <c r="K15" s="37"/>
      <c r="L15" s="37">
        <f>D15-F15</f>
        <v>16000</v>
      </c>
      <c r="M15" s="37"/>
      <c r="N15" s="37"/>
      <c r="O15" s="37"/>
      <c r="P15" s="37"/>
      <c r="Q15" s="37"/>
      <c r="R15" s="37">
        <f t="shared" si="3"/>
        <v>0</v>
      </c>
    </row>
    <row r="16" spans="1:18">
      <c r="A16" s="269"/>
      <c r="B16" s="10" t="s">
        <v>129</v>
      </c>
      <c r="C16" s="11" t="s">
        <v>130</v>
      </c>
      <c r="D16" s="37">
        <f>HLOOKUP($D$1,[1]概算表!$E$12:$DA$78,16,FALSE)</f>
        <v>105000</v>
      </c>
      <c r="E16" s="37" t="s">
        <v>525</v>
      </c>
      <c r="F16" s="37">
        <f>ROUND($D16/12,0)</f>
        <v>8750</v>
      </c>
      <c r="G16" s="37">
        <f t="shared" si="1"/>
        <v>8750</v>
      </c>
      <c r="H16" s="37">
        <f t="shared" si="1"/>
        <v>8750</v>
      </c>
      <c r="I16" s="37">
        <f t="shared" si="1"/>
        <v>8750</v>
      </c>
      <c r="J16" s="37">
        <f t="shared" si="1"/>
        <v>8750</v>
      </c>
      <c r="K16" s="37">
        <f t="shared" si="1"/>
        <v>8750</v>
      </c>
      <c r="L16" s="37">
        <f t="shared" si="1"/>
        <v>8750</v>
      </c>
      <c r="M16" s="37">
        <f t="shared" si="1"/>
        <v>8750</v>
      </c>
      <c r="N16" s="37">
        <f t="shared" si="1"/>
        <v>8750</v>
      </c>
      <c r="O16" s="37">
        <f t="shared" si="1"/>
        <v>8750</v>
      </c>
      <c r="P16" s="37">
        <f t="shared" si="1"/>
        <v>8750</v>
      </c>
      <c r="Q16" s="37">
        <f>D16-SUM(F16:P16)</f>
        <v>8750</v>
      </c>
      <c r="R16" s="37">
        <f t="shared" si="3"/>
        <v>0</v>
      </c>
    </row>
    <row r="17" spans="1:18">
      <c r="A17" s="269"/>
      <c r="B17" s="10" t="s">
        <v>131</v>
      </c>
      <c r="C17" s="11">
        <v>291</v>
      </c>
      <c r="D17" s="37">
        <f>HLOOKUP($D$1,[1]概算表!$E$12:$DA$78,17,FALSE)</f>
        <v>43000</v>
      </c>
      <c r="E17" s="37" t="s">
        <v>525</v>
      </c>
      <c r="F17" s="37">
        <f>ROUND($D17/12,0)</f>
        <v>3583</v>
      </c>
      <c r="G17" s="37">
        <f t="shared" si="1"/>
        <v>3583</v>
      </c>
      <c r="H17" s="37">
        <f t="shared" si="1"/>
        <v>3583</v>
      </c>
      <c r="I17" s="37">
        <f t="shared" si="1"/>
        <v>3583</v>
      </c>
      <c r="J17" s="37">
        <f t="shared" si="1"/>
        <v>3583</v>
      </c>
      <c r="K17" s="37">
        <f t="shared" si="1"/>
        <v>3583</v>
      </c>
      <c r="L17" s="37">
        <f t="shared" si="1"/>
        <v>3583</v>
      </c>
      <c r="M17" s="37">
        <f t="shared" si="1"/>
        <v>3583</v>
      </c>
      <c r="N17" s="37">
        <f t="shared" si="1"/>
        <v>3583</v>
      </c>
      <c r="O17" s="37">
        <f t="shared" si="1"/>
        <v>3583</v>
      </c>
      <c r="P17" s="37">
        <f t="shared" si="1"/>
        <v>3583</v>
      </c>
      <c r="Q17" s="37">
        <f>D17-SUM(F17:P17)</f>
        <v>3587</v>
      </c>
      <c r="R17" s="37">
        <f t="shared" si="3"/>
        <v>0</v>
      </c>
    </row>
    <row r="18" spans="1:18">
      <c r="A18" s="269"/>
      <c r="B18" s="10"/>
      <c r="C18" s="11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1:18">
      <c r="A19" s="269"/>
      <c r="B19" s="10"/>
      <c r="C19" s="11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</row>
    <row r="20" spans="1:18">
      <c r="A20" s="269"/>
      <c r="B20" s="10"/>
      <c r="C20" s="11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</row>
    <row r="21" spans="1:18">
      <c r="A21" s="269"/>
      <c r="B21" s="10"/>
      <c r="C21" s="11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</row>
    <row r="22" spans="1:18">
      <c r="A22" s="269"/>
      <c r="B22" s="10"/>
      <c r="C22" s="1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</row>
    <row r="23" spans="1:18">
      <c r="A23" s="269"/>
      <c r="B23" s="10"/>
      <c r="C23" s="1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</row>
    <row r="24" spans="1:18">
      <c r="A24" s="269"/>
      <c r="B24" s="12" t="s">
        <v>221</v>
      </c>
      <c r="C24" s="11"/>
      <c r="D24" s="37">
        <f>(HLOOKUP(D1,[1]場租收支對列及移用留存數!3:6,3,FALSE)+HLOOKUP(D1,[1]場租收支對列及移用留存數!14:16,2,FALSE))*1000+HLOOKUP(D1,[1]場租收支對列及移用留存數!23:27,5,FALSE)</f>
        <v>0</v>
      </c>
      <c r="E24" s="37" t="s">
        <v>193</v>
      </c>
      <c r="F24" s="37">
        <f>ROUND($D24/2,-3)</f>
        <v>0</v>
      </c>
      <c r="G24" s="37"/>
      <c r="H24" s="37"/>
      <c r="I24" s="37"/>
      <c r="J24" s="37"/>
      <c r="K24" s="37"/>
      <c r="L24" s="37">
        <f>D24-F24</f>
        <v>0</v>
      </c>
      <c r="M24" s="37"/>
      <c r="N24" s="37"/>
      <c r="O24" s="37"/>
      <c r="P24" s="37"/>
      <c r="Q24" s="37"/>
      <c r="R24" s="37">
        <f>SUM(F24:Q24)-D24</f>
        <v>0</v>
      </c>
    </row>
    <row r="25" spans="1:18">
      <c r="A25" s="269"/>
      <c r="B25" s="105" t="s">
        <v>205</v>
      </c>
      <c r="C25" s="78"/>
      <c r="D25" s="108">
        <f>SUM(D3:D24)</f>
        <v>610000</v>
      </c>
      <c r="E25" s="108"/>
      <c r="F25" s="108">
        <f>ROUND(SUM(F3:F24),-3)</f>
        <v>64000</v>
      </c>
      <c r="G25" s="108">
        <f t="shared" ref="G25:P25" si="5">ROUND(SUM(G3:G24),-3)</f>
        <v>48000</v>
      </c>
      <c r="H25" s="108">
        <f t="shared" si="5"/>
        <v>48000</v>
      </c>
      <c r="I25" s="108">
        <f t="shared" si="5"/>
        <v>48000</v>
      </c>
      <c r="J25" s="108">
        <f t="shared" si="5"/>
        <v>48000</v>
      </c>
      <c r="K25" s="108">
        <f t="shared" si="5"/>
        <v>48000</v>
      </c>
      <c r="L25" s="108">
        <f t="shared" si="5"/>
        <v>64000</v>
      </c>
      <c r="M25" s="108">
        <f t="shared" si="5"/>
        <v>48000</v>
      </c>
      <c r="N25" s="108">
        <f t="shared" si="5"/>
        <v>48000</v>
      </c>
      <c r="O25" s="108">
        <f t="shared" si="5"/>
        <v>48000</v>
      </c>
      <c r="P25" s="108">
        <f t="shared" si="5"/>
        <v>48000</v>
      </c>
      <c r="Q25" s="108">
        <f t="shared" ref="Q25:Q33" si="6">D25-SUM(F25:P25)</f>
        <v>50000</v>
      </c>
      <c r="R25" s="108">
        <f>SUM(F25:Q25)-D25</f>
        <v>0</v>
      </c>
    </row>
    <row r="26" spans="1:18" ht="32.4">
      <c r="A26" s="269"/>
      <c r="B26" s="23" t="s">
        <v>132</v>
      </c>
      <c r="C26" s="24">
        <v>312</v>
      </c>
      <c r="D26" s="37">
        <f>HLOOKUP($D$1,[1]概算表!$E$12:$DA$78,18,FALSE)</f>
        <v>0</v>
      </c>
      <c r="E26" s="114" t="s">
        <v>204</v>
      </c>
      <c r="F26" s="37">
        <f>ROUND($D26/10,-3)</f>
        <v>0</v>
      </c>
      <c r="G26" s="37"/>
      <c r="H26" s="37">
        <f>ROUND($D26/10,-3)</f>
        <v>0</v>
      </c>
      <c r="I26" s="37">
        <f>ROUND($D26/10,-3)</f>
        <v>0</v>
      </c>
      <c r="J26" s="37">
        <f>ROUND($D26/10,-3)</f>
        <v>0</v>
      </c>
      <c r="K26" s="37">
        <f>ROUND($D26/10,-3)</f>
        <v>0</v>
      </c>
      <c r="L26" s="37"/>
      <c r="M26" s="37">
        <f>ROUND($D26/10,-3)</f>
        <v>0</v>
      </c>
      <c r="N26" s="37">
        <f>ROUND($D26/10,-3)</f>
        <v>0</v>
      </c>
      <c r="O26" s="37">
        <f>ROUND($D26/10,-3)</f>
        <v>0</v>
      </c>
      <c r="P26" s="37">
        <f>ROUND($D26/10,-3)</f>
        <v>0</v>
      </c>
      <c r="Q26" s="37">
        <f t="shared" si="6"/>
        <v>0</v>
      </c>
      <c r="R26" s="37">
        <f t="shared" ref="R26:R36" si="7">SUM(F26:Q26)-D26</f>
        <v>0</v>
      </c>
    </row>
    <row r="27" spans="1:18">
      <c r="A27" s="269"/>
      <c r="B27" s="10" t="s">
        <v>133</v>
      </c>
      <c r="C27" s="11">
        <v>321</v>
      </c>
      <c r="D27" s="37">
        <f>HLOOKUP($D$1,[1]概算表!$E$12:$DA$78,19,FALSE)</f>
        <v>247000</v>
      </c>
      <c r="E27" s="37" t="s">
        <v>525</v>
      </c>
      <c r="F27" s="37">
        <f t="shared" ref="F27:P33" si="8">ROUND($D27/12,0)</f>
        <v>20583</v>
      </c>
      <c r="G27" s="37">
        <f t="shared" si="8"/>
        <v>20583</v>
      </c>
      <c r="H27" s="37">
        <f t="shared" si="8"/>
        <v>20583</v>
      </c>
      <c r="I27" s="37">
        <f t="shared" si="8"/>
        <v>20583</v>
      </c>
      <c r="J27" s="37">
        <f t="shared" si="8"/>
        <v>20583</v>
      </c>
      <c r="K27" s="37">
        <f t="shared" si="8"/>
        <v>20583</v>
      </c>
      <c r="L27" s="37">
        <f t="shared" si="8"/>
        <v>20583</v>
      </c>
      <c r="M27" s="37">
        <f t="shared" si="8"/>
        <v>20583</v>
      </c>
      <c r="N27" s="37">
        <f t="shared" si="8"/>
        <v>20583</v>
      </c>
      <c r="O27" s="37">
        <f t="shared" si="8"/>
        <v>20583</v>
      </c>
      <c r="P27" s="37">
        <f t="shared" si="8"/>
        <v>20583</v>
      </c>
      <c r="Q27" s="37">
        <f t="shared" si="6"/>
        <v>20587</v>
      </c>
      <c r="R27" s="37">
        <f t="shared" si="7"/>
        <v>0</v>
      </c>
    </row>
    <row r="28" spans="1:18">
      <c r="A28" s="269"/>
      <c r="B28" s="10" t="s">
        <v>134</v>
      </c>
      <c r="C28" s="11">
        <v>321</v>
      </c>
      <c r="D28" s="37">
        <f>HLOOKUP($D$1,[1]概算表!$E$12:$DA$78,20,FALSE)</f>
        <v>0</v>
      </c>
      <c r="E28" s="37" t="s">
        <v>525</v>
      </c>
      <c r="F28" s="37">
        <f t="shared" si="8"/>
        <v>0</v>
      </c>
      <c r="G28" s="37">
        <f t="shared" si="8"/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  <c r="L28" s="37">
        <f t="shared" si="8"/>
        <v>0</v>
      </c>
      <c r="M28" s="37">
        <f t="shared" si="8"/>
        <v>0</v>
      </c>
      <c r="N28" s="37">
        <f t="shared" si="8"/>
        <v>0</v>
      </c>
      <c r="O28" s="37">
        <f t="shared" si="8"/>
        <v>0</v>
      </c>
      <c r="P28" s="37">
        <f t="shared" si="8"/>
        <v>0</v>
      </c>
      <c r="Q28" s="37">
        <f t="shared" si="6"/>
        <v>0</v>
      </c>
      <c r="R28" s="37">
        <f t="shared" si="7"/>
        <v>0</v>
      </c>
    </row>
    <row r="29" spans="1:18">
      <c r="A29" s="269"/>
      <c r="B29" s="10" t="s">
        <v>135</v>
      </c>
      <c r="C29" s="11" t="s">
        <v>136</v>
      </c>
      <c r="D29" s="37">
        <f>HLOOKUP($D$1,[1]概算表!$E$12:$DA$78,21,FALSE)</f>
        <v>19000</v>
      </c>
      <c r="E29" s="37" t="s">
        <v>525</v>
      </c>
      <c r="F29" s="37">
        <f t="shared" si="8"/>
        <v>1583</v>
      </c>
      <c r="G29" s="37">
        <f t="shared" si="8"/>
        <v>1583</v>
      </c>
      <c r="H29" s="37">
        <f t="shared" si="8"/>
        <v>1583</v>
      </c>
      <c r="I29" s="37">
        <f t="shared" si="8"/>
        <v>1583</v>
      </c>
      <c r="J29" s="37">
        <f t="shared" si="8"/>
        <v>1583</v>
      </c>
      <c r="K29" s="37">
        <f t="shared" si="8"/>
        <v>1583</v>
      </c>
      <c r="L29" s="37">
        <f t="shared" si="8"/>
        <v>1583</v>
      </c>
      <c r="M29" s="37">
        <f t="shared" si="8"/>
        <v>1583</v>
      </c>
      <c r="N29" s="37">
        <f t="shared" si="8"/>
        <v>1583</v>
      </c>
      <c r="O29" s="37">
        <f t="shared" si="8"/>
        <v>1583</v>
      </c>
      <c r="P29" s="37">
        <f t="shared" si="8"/>
        <v>1583</v>
      </c>
      <c r="Q29" s="37">
        <f t="shared" si="6"/>
        <v>1587</v>
      </c>
      <c r="R29" s="37">
        <f t="shared" si="7"/>
        <v>0</v>
      </c>
    </row>
    <row r="30" spans="1:18">
      <c r="A30" s="269"/>
      <c r="B30" s="10" t="s">
        <v>137</v>
      </c>
      <c r="C30" s="11" t="s">
        <v>136</v>
      </c>
      <c r="D30" s="37">
        <f>HLOOKUP($D$1,[1]概算表!$E$12:$DA$78,22,FALSE)</f>
        <v>9000</v>
      </c>
      <c r="E30" s="37" t="s">
        <v>525</v>
      </c>
      <c r="F30" s="37">
        <f t="shared" si="8"/>
        <v>750</v>
      </c>
      <c r="G30" s="37">
        <f t="shared" si="8"/>
        <v>750</v>
      </c>
      <c r="H30" s="37">
        <f t="shared" si="8"/>
        <v>750</v>
      </c>
      <c r="I30" s="37">
        <f t="shared" si="8"/>
        <v>750</v>
      </c>
      <c r="J30" s="37">
        <f t="shared" si="8"/>
        <v>750</v>
      </c>
      <c r="K30" s="37">
        <f t="shared" si="8"/>
        <v>750</v>
      </c>
      <c r="L30" s="37">
        <f t="shared" si="8"/>
        <v>750</v>
      </c>
      <c r="M30" s="37">
        <f t="shared" si="8"/>
        <v>750</v>
      </c>
      <c r="N30" s="37">
        <f t="shared" si="8"/>
        <v>750</v>
      </c>
      <c r="O30" s="37">
        <f t="shared" si="8"/>
        <v>750</v>
      </c>
      <c r="P30" s="37">
        <f t="shared" si="8"/>
        <v>750</v>
      </c>
      <c r="Q30" s="37">
        <f t="shared" si="6"/>
        <v>750</v>
      </c>
      <c r="R30" s="37">
        <f t="shared" si="7"/>
        <v>0</v>
      </c>
    </row>
    <row r="31" spans="1:18">
      <c r="A31" s="269"/>
      <c r="B31" s="10" t="s">
        <v>138</v>
      </c>
      <c r="C31" s="11" t="s">
        <v>136</v>
      </c>
      <c r="D31" s="37">
        <f>HLOOKUP($D$1,[1]概算表!$E$12:$DA$78,23,FALSE)</f>
        <v>4000</v>
      </c>
      <c r="E31" s="37" t="s">
        <v>525</v>
      </c>
      <c r="F31" s="37">
        <f t="shared" si="8"/>
        <v>333</v>
      </c>
      <c r="G31" s="37">
        <f t="shared" si="8"/>
        <v>333</v>
      </c>
      <c r="H31" s="37">
        <f t="shared" si="8"/>
        <v>333</v>
      </c>
      <c r="I31" s="37">
        <f t="shared" si="8"/>
        <v>333</v>
      </c>
      <c r="J31" s="37">
        <f t="shared" si="8"/>
        <v>333</v>
      </c>
      <c r="K31" s="37">
        <f t="shared" si="8"/>
        <v>333</v>
      </c>
      <c r="L31" s="37">
        <f t="shared" si="8"/>
        <v>333</v>
      </c>
      <c r="M31" s="37">
        <f t="shared" si="8"/>
        <v>333</v>
      </c>
      <c r="N31" s="37">
        <f t="shared" si="8"/>
        <v>333</v>
      </c>
      <c r="O31" s="37">
        <f t="shared" si="8"/>
        <v>333</v>
      </c>
      <c r="P31" s="37">
        <f t="shared" si="8"/>
        <v>333</v>
      </c>
      <c r="Q31" s="37">
        <f t="shared" si="6"/>
        <v>337</v>
      </c>
      <c r="R31" s="37">
        <f t="shared" si="7"/>
        <v>0</v>
      </c>
    </row>
    <row r="32" spans="1:18" ht="32.4">
      <c r="A32" s="269"/>
      <c r="B32" s="10" t="s">
        <v>139</v>
      </c>
      <c r="C32" s="11" t="s">
        <v>136</v>
      </c>
      <c r="D32" s="37">
        <f>HLOOKUP($D$1,[1]概算表!$E$12:$DA$78,24,FALSE)</f>
        <v>0</v>
      </c>
      <c r="E32" s="37" t="s">
        <v>525</v>
      </c>
      <c r="F32" s="37">
        <f t="shared" si="8"/>
        <v>0</v>
      </c>
      <c r="G32" s="37">
        <f t="shared" si="8"/>
        <v>0</v>
      </c>
      <c r="H32" s="37">
        <f t="shared" si="8"/>
        <v>0</v>
      </c>
      <c r="I32" s="37">
        <f t="shared" si="8"/>
        <v>0</v>
      </c>
      <c r="J32" s="37">
        <f t="shared" si="8"/>
        <v>0</v>
      </c>
      <c r="K32" s="37">
        <f t="shared" si="8"/>
        <v>0</v>
      </c>
      <c r="L32" s="37">
        <f t="shared" si="8"/>
        <v>0</v>
      </c>
      <c r="M32" s="37">
        <f t="shared" si="8"/>
        <v>0</v>
      </c>
      <c r="N32" s="37">
        <f t="shared" si="8"/>
        <v>0</v>
      </c>
      <c r="O32" s="37">
        <f t="shared" si="8"/>
        <v>0</v>
      </c>
      <c r="P32" s="37">
        <f t="shared" si="8"/>
        <v>0</v>
      </c>
      <c r="Q32" s="37">
        <f t="shared" si="6"/>
        <v>0</v>
      </c>
      <c r="R32" s="37">
        <f t="shared" si="7"/>
        <v>0</v>
      </c>
    </row>
    <row r="33" spans="1:18">
      <c r="A33" s="269"/>
      <c r="B33" s="10" t="s">
        <v>140</v>
      </c>
      <c r="C33" s="11" t="s">
        <v>136</v>
      </c>
      <c r="D33" s="37">
        <f>HLOOKUP($D$1,[1]概算表!$E$12:$DA$78,25,FALSE)</f>
        <v>0</v>
      </c>
      <c r="E33" s="37" t="s">
        <v>525</v>
      </c>
      <c r="F33" s="37">
        <f t="shared" si="8"/>
        <v>0</v>
      </c>
      <c r="G33" s="37">
        <f t="shared" si="8"/>
        <v>0</v>
      </c>
      <c r="H33" s="37">
        <f t="shared" si="8"/>
        <v>0</v>
      </c>
      <c r="I33" s="37">
        <f t="shared" si="8"/>
        <v>0</v>
      </c>
      <c r="J33" s="37">
        <f t="shared" si="8"/>
        <v>0</v>
      </c>
      <c r="K33" s="37">
        <f t="shared" si="8"/>
        <v>0</v>
      </c>
      <c r="L33" s="37">
        <f t="shared" si="8"/>
        <v>0</v>
      </c>
      <c r="M33" s="37">
        <f t="shared" si="8"/>
        <v>0</v>
      </c>
      <c r="N33" s="37">
        <f t="shared" si="8"/>
        <v>0</v>
      </c>
      <c r="O33" s="37">
        <f t="shared" si="8"/>
        <v>0</v>
      </c>
      <c r="P33" s="37">
        <f t="shared" si="8"/>
        <v>0</v>
      </c>
      <c r="Q33" s="37">
        <f t="shared" si="6"/>
        <v>0</v>
      </c>
      <c r="R33" s="37">
        <f t="shared" si="7"/>
        <v>0</v>
      </c>
    </row>
    <row r="34" spans="1:18">
      <c r="A34" s="269"/>
      <c r="B34" s="10"/>
      <c r="C34" s="1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</row>
    <row r="35" spans="1:18">
      <c r="A35" s="269"/>
      <c r="B35" s="10"/>
      <c r="C35" s="1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69"/>
      <c r="B36" s="12" t="s">
        <v>222</v>
      </c>
      <c r="C36" s="11"/>
      <c r="D36" s="37">
        <f>(HLOOKUP(D1,[1]場租收支對列及移用留存數!3:6,4,FALSE)+HLOOKUP(D1,[1]場租收支對列及移用留存數!14:16,3,FALSE))*1000</f>
        <v>60000</v>
      </c>
      <c r="E36" s="37" t="s">
        <v>193</v>
      </c>
      <c r="F36" s="37">
        <f>ROUND($D36/2,-3)</f>
        <v>30000</v>
      </c>
      <c r="G36" s="37"/>
      <c r="H36" s="37"/>
      <c r="I36" s="37"/>
      <c r="J36" s="37"/>
      <c r="K36" s="37"/>
      <c r="L36" s="37">
        <f>D36-F36</f>
        <v>30000</v>
      </c>
      <c r="M36" s="37"/>
      <c r="N36" s="37"/>
      <c r="O36" s="37"/>
      <c r="P36" s="37"/>
      <c r="Q36" s="37"/>
      <c r="R36" s="37">
        <f t="shared" si="7"/>
        <v>0</v>
      </c>
    </row>
    <row r="37" spans="1:18">
      <c r="A37" s="269"/>
      <c r="B37" s="105" t="s">
        <v>206</v>
      </c>
      <c r="C37" s="78"/>
      <c r="D37" s="108">
        <f>SUM(D26:D36)</f>
        <v>339000</v>
      </c>
      <c r="E37" s="108"/>
      <c r="F37" s="108">
        <f t="shared" ref="F37:P37" si="9">ROUND(SUM(F26:F36),-3)</f>
        <v>53000</v>
      </c>
      <c r="G37" s="108">
        <f t="shared" si="9"/>
        <v>23000</v>
      </c>
      <c r="H37" s="108">
        <f t="shared" si="9"/>
        <v>23000</v>
      </c>
      <c r="I37" s="108">
        <f t="shared" si="9"/>
        <v>23000</v>
      </c>
      <c r="J37" s="108">
        <f t="shared" si="9"/>
        <v>23000</v>
      </c>
      <c r="K37" s="108">
        <f t="shared" si="9"/>
        <v>23000</v>
      </c>
      <c r="L37" s="108">
        <f t="shared" si="9"/>
        <v>53000</v>
      </c>
      <c r="M37" s="108">
        <f t="shared" si="9"/>
        <v>23000</v>
      </c>
      <c r="N37" s="108">
        <f t="shared" si="9"/>
        <v>23000</v>
      </c>
      <c r="O37" s="108">
        <f t="shared" si="9"/>
        <v>23000</v>
      </c>
      <c r="P37" s="108">
        <f t="shared" si="9"/>
        <v>23000</v>
      </c>
      <c r="Q37" s="108">
        <f>D37-SUM(F37:P37)</f>
        <v>26000</v>
      </c>
      <c r="R37" s="108">
        <f>SUM(F37:Q37)-D37</f>
        <v>0</v>
      </c>
    </row>
    <row r="38" spans="1:18">
      <c r="A38" s="269"/>
      <c r="B38" s="23"/>
      <c r="C38" s="24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>
        <f>SUM(F38:Q38)-D38</f>
        <v>0</v>
      </c>
    </row>
    <row r="39" spans="1:18">
      <c r="A39" s="269"/>
      <c r="B39" s="23"/>
      <c r="C39" s="24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>
        <f>SUM(F39:Q39)-D39</f>
        <v>0</v>
      </c>
    </row>
    <row r="40" spans="1:18" ht="32.4">
      <c r="A40" s="269"/>
      <c r="B40" s="105" t="s">
        <v>526</v>
      </c>
      <c r="C40" s="107"/>
      <c r="D40" s="108"/>
      <c r="E40" s="108"/>
      <c r="F40" s="108">
        <f>ROUND(SUM(F38:F39),-3)</f>
        <v>0</v>
      </c>
      <c r="G40" s="108">
        <f t="shared" ref="G40:Q40" si="10">ROUND(SUM(G38:G39),-3)</f>
        <v>0</v>
      </c>
      <c r="H40" s="108">
        <f t="shared" si="10"/>
        <v>0</v>
      </c>
      <c r="I40" s="108">
        <f t="shared" si="10"/>
        <v>0</v>
      </c>
      <c r="J40" s="108">
        <f t="shared" si="10"/>
        <v>0</v>
      </c>
      <c r="K40" s="108">
        <f t="shared" si="10"/>
        <v>0</v>
      </c>
      <c r="L40" s="108">
        <f t="shared" si="10"/>
        <v>0</v>
      </c>
      <c r="M40" s="108">
        <f t="shared" si="10"/>
        <v>0</v>
      </c>
      <c r="N40" s="108">
        <f t="shared" si="10"/>
        <v>0</v>
      </c>
      <c r="O40" s="108">
        <f t="shared" si="10"/>
        <v>0</v>
      </c>
      <c r="P40" s="108">
        <f t="shared" si="10"/>
        <v>0</v>
      </c>
      <c r="Q40" s="108">
        <f t="shared" si="10"/>
        <v>0</v>
      </c>
      <c r="R40" s="108">
        <f>SUM(F40:Q40)-D40</f>
        <v>0</v>
      </c>
    </row>
    <row r="41" spans="1:18">
      <c r="A41" s="269"/>
      <c r="B41" s="23"/>
      <c r="C41" s="2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>
        <f t="shared" ref="R41:R75" si="11">SUM(F41:Q41)-D41</f>
        <v>0</v>
      </c>
    </row>
    <row r="42" spans="1:18">
      <c r="A42" s="269"/>
      <c r="B42" s="23" t="s">
        <v>141</v>
      </c>
      <c r="C42" s="24">
        <v>646</v>
      </c>
      <c r="D42" s="37">
        <f>HLOOKUP($D$1,[1]概算表!$E$12:$DA$78,26,FALSE)</f>
        <v>0</v>
      </c>
      <c r="E42" s="37" t="s">
        <v>199</v>
      </c>
      <c r="F42" s="37"/>
      <c r="G42" s="37"/>
      <c r="H42" s="37"/>
      <c r="I42" s="37">
        <f>D42</f>
        <v>0</v>
      </c>
      <c r="J42" s="37"/>
      <c r="K42" s="37"/>
      <c r="L42" s="37"/>
      <c r="M42" s="37"/>
      <c r="N42" s="37"/>
      <c r="O42" s="37"/>
      <c r="P42" s="37"/>
      <c r="Q42" s="37"/>
      <c r="R42" s="37">
        <f t="shared" si="11"/>
        <v>0</v>
      </c>
    </row>
    <row r="43" spans="1:18">
      <c r="A43" s="269"/>
      <c r="B43" s="23" t="s">
        <v>142</v>
      </c>
      <c r="C43" s="24">
        <v>661</v>
      </c>
      <c r="D43" s="37">
        <f>HLOOKUP($D$1,[1]概算表!$E$12:$DA$78,27,FALSE)</f>
        <v>0</v>
      </c>
      <c r="E43" s="37" t="s">
        <v>195</v>
      </c>
      <c r="F43" s="37">
        <f>D43</f>
        <v>0</v>
      </c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>
        <f t="shared" si="11"/>
        <v>0</v>
      </c>
    </row>
    <row r="44" spans="1:18">
      <c r="A44" s="269"/>
      <c r="B44" s="23" t="s">
        <v>143</v>
      </c>
      <c r="C44" s="24">
        <v>663</v>
      </c>
      <c r="D44" s="37">
        <f>HLOOKUP($D$1,[1]概算表!$E$12:$DA$78,28,FALSE)</f>
        <v>0</v>
      </c>
      <c r="E44" s="37" t="s">
        <v>201</v>
      </c>
      <c r="F44" s="37"/>
      <c r="G44" s="37"/>
      <c r="H44" s="37"/>
      <c r="I44" s="37"/>
      <c r="J44" s="37"/>
      <c r="K44" s="37"/>
      <c r="L44" s="37">
        <f>D44</f>
        <v>0</v>
      </c>
      <c r="M44" s="37"/>
      <c r="N44" s="37"/>
      <c r="O44" s="37"/>
      <c r="P44" s="37"/>
      <c r="Q44" s="37"/>
      <c r="R44" s="37">
        <f t="shared" si="11"/>
        <v>0</v>
      </c>
    </row>
    <row r="45" spans="1:18" ht="15" customHeight="1">
      <c r="A45" s="269"/>
      <c r="B45" s="106" t="s">
        <v>207</v>
      </c>
      <c r="C45" s="107"/>
      <c r="D45" s="108">
        <f>SUM(D42:D44)</f>
        <v>0</v>
      </c>
      <c r="E45" s="108"/>
      <c r="F45" s="108">
        <f t="shared" ref="F45:P45" si="12">ROUND(SUM(F42:F44),-3)</f>
        <v>0</v>
      </c>
      <c r="G45" s="108">
        <f t="shared" si="12"/>
        <v>0</v>
      </c>
      <c r="H45" s="108">
        <f t="shared" si="12"/>
        <v>0</v>
      </c>
      <c r="I45" s="108">
        <f t="shared" si="12"/>
        <v>0</v>
      </c>
      <c r="J45" s="108">
        <f t="shared" si="12"/>
        <v>0</v>
      </c>
      <c r="K45" s="108">
        <f t="shared" si="12"/>
        <v>0</v>
      </c>
      <c r="L45" s="108">
        <f t="shared" si="12"/>
        <v>0</v>
      </c>
      <c r="M45" s="108">
        <f t="shared" si="12"/>
        <v>0</v>
      </c>
      <c r="N45" s="108">
        <f t="shared" si="12"/>
        <v>0</v>
      </c>
      <c r="O45" s="108">
        <f t="shared" si="12"/>
        <v>0</v>
      </c>
      <c r="P45" s="108">
        <f t="shared" si="12"/>
        <v>0</v>
      </c>
      <c r="Q45" s="108">
        <f>D45-SUM(F45:P45)</f>
        <v>0</v>
      </c>
      <c r="R45" s="108">
        <f>SUM(F45:Q45)-D45</f>
        <v>0</v>
      </c>
    </row>
    <row r="46" spans="1:18">
      <c r="A46" s="269"/>
      <c r="B46" s="10" t="s">
        <v>144</v>
      </c>
      <c r="C46" s="11">
        <v>744</v>
      </c>
      <c r="D46" s="37">
        <f>HLOOKUP($D$1,[1]概算表!$E$12:$DA$78,29,FALSE)</f>
        <v>12000</v>
      </c>
      <c r="E46" s="37" t="s">
        <v>194</v>
      </c>
      <c r="F46" s="37">
        <f>ROUND($D46/3,0)</f>
        <v>4000</v>
      </c>
      <c r="G46" s="37"/>
      <c r="H46" s="37"/>
      <c r="I46" s="37"/>
      <c r="J46" s="37"/>
      <c r="K46" s="37">
        <f>ROUND($D46/3,0)</f>
        <v>4000</v>
      </c>
      <c r="L46" s="37"/>
      <c r="M46" s="37"/>
      <c r="N46" s="37">
        <f>ROUND($D46/3,0)</f>
        <v>4000</v>
      </c>
      <c r="O46" s="37"/>
      <c r="P46" s="37"/>
      <c r="Q46" s="37"/>
      <c r="R46" s="37">
        <f t="shared" si="11"/>
        <v>0</v>
      </c>
    </row>
    <row r="47" spans="1:18" ht="32.4">
      <c r="A47" s="269"/>
      <c r="B47" s="105" t="s">
        <v>208</v>
      </c>
      <c r="C47" s="78"/>
      <c r="D47" s="108">
        <f>SUM(D46)</f>
        <v>12000</v>
      </c>
      <c r="E47" s="108"/>
      <c r="F47" s="108">
        <f t="shared" ref="F47:P47" si="13">ROUND(SUM(F46),-3)</f>
        <v>4000</v>
      </c>
      <c r="G47" s="108">
        <f t="shared" si="13"/>
        <v>0</v>
      </c>
      <c r="H47" s="108">
        <f t="shared" si="13"/>
        <v>0</v>
      </c>
      <c r="I47" s="108">
        <f t="shared" si="13"/>
        <v>0</v>
      </c>
      <c r="J47" s="108">
        <f t="shared" si="13"/>
        <v>0</v>
      </c>
      <c r="K47" s="108">
        <f t="shared" si="13"/>
        <v>4000</v>
      </c>
      <c r="L47" s="108">
        <f t="shared" si="13"/>
        <v>0</v>
      </c>
      <c r="M47" s="108">
        <f t="shared" si="13"/>
        <v>0</v>
      </c>
      <c r="N47" s="108">
        <f t="shared" si="13"/>
        <v>4000</v>
      </c>
      <c r="O47" s="108">
        <f t="shared" si="13"/>
        <v>0</v>
      </c>
      <c r="P47" s="108">
        <f t="shared" si="13"/>
        <v>0</v>
      </c>
      <c r="Q47" s="108">
        <f>D47-SUM(F47:P47)</f>
        <v>0</v>
      </c>
      <c r="R47" s="108">
        <f>SUM(F47:Q47)-D47</f>
        <v>0</v>
      </c>
    </row>
    <row r="48" spans="1:18" ht="15.75" customHeight="1">
      <c r="A48" s="269"/>
      <c r="B48" s="13" t="s">
        <v>177</v>
      </c>
      <c r="C48" s="11"/>
      <c r="D48" s="115">
        <f>D25+D37+D45+D47</f>
        <v>961000</v>
      </c>
      <c r="E48" s="37"/>
      <c r="F48" s="115">
        <f>F25+F37+F45+F47</f>
        <v>121000</v>
      </c>
      <c r="G48" s="115">
        <f t="shared" ref="G48:R48" si="14">G25+G37+G45+G47</f>
        <v>71000</v>
      </c>
      <c r="H48" s="115">
        <f t="shared" si="14"/>
        <v>71000</v>
      </c>
      <c r="I48" s="115">
        <f t="shared" si="14"/>
        <v>71000</v>
      </c>
      <c r="J48" s="115">
        <f t="shared" si="14"/>
        <v>71000</v>
      </c>
      <c r="K48" s="115">
        <f t="shared" si="14"/>
        <v>75000</v>
      </c>
      <c r="L48" s="115">
        <f t="shared" si="14"/>
        <v>117000</v>
      </c>
      <c r="M48" s="115">
        <f t="shared" si="14"/>
        <v>71000</v>
      </c>
      <c r="N48" s="115">
        <f t="shared" si="14"/>
        <v>75000</v>
      </c>
      <c r="O48" s="115">
        <f t="shared" si="14"/>
        <v>71000</v>
      </c>
      <c r="P48" s="115">
        <f t="shared" si="14"/>
        <v>71000</v>
      </c>
      <c r="Q48" s="115">
        <f t="shared" si="14"/>
        <v>76000</v>
      </c>
      <c r="R48" s="115">
        <f t="shared" si="14"/>
        <v>0</v>
      </c>
    </row>
    <row r="49" spans="1:18" ht="32.4">
      <c r="A49" s="270" t="s">
        <v>149</v>
      </c>
      <c r="B49" s="19" t="s">
        <v>150</v>
      </c>
      <c r="C49" s="15">
        <v>113</v>
      </c>
      <c r="D49" s="37">
        <f>HLOOKUP($D$1,[1]概算表!$E$12:$DA$78,36,FALSE)</f>
        <v>15790000</v>
      </c>
      <c r="E49" s="114" t="s">
        <v>202</v>
      </c>
      <c r="F49" s="37">
        <f>ROUND($D49/12*3,-3)</f>
        <v>3948000</v>
      </c>
      <c r="G49" s="37">
        <f>ROUND($D49/12,-3)</f>
        <v>1316000</v>
      </c>
      <c r="H49" s="37">
        <f t="shared" ref="H49:N53" si="15">ROUND($D49/12,-3)</f>
        <v>1316000</v>
      </c>
      <c r="I49" s="37">
        <f t="shared" si="15"/>
        <v>1316000</v>
      </c>
      <c r="J49" s="37">
        <f t="shared" si="15"/>
        <v>1316000</v>
      </c>
      <c r="K49" s="37">
        <f t="shared" si="15"/>
        <v>1316000</v>
      </c>
      <c r="L49" s="37">
        <f t="shared" si="15"/>
        <v>1316000</v>
      </c>
      <c r="M49" s="37">
        <f t="shared" si="15"/>
        <v>1316000</v>
      </c>
      <c r="N49" s="37">
        <f t="shared" si="15"/>
        <v>1316000</v>
      </c>
      <c r="O49" s="37">
        <f>D49-SUM(F49:N49)</f>
        <v>1314000</v>
      </c>
      <c r="P49" s="37"/>
      <c r="Q49" s="37"/>
      <c r="R49" s="37">
        <f t="shared" si="11"/>
        <v>0</v>
      </c>
    </row>
    <row r="50" spans="1:18" ht="32.4">
      <c r="A50" s="270"/>
      <c r="B50" s="19" t="s">
        <v>527</v>
      </c>
      <c r="C50" s="15">
        <v>114</v>
      </c>
      <c r="D50" s="37">
        <f>HLOOKUP($D$1,[1]概算表!$E$12:$DA$78,37,FALSE)</f>
        <v>0</v>
      </c>
      <c r="E50" s="114" t="s">
        <v>202</v>
      </c>
      <c r="F50" s="37">
        <f t="shared" ref="F50:F53" si="16">ROUND($D50/12*3,-3)</f>
        <v>0</v>
      </c>
      <c r="G50" s="37">
        <f t="shared" ref="G50:G53" si="17">ROUND($D50/12,-3)</f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37">
        <f t="shared" si="15"/>
        <v>0</v>
      </c>
      <c r="N50" s="37">
        <f t="shared" si="15"/>
        <v>0</v>
      </c>
      <c r="O50" s="37">
        <f t="shared" ref="O50:O53" si="18">D50-SUM(F50:N50)</f>
        <v>0</v>
      </c>
      <c r="P50" s="37"/>
      <c r="Q50" s="37"/>
      <c r="R50" s="37">
        <f>SUM(F50:Q50)-D50</f>
        <v>0</v>
      </c>
    </row>
    <row r="51" spans="1:18" ht="32.4">
      <c r="A51" s="270"/>
      <c r="B51" s="19" t="s">
        <v>151</v>
      </c>
      <c r="C51" s="15">
        <v>114</v>
      </c>
      <c r="D51" s="37">
        <f>HLOOKUP($D$1,[1]概算表!$E$12:$DA$78,38,FALSE)</f>
        <v>1412000</v>
      </c>
      <c r="E51" s="114" t="s">
        <v>202</v>
      </c>
      <c r="F51" s="37">
        <f t="shared" si="16"/>
        <v>353000</v>
      </c>
      <c r="G51" s="37">
        <f t="shared" si="17"/>
        <v>118000</v>
      </c>
      <c r="H51" s="37">
        <f t="shared" si="15"/>
        <v>118000</v>
      </c>
      <c r="I51" s="37">
        <f t="shared" si="15"/>
        <v>118000</v>
      </c>
      <c r="J51" s="37">
        <f t="shared" si="15"/>
        <v>118000</v>
      </c>
      <c r="K51" s="37">
        <f t="shared" si="15"/>
        <v>118000</v>
      </c>
      <c r="L51" s="37">
        <f t="shared" si="15"/>
        <v>118000</v>
      </c>
      <c r="M51" s="37">
        <f t="shared" si="15"/>
        <v>118000</v>
      </c>
      <c r="N51" s="37">
        <f t="shared" si="15"/>
        <v>118000</v>
      </c>
      <c r="O51" s="37">
        <f t="shared" si="18"/>
        <v>115000</v>
      </c>
      <c r="P51" s="37"/>
      <c r="Q51" s="37"/>
      <c r="R51" s="37">
        <f t="shared" si="11"/>
        <v>0</v>
      </c>
    </row>
    <row r="52" spans="1:18" ht="32.4">
      <c r="A52" s="270"/>
      <c r="B52" s="19" t="s">
        <v>152</v>
      </c>
      <c r="C52" s="15">
        <v>114</v>
      </c>
      <c r="D52" s="37">
        <f>HLOOKUP($D$1,[1]概算表!$E$12:$DA$78,39,FALSE)</f>
        <v>265000</v>
      </c>
      <c r="E52" s="114" t="s">
        <v>202</v>
      </c>
      <c r="F52" s="37">
        <f t="shared" si="16"/>
        <v>66000</v>
      </c>
      <c r="G52" s="37">
        <f t="shared" si="17"/>
        <v>22000</v>
      </c>
      <c r="H52" s="37">
        <f t="shared" si="15"/>
        <v>22000</v>
      </c>
      <c r="I52" s="37">
        <f t="shared" si="15"/>
        <v>22000</v>
      </c>
      <c r="J52" s="37">
        <f t="shared" si="15"/>
        <v>22000</v>
      </c>
      <c r="K52" s="37">
        <f t="shared" si="15"/>
        <v>22000</v>
      </c>
      <c r="L52" s="37">
        <f t="shared" si="15"/>
        <v>22000</v>
      </c>
      <c r="M52" s="37">
        <f t="shared" si="15"/>
        <v>22000</v>
      </c>
      <c r="N52" s="37">
        <f t="shared" si="15"/>
        <v>22000</v>
      </c>
      <c r="O52" s="37">
        <f t="shared" si="18"/>
        <v>23000</v>
      </c>
      <c r="P52" s="37"/>
      <c r="Q52" s="37"/>
      <c r="R52" s="37">
        <f t="shared" si="11"/>
        <v>0</v>
      </c>
    </row>
    <row r="53" spans="1:18" ht="32.4">
      <c r="A53" s="270"/>
      <c r="B53" s="19" t="s">
        <v>153</v>
      </c>
      <c r="C53" s="15">
        <v>114</v>
      </c>
      <c r="D53" s="37">
        <f>HLOOKUP($D$1,[1]概算表!$E$12:$DA$78,40,FALSE)</f>
        <v>0</v>
      </c>
      <c r="E53" s="114" t="s">
        <v>202</v>
      </c>
      <c r="F53" s="37">
        <f t="shared" si="16"/>
        <v>0</v>
      </c>
      <c r="G53" s="37">
        <f t="shared" si="17"/>
        <v>0</v>
      </c>
      <c r="H53" s="37">
        <f t="shared" si="15"/>
        <v>0</v>
      </c>
      <c r="I53" s="37">
        <f t="shared" si="15"/>
        <v>0</v>
      </c>
      <c r="J53" s="37">
        <f t="shared" si="15"/>
        <v>0</v>
      </c>
      <c r="K53" s="37">
        <f t="shared" si="15"/>
        <v>0</v>
      </c>
      <c r="L53" s="37">
        <f t="shared" si="15"/>
        <v>0</v>
      </c>
      <c r="M53" s="37">
        <f t="shared" si="15"/>
        <v>0</v>
      </c>
      <c r="N53" s="37">
        <f t="shared" si="15"/>
        <v>0</v>
      </c>
      <c r="O53" s="37">
        <f t="shared" si="18"/>
        <v>0</v>
      </c>
      <c r="P53" s="37"/>
      <c r="Q53" s="37"/>
      <c r="R53" s="37">
        <f t="shared" si="11"/>
        <v>0</v>
      </c>
    </row>
    <row r="54" spans="1:18" ht="32.4">
      <c r="A54" s="270"/>
      <c r="B54" s="19" t="s">
        <v>154</v>
      </c>
      <c r="C54" s="15">
        <v>124</v>
      </c>
      <c r="D54" s="37">
        <f>HLOOKUP($D$1,[1]概算表!$E$12:$DA$78,41,FALSE)</f>
        <v>31000</v>
      </c>
      <c r="E54" s="37" t="s">
        <v>525</v>
      </c>
      <c r="F54" s="37">
        <f t="shared" ref="F54:P61" si="19">ROUND($D54/12,0)</f>
        <v>2583</v>
      </c>
      <c r="G54" s="37">
        <f t="shared" si="19"/>
        <v>2583</v>
      </c>
      <c r="H54" s="37">
        <f t="shared" si="19"/>
        <v>2583</v>
      </c>
      <c r="I54" s="37">
        <f t="shared" si="19"/>
        <v>2583</v>
      </c>
      <c r="J54" s="37">
        <f t="shared" si="19"/>
        <v>2583</v>
      </c>
      <c r="K54" s="37">
        <f t="shared" si="19"/>
        <v>2583</v>
      </c>
      <c r="L54" s="37">
        <f t="shared" si="19"/>
        <v>2583</v>
      </c>
      <c r="M54" s="37">
        <f t="shared" si="19"/>
        <v>2583</v>
      </c>
      <c r="N54" s="37">
        <f t="shared" si="19"/>
        <v>2583</v>
      </c>
      <c r="O54" s="37">
        <f t="shared" si="19"/>
        <v>2583</v>
      </c>
      <c r="P54" s="37">
        <f t="shared" si="19"/>
        <v>2583</v>
      </c>
      <c r="Q54" s="37">
        <f t="shared" ref="Q54:Q61" si="20">D54-SUM(F54:P54)</f>
        <v>2587</v>
      </c>
      <c r="R54" s="37">
        <f t="shared" si="11"/>
        <v>0</v>
      </c>
    </row>
    <row r="55" spans="1:18">
      <c r="A55" s="270"/>
      <c r="B55" s="19" t="s">
        <v>155</v>
      </c>
      <c r="C55" s="15">
        <v>124</v>
      </c>
      <c r="D55" s="37">
        <f>HLOOKUP($D$1,[1]概算表!$E$12:$DA$78,42,FALSE)</f>
        <v>0</v>
      </c>
      <c r="E55" s="37" t="s">
        <v>525</v>
      </c>
      <c r="F55" s="37">
        <f t="shared" si="19"/>
        <v>0</v>
      </c>
      <c r="G55" s="37">
        <f t="shared" si="19"/>
        <v>0</v>
      </c>
      <c r="H55" s="37">
        <f t="shared" si="19"/>
        <v>0</v>
      </c>
      <c r="I55" s="37">
        <f t="shared" si="19"/>
        <v>0</v>
      </c>
      <c r="J55" s="37">
        <f t="shared" si="19"/>
        <v>0</v>
      </c>
      <c r="K55" s="37">
        <f t="shared" si="19"/>
        <v>0</v>
      </c>
      <c r="L55" s="37">
        <f t="shared" si="19"/>
        <v>0</v>
      </c>
      <c r="M55" s="37">
        <f t="shared" si="19"/>
        <v>0</v>
      </c>
      <c r="N55" s="37">
        <f t="shared" si="19"/>
        <v>0</v>
      </c>
      <c r="O55" s="37">
        <f t="shared" si="19"/>
        <v>0</v>
      </c>
      <c r="P55" s="37">
        <f t="shared" si="19"/>
        <v>0</v>
      </c>
      <c r="Q55" s="37">
        <f t="shared" si="20"/>
        <v>0</v>
      </c>
      <c r="R55" s="37">
        <f t="shared" si="11"/>
        <v>0</v>
      </c>
    </row>
    <row r="56" spans="1:18">
      <c r="A56" s="270"/>
      <c r="B56" s="19" t="s">
        <v>156</v>
      </c>
      <c r="C56" s="15">
        <v>124</v>
      </c>
      <c r="D56" s="37">
        <f>HLOOKUP($D$1,[1]概算表!$E$12:$DA$78,43,FALSE)</f>
        <v>0</v>
      </c>
      <c r="E56" s="37" t="s">
        <v>525</v>
      </c>
      <c r="F56" s="37">
        <f t="shared" si="19"/>
        <v>0</v>
      </c>
      <c r="G56" s="37">
        <f t="shared" si="19"/>
        <v>0</v>
      </c>
      <c r="H56" s="37">
        <f t="shared" si="19"/>
        <v>0</v>
      </c>
      <c r="I56" s="37">
        <f t="shared" si="19"/>
        <v>0</v>
      </c>
      <c r="J56" s="37">
        <f t="shared" si="19"/>
        <v>0</v>
      </c>
      <c r="K56" s="37">
        <f t="shared" si="19"/>
        <v>0</v>
      </c>
      <c r="L56" s="37">
        <f t="shared" si="19"/>
        <v>0</v>
      </c>
      <c r="M56" s="37">
        <f t="shared" si="19"/>
        <v>0</v>
      </c>
      <c r="N56" s="37">
        <f t="shared" si="19"/>
        <v>0</v>
      </c>
      <c r="O56" s="37">
        <f t="shared" si="19"/>
        <v>0</v>
      </c>
      <c r="P56" s="37">
        <f t="shared" si="19"/>
        <v>0</v>
      </c>
      <c r="Q56" s="37">
        <f t="shared" si="20"/>
        <v>0</v>
      </c>
      <c r="R56" s="37">
        <f t="shared" si="11"/>
        <v>0</v>
      </c>
    </row>
    <row r="57" spans="1:18">
      <c r="A57" s="270"/>
      <c r="B57" s="19" t="s">
        <v>157</v>
      </c>
      <c r="C57" s="15">
        <v>124</v>
      </c>
      <c r="D57" s="37">
        <f>HLOOKUP($D$1,[1]概算表!$E$12:$DA$78,44,FALSE)</f>
        <v>0</v>
      </c>
      <c r="E57" s="37" t="s">
        <v>525</v>
      </c>
      <c r="F57" s="37">
        <f t="shared" si="19"/>
        <v>0</v>
      </c>
      <c r="G57" s="37">
        <f t="shared" si="19"/>
        <v>0</v>
      </c>
      <c r="H57" s="37">
        <f t="shared" si="19"/>
        <v>0</v>
      </c>
      <c r="I57" s="37">
        <f t="shared" si="19"/>
        <v>0</v>
      </c>
      <c r="J57" s="37">
        <f t="shared" si="19"/>
        <v>0</v>
      </c>
      <c r="K57" s="37">
        <f t="shared" si="19"/>
        <v>0</v>
      </c>
      <c r="L57" s="37">
        <f t="shared" si="19"/>
        <v>0</v>
      </c>
      <c r="M57" s="37">
        <f t="shared" si="19"/>
        <v>0</v>
      </c>
      <c r="N57" s="37">
        <f t="shared" si="19"/>
        <v>0</v>
      </c>
      <c r="O57" s="37">
        <f t="shared" si="19"/>
        <v>0</v>
      </c>
      <c r="P57" s="37">
        <f t="shared" si="19"/>
        <v>0</v>
      </c>
      <c r="Q57" s="37">
        <f t="shared" si="20"/>
        <v>0</v>
      </c>
      <c r="R57" s="37">
        <f t="shared" si="11"/>
        <v>0</v>
      </c>
    </row>
    <row r="58" spans="1:18">
      <c r="A58" s="270"/>
      <c r="B58" s="19" t="s">
        <v>158</v>
      </c>
      <c r="C58" s="15">
        <v>124</v>
      </c>
      <c r="D58" s="37">
        <f>HLOOKUP($D$1,[1]概算表!$E$12:$DA$78,45,FALSE)</f>
        <v>0</v>
      </c>
      <c r="E58" s="37" t="s">
        <v>525</v>
      </c>
      <c r="F58" s="37">
        <f t="shared" si="19"/>
        <v>0</v>
      </c>
      <c r="G58" s="37">
        <f t="shared" si="19"/>
        <v>0</v>
      </c>
      <c r="H58" s="37">
        <f t="shared" si="19"/>
        <v>0</v>
      </c>
      <c r="I58" s="37">
        <f t="shared" si="19"/>
        <v>0</v>
      </c>
      <c r="J58" s="37">
        <f t="shared" si="19"/>
        <v>0</v>
      </c>
      <c r="K58" s="37">
        <f t="shared" si="19"/>
        <v>0</v>
      </c>
      <c r="L58" s="37">
        <f t="shared" si="19"/>
        <v>0</v>
      </c>
      <c r="M58" s="37">
        <f t="shared" si="19"/>
        <v>0</v>
      </c>
      <c r="N58" s="37">
        <f t="shared" si="19"/>
        <v>0</v>
      </c>
      <c r="O58" s="37">
        <f t="shared" si="19"/>
        <v>0</v>
      </c>
      <c r="P58" s="37">
        <f t="shared" si="19"/>
        <v>0</v>
      </c>
      <c r="Q58" s="37">
        <f t="shared" si="20"/>
        <v>0</v>
      </c>
      <c r="R58" s="37">
        <f t="shared" si="11"/>
        <v>0</v>
      </c>
    </row>
    <row r="59" spans="1:18" ht="32.4">
      <c r="A59" s="270"/>
      <c r="B59" s="19" t="s">
        <v>159</v>
      </c>
      <c r="C59" s="15">
        <v>131</v>
      </c>
      <c r="D59" s="37">
        <f>HLOOKUP($D$1,[1]概算表!$E$12:$DA$78,46,FALSE)</f>
        <v>24000</v>
      </c>
      <c r="E59" s="37" t="s">
        <v>525</v>
      </c>
      <c r="F59" s="37">
        <f t="shared" si="19"/>
        <v>2000</v>
      </c>
      <c r="G59" s="37">
        <f t="shared" si="19"/>
        <v>2000</v>
      </c>
      <c r="H59" s="37">
        <f t="shared" si="19"/>
        <v>2000</v>
      </c>
      <c r="I59" s="37">
        <f t="shared" si="19"/>
        <v>2000</v>
      </c>
      <c r="J59" s="37">
        <f t="shared" si="19"/>
        <v>2000</v>
      </c>
      <c r="K59" s="37">
        <f t="shared" si="19"/>
        <v>2000</v>
      </c>
      <c r="L59" s="37">
        <f t="shared" si="19"/>
        <v>2000</v>
      </c>
      <c r="M59" s="37">
        <f t="shared" si="19"/>
        <v>2000</v>
      </c>
      <c r="N59" s="37">
        <f t="shared" si="19"/>
        <v>2000</v>
      </c>
      <c r="O59" s="37">
        <f t="shared" si="19"/>
        <v>2000</v>
      </c>
      <c r="P59" s="37">
        <f t="shared" si="19"/>
        <v>2000</v>
      </c>
      <c r="Q59" s="37">
        <f t="shared" si="20"/>
        <v>2000</v>
      </c>
      <c r="R59" s="37">
        <f t="shared" si="11"/>
        <v>0</v>
      </c>
    </row>
    <row r="60" spans="1:18">
      <c r="A60" s="270"/>
      <c r="B60" s="19" t="s">
        <v>684</v>
      </c>
      <c r="C60" s="15">
        <v>131</v>
      </c>
      <c r="D60" s="37">
        <f>HLOOKUP($D$1,[1]概算表!$E$12:$DA$78,47,FALSE)</f>
        <v>485000</v>
      </c>
      <c r="E60" s="37" t="s">
        <v>195</v>
      </c>
      <c r="F60" s="37">
        <f>D60</f>
        <v>485000</v>
      </c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>
        <f t="shared" si="11"/>
        <v>0</v>
      </c>
    </row>
    <row r="61" spans="1:18">
      <c r="A61" s="270"/>
      <c r="B61" s="19" t="s">
        <v>160</v>
      </c>
      <c r="C61" s="15">
        <v>132</v>
      </c>
      <c r="D61" s="37">
        <f>HLOOKUP($D$1,[1]概算表!$E$12:$DA$78,48,FALSE)</f>
        <v>0</v>
      </c>
      <c r="E61" s="37" t="s">
        <v>525</v>
      </c>
      <c r="F61" s="37">
        <f t="shared" si="19"/>
        <v>0</v>
      </c>
      <c r="G61" s="37">
        <f t="shared" si="19"/>
        <v>0</v>
      </c>
      <c r="H61" s="37">
        <f t="shared" si="19"/>
        <v>0</v>
      </c>
      <c r="I61" s="37">
        <f t="shared" si="19"/>
        <v>0</v>
      </c>
      <c r="J61" s="37">
        <f t="shared" si="19"/>
        <v>0</v>
      </c>
      <c r="K61" s="37">
        <f t="shared" si="19"/>
        <v>0</v>
      </c>
      <c r="L61" s="37">
        <f t="shared" si="19"/>
        <v>0</v>
      </c>
      <c r="M61" s="37">
        <f t="shared" si="19"/>
        <v>0</v>
      </c>
      <c r="N61" s="37">
        <f t="shared" si="19"/>
        <v>0</v>
      </c>
      <c r="O61" s="37">
        <f t="shared" si="19"/>
        <v>0</v>
      </c>
      <c r="P61" s="37">
        <f t="shared" si="19"/>
        <v>0</v>
      </c>
      <c r="Q61" s="37">
        <f t="shared" si="20"/>
        <v>0</v>
      </c>
      <c r="R61" s="37">
        <f t="shared" si="11"/>
        <v>0</v>
      </c>
    </row>
    <row r="62" spans="1:18">
      <c r="A62" s="270"/>
      <c r="B62" s="19" t="s">
        <v>161</v>
      </c>
      <c r="C62" s="15">
        <v>151</v>
      </c>
      <c r="D62" s="37">
        <f>HLOOKUP($D$1,[1]概算表!$E$12:$DA$78,49,FALSE)</f>
        <v>1608000</v>
      </c>
      <c r="E62" s="37" t="s">
        <v>197</v>
      </c>
      <c r="F62" s="37"/>
      <c r="G62" s="37"/>
      <c r="H62" s="37"/>
      <c r="I62" s="37">
        <f>ROUND($D62/5,-3)</f>
        <v>322000</v>
      </c>
      <c r="J62" s="37"/>
      <c r="K62" s="37"/>
      <c r="L62" s="37"/>
      <c r="M62" s="37"/>
      <c r="N62" s="37">
        <f>D62-I62</f>
        <v>1286000</v>
      </c>
      <c r="O62" s="37"/>
      <c r="P62" s="37"/>
      <c r="Q62" s="37"/>
      <c r="R62" s="37">
        <f t="shared" si="11"/>
        <v>0</v>
      </c>
    </row>
    <row r="63" spans="1:18">
      <c r="A63" s="270"/>
      <c r="B63" s="19" t="s">
        <v>162</v>
      </c>
      <c r="C63" s="15">
        <v>152</v>
      </c>
      <c r="D63" s="37">
        <f>HLOOKUP($D$1,[1]概算表!$E$12:$DA$78,50,FALSE)</f>
        <v>1880000</v>
      </c>
      <c r="E63" s="37" t="s">
        <v>195</v>
      </c>
      <c r="F63" s="37">
        <f>D63</f>
        <v>1880000</v>
      </c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f t="shared" si="11"/>
        <v>0</v>
      </c>
    </row>
    <row r="64" spans="1:18" ht="32.4">
      <c r="A64" s="270"/>
      <c r="B64" s="19" t="s">
        <v>163</v>
      </c>
      <c r="C64" s="15">
        <v>161</v>
      </c>
      <c r="D64" s="37">
        <f>HLOOKUP($D$1,[1]概算表!$E$12:$DA$78,51,FALSE)</f>
        <v>1629000</v>
      </c>
      <c r="E64" s="114" t="s">
        <v>202</v>
      </c>
      <c r="F64" s="37">
        <f>ROUND($D64/12*3,-3)</f>
        <v>407000</v>
      </c>
      <c r="G64" s="37">
        <f>ROUND($D64/12,-3)</f>
        <v>136000</v>
      </c>
      <c r="H64" s="37">
        <f t="shared" ref="H64:N66" si="21">ROUND($D64/12,-3)</f>
        <v>136000</v>
      </c>
      <c r="I64" s="37">
        <f t="shared" si="21"/>
        <v>136000</v>
      </c>
      <c r="J64" s="37">
        <f t="shared" si="21"/>
        <v>136000</v>
      </c>
      <c r="K64" s="37">
        <f t="shared" si="21"/>
        <v>136000</v>
      </c>
      <c r="L64" s="37">
        <f t="shared" si="21"/>
        <v>136000</v>
      </c>
      <c r="M64" s="37">
        <f t="shared" si="21"/>
        <v>136000</v>
      </c>
      <c r="N64" s="37">
        <f t="shared" si="21"/>
        <v>136000</v>
      </c>
      <c r="O64" s="37">
        <f>D64-SUM(F64:N64)</f>
        <v>134000</v>
      </c>
      <c r="P64" s="37"/>
      <c r="Q64" s="37"/>
      <c r="R64" s="37">
        <f t="shared" si="11"/>
        <v>0</v>
      </c>
    </row>
    <row r="65" spans="1:18" ht="32.4">
      <c r="A65" s="270"/>
      <c r="B65" s="19" t="s">
        <v>164</v>
      </c>
      <c r="C65" s="15">
        <v>181</v>
      </c>
      <c r="D65" s="37">
        <f>HLOOKUP($D$1,[1]概算表!$E$12:$DA$78,52,FALSE)</f>
        <v>387000</v>
      </c>
      <c r="E65" s="114" t="s">
        <v>202</v>
      </c>
      <c r="F65" s="37">
        <f t="shared" ref="F65:F66" si="22">ROUND($D65/12*3,-3)</f>
        <v>97000</v>
      </c>
      <c r="G65" s="37">
        <f t="shared" ref="G65:G66" si="23">ROUND($D65/12,-3)</f>
        <v>32000</v>
      </c>
      <c r="H65" s="37">
        <f t="shared" si="21"/>
        <v>32000</v>
      </c>
      <c r="I65" s="37">
        <f t="shared" si="21"/>
        <v>32000</v>
      </c>
      <c r="J65" s="37">
        <f t="shared" si="21"/>
        <v>32000</v>
      </c>
      <c r="K65" s="37">
        <f t="shared" si="21"/>
        <v>32000</v>
      </c>
      <c r="L65" s="37">
        <f t="shared" si="21"/>
        <v>32000</v>
      </c>
      <c r="M65" s="37">
        <f t="shared" si="21"/>
        <v>32000</v>
      </c>
      <c r="N65" s="37">
        <f t="shared" si="21"/>
        <v>32000</v>
      </c>
      <c r="O65" s="37">
        <f t="shared" ref="O65:O66" si="24">D65-SUM(F65:N65)</f>
        <v>34000</v>
      </c>
      <c r="P65" s="37"/>
      <c r="Q65" s="37"/>
      <c r="R65" s="37">
        <f t="shared" si="11"/>
        <v>0</v>
      </c>
    </row>
    <row r="66" spans="1:18" ht="32.4">
      <c r="A66" s="270"/>
      <c r="B66" s="19" t="s">
        <v>165</v>
      </c>
      <c r="C66" s="15">
        <v>181</v>
      </c>
      <c r="D66" s="37">
        <f>HLOOKUP($D$1,[1]概算表!$E$12:$DA$78,53,FALSE)</f>
        <v>1103000</v>
      </c>
      <c r="E66" s="114" t="s">
        <v>202</v>
      </c>
      <c r="F66" s="37">
        <f t="shared" si="22"/>
        <v>276000</v>
      </c>
      <c r="G66" s="37">
        <f t="shared" si="23"/>
        <v>92000</v>
      </c>
      <c r="H66" s="37">
        <f t="shared" si="21"/>
        <v>92000</v>
      </c>
      <c r="I66" s="37">
        <f t="shared" si="21"/>
        <v>92000</v>
      </c>
      <c r="J66" s="37">
        <f t="shared" si="21"/>
        <v>92000</v>
      </c>
      <c r="K66" s="37">
        <f t="shared" si="21"/>
        <v>92000</v>
      </c>
      <c r="L66" s="37">
        <f t="shared" si="21"/>
        <v>92000</v>
      </c>
      <c r="M66" s="37">
        <f t="shared" si="21"/>
        <v>92000</v>
      </c>
      <c r="N66" s="37">
        <f t="shared" si="21"/>
        <v>92000</v>
      </c>
      <c r="O66" s="37">
        <f t="shared" si="24"/>
        <v>91000</v>
      </c>
      <c r="P66" s="37"/>
      <c r="Q66" s="37"/>
      <c r="R66" s="37">
        <f t="shared" si="11"/>
        <v>0</v>
      </c>
    </row>
    <row r="67" spans="1:18">
      <c r="A67" s="270"/>
      <c r="B67" s="19" t="s">
        <v>168</v>
      </c>
      <c r="C67" s="15">
        <v>183</v>
      </c>
      <c r="D67" s="37">
        <f>HLOOKUP($D$1,[1]概算表!$E$12:$DA$78,54,FALSE)</f>
        <v>31000</v>
      </c>
      <c r="E67" s="37" t="s">
        <v>196</v>
      </c>
      <c r="F67" s="37"/>
      <c r="G67" s="37"/>
      <c r="H67" s="37">
        <f>D67</f>
        <v>31000</v>
      </c>
      <c r="I67" s="37"/>
      <c r="J67" s="37"/>
      <c r="K67" s="37"/>
      <c r="L67" s="37"/>
      <c r="M67" s="37"/>
      <c r="N67" s="37"/>
      <c r="O67" s="37"/>
      <c r="P67" s="37"/>
      <c r="Q67" s="37"/>
      <c r="R67" s="37">
        <f t="shared" si="11"/>
        <v>0</v>
      </c>
    </row>
    <row r="68" spans="1:18">
      <c r="A68" s="270"/>
      <c r="B68" s="19" t="s">
        <v>166</v>
      </c>
      <c r="C68" s="15" t="s">
        <v>167</v>
      </c>
      <c r="D68" s="37">
        <f>HLOOKUP($D$1,[1]概算表!$E$12:$DA$78,55,FALSE)</f>
        <v>144000</v>
      </c>
      <c r="E68" s="37" t="s">
        <v>195</v>
      </c>
      <c r="F68" s="37">
        <f>D68</f>
        <v>144000</v>
      </c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f t="shared" si="11"/>
        <v>0</v>
      </c>
    </row>
    <row r="69" spans="1:18">
      <c r="A69" s="270"/>
      <c r="B69" s="20" t="s">
        <v>169</v>
      </c>
      <c r="C69" s="15" t="s">
        <v>146</v>
      </c>
      <c r="D69" s="37">
        <f>HLOOKUP($D$1,[1]概算表!$E$12:$DA$78,56,FALSE)</f>
        <v>0</v>
      </c>
      <c r="E69" s="37" t="s">
        <v>193</v>
      </c>
      <c r="F69" s="37">
        <f>ROUND($D69/2,-3)</f>
        <v>0</v>
      </c>
      <c r="G69" s="37"/>
      <c r="H69" s="37"/>
      <c r="I69" s="37"/>
      <c r="J69" s="37"/>
      <c r="K69" s="37"/>
      <c r="L69" s="37">
        <f>D69-F69</f>
        <v>0</v>
      </c>
      <c r="M69" s="37"/>
      <c r="N69" s="37"/>
      <c r="O69" s="37"/>
      <c r="P69" s="37"/>
      <c r="Q69" s="37"/>
      <c r="R69" s="37">
        <f t="shared" si="11"/>
        <v>0</v>
      </c>
    </row>
    <row r="70" spans="1:18">
      <c r="A70" s="270"/>
      <c r="B70" s="29" t="s">
        <v>177</v>
      </c>
      <c r="C70" s="29"/>
      <c r="D70" s="108">
        <f>SUM(D49:D69)</f>
        <v>24789000</v>
      </c>
      <c r="E70" s="108"/>
      <c r="F70" s="108">
        <f t="shared" ref="F70:P70" si="25">ROUND(SUM(F49:F69),-3)</f>
        <v>7661000</v>
      </c>
      <c r="G70" s="108">
        <f t="shared" si="25"/>
        <v>1721000</v>
      </c>
      <c r="H70" s="108">
        <f t="shared" si="25"/>
        <v>1752000</v>
      </c>
      <c r="I70" s="108">
        <f t="shared" si="25"/>
        <v>2043000</v>
      </c>
      <c r="J70" s="108">
        <f t="shared" si="25"/>
        <v>1721000</v>
      </c>
      <c r="K70" s="108">
        <f t="shared" si="25"/>
        <v>1721000</v>
      </c>
      <c r="L70" s="108">
        <f t="shared" si="25"/>
        <v>1721000</v>
      </c>
      <c r="M70" s="108">
        <f t="shared" si="25"/>
        <v>1721000</v>
      </c>
      <c r="N70" s="108">
        <f t="shared" si="25"/>
        <v>3007000</v>
      </c>
      <c r="O70" s="108">
        <f t="shared" si="25"/>
        <v>1716000</v>
      </c>
      <c r="P70" s="108">
        <f t="shared" si="25"/>
        <v>5000</v>
      </c>
      <c r="Q70" s="108">
        <f>D70-SUM(F70:P70)</f>
        <v>0</v>
      </c>
      <c r="R70" s="108">
        <f>SUM(F70:Q70)-D70</f>
        <v>0</v>
      </c>
    </row>
    <row r="71" spans="1:18">
      <c r="A71" s="271" t="s">
        <v>170</v>
      </c>
      <c r="B71" s="16" t="s">
        <v>171</v>
      </c>
      <c r="C71" s="14">
        <v>161</v>
      </c>
      <c r="D71" s="37">
        <f>HLOOKUP($D$1,[1]概算表!$E$12:$DA$78,58,FALSE)</f>
        <v>0</v>
      </c>
      <c r="E71" s="37" t="s">
        <v>195</v>
      </c>
      <c r="F71" s="37">
        <f>D71</f>
        <v>0</v>
      </c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>
        <f t="shared" si="11"/>
        <v>0</v>
      </c>
    </row>
    <row r="72" spans="1:18" ht="32.4">
      <c r="A72" s="271"/>
      <c r="B72" s="16" t="s">
        <v>172</v>
      </c>
      <c r="C72" s="14">
        <v>161</v>
      </c>
      <c r="D72" s="37">
        <f>HLOOKUP($D$1,[1]概算表!$E$12:$DA$78,59,FALSE)</f>
        <v>2938000</v>
      </c>
      <c r="E72" s="114" t="s">
        <v>202</v>
      </c>
      <c r="F72" s="37">
        <f>ROUND($D72/12*3,-3)</f>
        <v>735000</v>
      </c>
      <c r="G72" s="37">
        <f>ROUND($D72/12,-3)</f>
        <v>245000</v>
      </c>
      <c r="H72" s="37">
        <f t="shared" ref="H72:N75" si="26">ROUND($D72/12,-3)</f>
        <v>245000</v>
      </c>
      <c r="I72" s="37">
        <f t="shared" si="26"/>
        <v>245000</v>
      </c>
      <c r="J72" s="37">
        <f t="shared" si="26"/>
        <v>245000</v>
      </c>
      <c r="K72" s="37">
        <f t="shared" si="26"/>
        <v>245000</v>
      </c>
      <c r="L72" s="37">
        <f t="shared" si="26"/>
        <v>245000</v>
      </c>
      <c r="M72" s="37">
        <f t="shared" si="26"/>
        <v>245000</v>
      </c>
      <c r="N72" s="37">
        <f t="shared" si="26"/>
        <v>245000</v>
      </c>
      <c r="O72" s="37">
        <f>D72-SUM(F72:N72)</f>
        <v>243000</v>
      </c>
      <c r="P72" s="37"/>
      <c r="Q72" s="37"/>
      <c r="R72" s="37">
        <f t="shared" si="11"/>
        <v>0</v>
      </c>
    </row>
    <row r="73" spans="1:18" ht="32.4">
      <c r="A73" s="271"/>
      <c r="B73" s="16" t="s">
        <v>173</v>
      </c>
      <c r="C73" s="14">
        <v>162</v>
      </c>
      <c r="D73" s="37">
        <f>HLOOKUP($D$1,[1]概算表!$E$12:$DA$78,60,FALSE)</f>
        <v>0</v>
      </c>
      <c r="E73" s="114" t="s">
        <v>202</v>
      </c>
      <c r="F73" s="37">
        <f>ROUND($D73/12*3,-3)</f>
        <v>0</v>
      </c>
      <c r="G73" s="37">
        <f>ROUND($D73/12,-3)</f>
        <v>0</v>
      </c>
      <c r="H73" s="37">
        <f t="shared" si="26"/>
        <v>0</v>
      </c>
      <c r="I73" s="37">
        <f t="shared" si="26"/>
        <v>0</v>
      </c>
      <c r="J73" s="37">
        <f t="shared" si="26"/>
        <v>0</v>
      </c>
      <c r="K73" s="37">
        <f t="shared" si="26"/>
        <v>0</v>
      </c>
      <c r="L73" s="37">
        <f t="shared" si="26"/>
        <v>0</v>
      </c>
      <c r="M73" s="37">
        <f t="shared" si="26"/>
        <v>0</v>
      </c>
      <c r="N73" s="37">
        <f t="shared" si="26"/>
        <v>0</v>
      </c>
      <c r="O73" s="37">
        <f>D73-SUM(F73:N73)</f>
        <v>0</v>
      </c>
      <c r="P73" s="37"/>
      <c r="Q73" s="37"/>
      <c r="R73" s="37">
        <f t="shared" si="11"/>
        <v>0</v>
      </c>
    </row>
    <row r="74" spans="1:18" ht="32.4">
      <c r="A74" s="271"/>
      <c r="B74" s="16" t="s">
        <v>490</v>
      </c>
      <c r="C74" s="14">
        <v>163</v>
      </c>
      <c r="D74" s="37">
        <f>HLOOKUP($D$1,[1]概算表!$E$12:$DA$78,61,FALSE)</f>
        <v>0</v>
      </c>
      <c r="E74" s="114" t="s">
        <v>202</v>
      </c>
      <c r="F74" s="37">
        <f>ROUND($D74/12*3,-3)</f>
        <v>0</v>
      </c>
      <c r="G74" s="37">
        <f>ROUND($D74/12,-3)</f>
        <v>0</v>
      </c>
      <c r="H74" s="37">
        <f t="shared" si="26"/>
        <v>0</v>
      </c>
      <c r="I74" s="37">
        <f t="shared" si="26"/>
        <v>0</v>
      </c>
      <c r="J74" s="37">
        <f t="shared" si="26"/>
        <v>0</v>
      </c>
      <c r="K74" s="37">
        <f t="shared" si="26"/>
        <v>0</v>
      </c>
      <c r="L74" s="37">
        <f t="shared" si="26"/>
        <v>0</v>
      </c>
      <c r="M74" s="37">
        <f t="shared" si="26"/>
        <v>0</v>
      </c>
      <c r="N74" s="37">
        <f t="shared" si="26"/>
        <v>0</v>
      </c>
      <c r="O74" s="37">
        <f>D74-SUM(F74:N74)</f>
        <v>0</v>
      </c>
      <c r="P74" s="37"/>
      <c r="Q74" s="37"/>
      <c r="R74" s="37">
        <f t="shared" si="11"/>
        <v>0</v>
      </c>
    </row>
    <row r="75" spans="1:18" ht="32.4">
      <c r="A75" s="271"/>
      <c r="B75" s="16" t="s">
        <v>175</v>
      </c>
      <c r="C75" s="14">
        <v>163</v>
      </c>
      <c r="D75" s="37">
        <f>HLOOKUP($D$1,[1]概算表!$E$12:$DA$78,62,FALSE)</f>
        <v>271000</v>
      </c>
      <c r="E75" s="114" t="s">
        <v>202</v>
      </c>
      <c r="F75" s="37">
        <f>ROUND($D75/12*3,-3)</f>
        <v>68000</v>
      </c>
      <c r="G75" s="37">
        <f>ROUND($D75/12,-3)</f>
        <v>23000</v>
      </c>
      <c r="H75" s="37">
        <f t="shared" si="26"/>
        <v>23000</v>
      </c>
      <c r="I75" s="37">
        <f t="shared" si="26"/>
        <v>23000</v>
      </c>
      <c r="J75" s="37">
        <f t="shared" si="26"/>
        <v>23000</v>
      </c>
      <c r="K75" s="37">
        <f t="shared" si="26"/>
        <v>23000</v>
      </c>
      <c r="L75" s="37">
        <f t="shared" si="26"/>
        <v>23000</v>
      </c>
      <c r="M75" s="37">
        <f t="shared" si="26"/>
        <v>23000</v>
      </c>
      <c r="N75" s="37">
        <f t="shared" si="26"/>
        <v>23000</v>
      </c>
      <c r="O75" s="37">
        <f>D75-SUM(F75:N75)</f>
        <v>19000</v>
      </c>
      <c r="P75" s="37"/>
      <c r="Q75" s="37"/>
      <c r="R75" s="37">
        <f t="shared" si="11"/>
        <v>0</v>
      </c>
    </row>
    <row r="76" spans="1:18">
      <c r="A76" s="271"/>
      <c r="B76" s="16" t="s">
        <v>177</v>
      </c>
      <c r="C76" s="14"/>
      <c r="D76" s="226">
        <f>SUM(D71:D75)</f>
        <v>3209000</v>
      </c>
      <c r="E76" s="108"/>
      <c r="F76" s="108">
        <f>ROUND(SUM(F71:F75),-3)</f>
        <v>803000</v>
      </c>
      <c r="G76" s="108">
        <f t="shared" ref="G76:N76" si="27">ROUND(SUM(G71:G75),-3)</f>
        <v>268000</v>
      </c>
      <c r="H76" s="108">
        <f t="shared" si="27"/>
        <v>268000</v>
      </c>
      <c r="I76" s="108">
        <f t="shared" si="27"/>
        <v>268000</v>
      </c>
      <c r="J76" s="108">
        <f t="shared" si="27"/>
        <v>268000</v>
      </c>
      <c r="K76" s="108">
        <f t="shared" si="27"/>
        <v>268000</v>
      </c>
      <c r="L76" s="108">
        <f t="shared" si="27"/>
        <v>268000</v>
      </c>
      <c r="M76" s="108">
        <f t="shared" si="27"/>
        <v>268000</v>
      </c>
      <c r="N76" s="108">
        <f t="shared" si="27"/>
        <v>268000</v>
      </c>
      <c r="O76" s="108">
        <f>D76-SUM(F76:N76)</f>
        <v>262000</v>
      </c>
      <c r="P76" s="108">
        <f>SUM(P71:P75)</f>
        <v>0</v>
      </c>
      <c r="Q76" s="108">
        <f>SUM(Q71:Q75)</f>
        <v>0</v>
      </c>
      <c r="R76" s="108">
        <f t="shared" ref="R76:R83" si="28">SUM(F76:Q76)-D76</f>
        <v>0</v>
      </c>
    </row>
    <row r="77" spans="1:18" ht="48.6">
      <c r="A77" s="223" t="s">
        <v>663</v>
      </c>
      <c r="B77" s="219" t="s">
        <v>680</v>
      </c>
      <c r="C77" s="220" t="s">
        <v>167</v>
      </c>
      <c r="D77" s="37">
        <f>HLOOKUP($D$1,[1]概算表!$E$12:$DA$78,64,FALSE)</f>
        <v>343000</v>
      </c>
      <c r="E77" s="37" t="s">
        <v>681</v>
      </c>
      <c r="F77" s="224"/>
      <c r="G77" s="224"/>
      <c r="H77" s="224">
        <f>ROUND($D77/2,-3)</f>
        <v>172000</v>
      </c>
      <c r="I77" s="224"/>
      <c r="J77" s="224"/>
      <c r="K77" s="224"/>
      <c r="L77" s="224"/>
      <c r="M77" s="224"/>
      <c r="N77" s="224">
        <f>D77-H77</f>
        <v>171000</v>
      </c>
      <c r="O77" s="224"/>
      <c r="P77" s="224"/>
      <c r="Q77" s="224"/>
      <c r="R77" s="224">
        <f t="shared" si="28"/>
        <v>0</v>
      </c>
    </row>
    <row r="78" spans="1:18" s="225" customFormat="1" ht="37.5" customHeight="1">
      <c r="A78" s="272" t="s">
        <v>535</v>
      </c>
      <c r="B78" s="273"/>
      <c r="C78" s="274"/>
      <c r="D78" s="227">
        <f>D76+D70+D77</f>
        <v>28341000</v>
      </c>
      <c r="E78" s="227"/>
      <c r="F78" s="227">
        <f>F76+F70+F77</f>
        <v>8464000</v>
      </c>
      <c r="G78" s="227">
        <f t="shared" ref="G78:Q78" si="29">G76+G70+G77</f>
        <v>1989000</v>
      </c>
      <c r="H78" s="227">
        <f t="shared" si="29"/>
        <v>2192000</v>
      </c>
      <c r="I78" s="227">
        <f t="shared" si="29"/>
        <v>2311000</v>
      </c>
      <c r="J78" s="227">
        <f t="shared" si="29"/>
        <v>1989000</v>
      </c>
      <c r="K78" s="227">
        <f t="shared" si="29"/>
        <v>1989000</v>
      </c>
      <c r="L78" s="227">
        <f t="shared" si="29"/>
        <v>1989000</v>
      </c>
      <c r="M78" s="227">
        <f t="shared" si="29"/>
        <v>1989000</v>
      </c>
      <c r="N78" s="227">
        <f t="shared" si="29"/>
        <v>3446000</v>
      </c>
      <c r="O78" s="227">
        <f t="shared" si="29"/>
        <v>1978000</v>
      </c>
      <c r="P78" s="227">
        <f t="shared" si="29"/>
        <v>5000</v>
      </c>
      <c r="Q78" s="227">
        <f t="shared" si="29"/>
        <v>0</v>
      </c>
      <c r="R78" s="227">
        <f t="shared" si="28"/>
        <v>0</v>
      </c>
    </row>
    <row r="79" spans="1:18" ht="16.5" customHeight="1">
      <c r="A79" s="268" t="s">
        <v>176</v>
      </c>
      <c r="B79" s="18" t="s">
        <v>213</v>
      </c>
      <c r="C79" s="17"/>
      <c r="D79" s="108">
        <f>(HLOOKUP(D1,[1]場租收支對列及移用留存數!3:9,7,FALSE)+HLOOKUP(D1,[1]場租收支對列及移用留存數!14:20,4,FALSE))*1000</f>
        <v>0</v>
      </c>
      <c r="E79" s="108" t="s">
        <v>195</v>
      </c>
      <c r="F79" s="108">
        <f>D79</f>
        <v>0</v>
      </c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>
        <f t="shared" si="28"/>
        <v>0</v>
      </c>
    </row>
    <row r="80" spans="1:18">
      <c r="A80" s="268"/>
      <c r="B80" s="18" t="s">
        <v>214</v>
      </c>
      <c r="C80" s="17"/>
      <c r="D80" s="108">
        <f>(HLOOKUP(D1,[1]場租收支對列及移用留存數!3:9,5,FALSE)+HLOOKUP(D1,[1]場租收支對列及移用留存數!14:20,5,FALSE))*1000</f>
        <v>0</v>
      </c>
      <c r="E80" s="108" t="s">
        <v>195</v>
      </c>
      <c r="F80" s="108">
        <f t="shared" ref="F80:F82" si="30">D80</f>
        <v>0</v>
      </c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>
        <f t="shared" si="28"/>
        <v>0</v>
      </c>
    </row>
    <row r="81" spans="1:18">
      <c r="A81" s="268"/>
      <c r="B81" s="18" t="s">
        <v>215</v>
      </c>
      <c r="C81" s="17"/>
      <c r="D81" s="108">
        <f>(HLOOKUP(D1,[1]場租收支對列及移用留存數!14:20,6,FALSE))*1000</f>
        <v>0</v>
      </c>
      <c r="E81" s="108" t="s">
        <v>195</v>
      </c>
      <c r="F81" s="108">
        <f t="shared" si="30"/>
        <v>0</v>
      </c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>
        <f t="shared" si="28"/>
        <v>0</v>
      </c>
    </row>
    <row r="82" spans="1:18">
      <c r="A82" s="268"/>
      <c r="B82" s="18" t="s">
        <v>216</v>
      </c>
      <c r="C82" s="17"/>
      <c r="D82" s="108">
        <f>(HLOOKUP(D1,[1]場租收支對列及移用留存數!3:9,6,FALSE)+HLOOKUP(D1,[1]場租收支對列及移用留存數!14:20,7,FALSE))*1000</f>
        <v>0</v>
      </c>
      <c r="E82" s="108" t="s">
        <v>195</v>
      </c>
      <c r="F82" s="108">
        <f t="shared" si="30"/>
        <v>0</v>
      </c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>
        <f t="shared" si="28"/>
        <v>0</v>
      </c>
    </row>
    <row r="83" spans="1:18">
      <c r="A83" s="268"/>
      <c r="B83" s="18" t="s">
        <v>217</v>
      </c>
      <c r="C83" s="17"/>
      <c r="D83" s="116">
        <f>SUM(D79:D82)</f>
        <v>0</v>
      </c>
      <c r="E83" s="116"/>
      <c r="F83" s="116">
        <f>SUM(F79:F82)</f>
        <v>0</v>
      </c>
      <c r="G83" s="116">
        <f t="shared" ref="G83:Q83" si="31">SUM(G79:G82)</f>
        <v>0</v>
      </c>
      <c r="H83" s="116">
        <f t="shared" si="31"/>
        <v>0</v>
      </c>
      <c r="I83" s="116">
        <f t="shared" si="31"/>
        <v>0</v>
      </c>
      <c r="J83" s="116">
        <f t="shared" si="31"/>
        <v>0</v>
      </c>
      <c r="K83" s="116">
        <f t="shared" si="31"/>
        <v>0</v>
      </c>
      <c r="L83" s="116">
        <f t="shared" si="31"/>
        <v>0</v>
      </c>
      <c r="M83" s="116">
        <f t="shared" si="31"/>
        <v>0</v>
      </c>
      <c r="N83" s="116">
        <f t="shared" si="31"/>
        <v>0</v>
      </c>
      <c r="O83" s="116">
        <f t="shared" si="31"/>
        <v>0</v>
      </c>
      <c r="P83" s="116">
        <f t="shared" si="31"/>
        <v>0</v>
      </c>
      <c r="Q83" s="116">
        <f t="shared" si="31"/>
        <v>0</v>
      </c>
      <c r="R83" s="116">
        <f t="shared" si="28"/>
        <v>0</v>
      </c>
    </row>
    <row r="85" spans="1:18">
      <c r="C85" s="103"/>
      <c r="R85" s="104"/>
    </row>
    <row r="86" spans="1:18">
      <c r="B86" s="7" t="s">
        <v>231</v>
      </c>
      <c r="C86" s="7"/>
      <c r="D86" s="108">
        <f>D87-D2</f>
        <v>0</v>
      </c>
      <c r="E86" s="37"/>
      <c r="F86" s="37">
        <f>D86</f>
        <v>0</v>
      </c>
      <c r="G86" s="37">
        <f>E86</f>
        <v>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>
        <f>SUM(R87:R95)</f>
        <v>0</v>
      </c>
    </row>
    <row r="87" spans="1:18">
      <c r="B87" s="7" t="s">
        <v>230</v>
      </c>
      <c r="C87" s="7"/>
      <c r="D87" s="37">
        <f>SUM(D88:D91)</f>
        <v>29302000</v>
      </c>
      <c r="E87" s="37"/>
      <c r="F87" s="37">
        <f>F88+F89+F90+F91</f>
        <v>8585000</v>
      </c>
      <c r="G87" s="37">
        <f t="shared" ref="G87:Q87" si="32">G88+G89+G90+G91</f>
        <v>2060000</v>
      </c>
      <c r="H87" s="37">
        <f t="shared" si="32"/>
        <v>2263000</v>
      </c>
      <c r="I87" s="37">
        <f t="shared" si="32"/>
        <v>2382000</v>
      </c>
      <c r="J87" s="37">
        <f t="shared" si="32"/>
        <v>2060000</v>
      </c>
      <c r="K87" s="37">
        <f t="shared" si="32"/>
        <v>2064000</v>
      </c>
      <c r="L87" s="37">
        <f t="shared" si="32"/>
        <v>2106000</v>
      </c>
      <c r="M87" s="37">
        <f t="shared" si="32"/>
        <v>2060000</v>
      </c>
      <c r="N87" s="37">
        <f t="shared" si="32"/>
        <v>3521000</v>
      </c>
      <c r="O87" s="37">
        <f t="shared" si="32"/>
        <v>2049000</v>
      </c>
      <c r="P87" s="37">
        <f t="shared" si="32"/>
        <v>76000</v>
      </c>
      <c r="Q87" s="37">
        <f t="shared" si="32"/>
        <v>76000</v>
      </c>
      <c r="R87" s="37">
        <f t="shared" ref="R87:R94" si="33">SUM(F87:Q87)-D87</f>
        <v>0</v>
      </c>
    </row>
    <row r="88" spans="1:18">
      <c r="B88" s="7" t="s">
        <v>223</v>
      </c>
      <c r="C88" s="7"/>
      <c r="D88" s="108">
        <f>HLOOKUP(D1,[1]基金來源明細表!B:CX,2,FALSE)</f>
        <v>60000</v>
      </c>
      <c r="E88" s="108" t="s">
        <v>193</v>
      </c>
      <c r="F88" s="108">
        <f>ROUND($D88/2,-3)</f>
        <v>30000</v>
      </c>
      <c r="G88" s="108"/>
      <c r="H88" s="108"/>
      <c r="I88" s="108"/>
      <c r="J88" s="108"/>
      <c r="K88" s="108"/>
      <c r="L88" s="108">
        <f>D88-F88</f>
        <v>30000</v>
      </c>
      <c r="M88" s="108"/>
      <c r="N88" s="108"/>
      <c r="O88" s="108"/>
      <c r="P88" s="108"/>
      <c r="Q88" s="108"/>
      <c r="R88" s="108">
        <f t="shared" si="33"/>
        <v>0</v>
      </c>
    </row>
    <row r="89" spans="1:18">
      <c r="B89" s="7" t="s">
        <v>488</v>
      </c>
      <c r="C89" s="7"/>
      <c r="D89" s="108">
        <f>HLOOKUP(D1,[1]基金來源明細表!B:CX,3,FALSE)</f>
        <v>0</v>
      </c>
      <c r="E89" s="108" t="s">
        <v>193</v>
      </c>
      <c r="F89" s="108">
        <f>ROUND($D89/2,-3)</f>
        <v>0</v>
      </c>
      <c r="G89" s="108"/>
      <c r="H89" s="108"/>
      <c r="I89" s="108"/>
      <c r="J89" s="108"/>
      <c r="K89" s="108"/>
      <c r="L89" s="108">
        <f>D89-F89</f>
        <v>0</v>
      </c>
      <c r="M89" s="108"/>
      <c r="N89" s="108"/>
      <c r="O89" s="108"/>
      <c r="P89" s="108"/>
      <c r="Q89" s="108"/>
      <c r="R89" s="108">
        <f t="shared" si="33"/>
        <v>0</v>
      </c>
    </row>
    <row r="90" spans="1:18">
      <c r="B90" s="7" t="s">
        <v>224</v>
      </c>
      <c r="C90" s="7"/>
      <c r="D90" s="108">
        <f>HLOOKUP(D1,[1]基金來源明細表!B:CX,4,FALSE)</f>
        <v>0</v>
      </c>
      <c r="E90" s="108" t="s">
        <v>226</v>
      </c>
      <c r="F90" s="108"/>
      <c r="G90" s="108"/>
      <c r="H90" s="108"/>
      <c r="I90" s="108"/>
      <c r="J90" s="108"/>
      <c r="K90" s="108"/>
      <c r="L90" s="108">
        <f>D90-Q90</f>
        <v>0</v>
      </c>
      <c r="M90" s="108"/>
      <c r="N90" s="108"/>
      <c r="O90" s="108"/>
      <c r="P90" s="108"/>
      <c r="Q90" s="108">
        <f>ROUND($D90/2,-3)</f>
        <v>0</v>
      </c>
      <c r="R90" s="108">
        <f t="shared" si="33"/>
        <v>0</v>
      </c>
    </row>
    <row r="91" spans="1:18">
      <c r="B91" s="7" t="s">
        <v>225</v>
      </c>
      <c r="C91" s="7"/>
      <c r="D91" s="108">
        <f>HLOOKUP(D1,[1]基金來源明細表!B:CX,5,FALSE)</f>
        <v>29242000</v>
      </c>
      <c r="E91" s="108"/>
      <c r="F91" s="108">
        <f>F92+F93+F94+F95</f>
        <v>8555000</v>
      </c>
      <c r="G91" s="108">
        <f t="shared" ref="G91:Q91" si="34">G92+G93+G94+G95</f>
        <v>2060000</v>
      </c>
      <c r="H91" s="108">
        <f t="shared" si="34"/>
        <v>2263000</v>
      </c>
      <c r="I91" s="108">
        <f t="shared" si="34"/>
        <v>2382000</v>
      </c>
      <c r="J91" s="108">
        <f t="shared" si="34"/>
        <v>2060000</v>
      </c>
      <c r="K91" s="108">
        <f t="shared" si="34"/>
        <v>2064000</v>
      </c>
      <c r="L91" s="108">
        <f t="shared" si="34"/>
        <v>2076000</v>
      </c>
      <c r="M91" s="108">
        <f t="shared" si="34"/>
        <v>2060000</v>
      </c>
      <c r="N91" s="108">
        <f t="shared" si="34"/>
        <v>3521000</v>
      </c>
      <c r="O91" s="108">
        <f t="shared" si="34"/>
        <v>2049000</v>
      </c>
      <c r="P91" s="108">
        <f t="shared" si="34"/>
        <v>76000</v>
      </c>
      <c r="Q91" s="108">
        <f t="shared" si="34"/>
        <v>76000</v>
      </c>
      <c r="R91" s="108">
        <f t="shared" si="33"/>
        <v>0</v>
      </c>
    </row>
    <row r="92" spans="1:18" ht="32.4">
      <c r="B92" s="73" t="s">
        <v>486</v>
      </c>
      <c r="C92" s="7"/>
      <c r="D92" s="37">
        <f>D97+D98+D99+D100+D101+D103+D105</f>
        <v>1665000</v>
      </c>
      <c r="E92" s="114" t="s">
        <v>537</v>
      </c>
      <c r="F92" s="37">
        <f>ROUND($D92/12*5,-3)</f>
        <v>694000</v>
      </c>
      <c r="G92" s="37">
        <f>ROUND($D92/12,-3)</f>
        <v>139000</v>
      </c>
      <c r="H92" s="37">
        <f t="shared" ref="H92:L92" si="35">ROUND($D92/12,-3)</f>
        <v>139000</v>
      </c>
      <c r="I92" s="37">
        <f t="shared" si="35"/>
        <v>139000</v>
      </c>
      <c r="J92" s="37">
        <f t="shared" si="35"/>
        <v>139000</v>
      </c>
      <c r="K92" s="37">
        <f t="shared" si="35"/>
        <v>139000</v>
      </c>
      <c r="L92" s="37">
        <f t="shared" si="35"/>
        <v>139000</v>
      </c>
      <c r="M92" s="37">
        <f>D92-SUM(F92:L92)</f>
        <v>137000</v>
      </c>
      <c r="N92" s="37">
        <f>D92-SUM(F92:M92)</f>
        <v>0</v>
      </c>
      <c r="O92" s="37"/>
      <c r="P92" s="37"/>
      <c r="Q92" s="37"/>
      <c r="R92" s="37">
        <f t="shared" si="33"/>
        <v>0</v>
      </c>
    </row>
    <row r="93" spans="1:18" ht="32.4">
      <c r="B93" s="74" t="s">
        <v>487</v>
      </c>
      <c r="C93" s="7"/>
      <c r="D93" s="37">
        <f>D102+D106</f>
        <v>90000</v>
      </c>
      <c r="E93" s="189" t="s">
        <v>227</v>
      </c>
      <c r="F93" s="37">
        <f>ROUND($D93/12,-3)</f>
        <v>8000</v>
      </c>
      <c r="G93" s="37">
        <f t="shared" ref="G93:P93" si="36">ROUND($D93/12,-3)</f>
        <v>8000</v>
      </c>
      <c r="H93" s="37">
        <f t="shared" si="36"/>
        <v>8000</v>
      </c>
      <c r="I93" s="37">
        <f t="shared" si="36"/>
        <v>8000</v>
      </c>
      <c r="J93" s="37">
        <f t="shared" si="36"/>
        <v>8000</v>
      </c>
      <c r="K93" s="37">
        <f t="shared" si="36"/>
        <v>8000</v>
      </c>
      <c r="L93" s="37">
        <f t="shared" si="36"/>
        <v>8000</v>
      </c>
      <c r="M93" s="37">
        <f t="shared" si="36"/>
        <v>8000</v>
      </c>
      <c r="N93" s="37">
        <f t="shared" si="36"/>
        <v>8000</v>
      </c>
      <c r="O93" s="37">
        <f t="shared" si="36"/>
        <v>8000</v>
      </c>
      <c r="P93" s="37">
        <f t="shared" si="36"/>
        <v>8000</v>
      </c>
      <c r="Q93" s="37">
        <f>D93-SUM(F93:P93)</f>
        <v>2000</v>
      </c>
      <c r="R93" s="37">
        <f t="shared" si="33"/>
        <v>0</v>
      </c>
    </row>
    <row r="94" spans="1:18" ht="48.6">
      <c r="B94" s="75" t="s">
        <v>228</v>
      </c>
      <c r="C94" s="7"/>
      <c r="D94" s="37">
        <f>D104</f>
        <v>392000</v>
      </c>
      <c r="E94" s="190" t="s">
        <v>229</v>
      </c>
      <c r="F94" s="37"/>
      <c r="G94" s="37"/>
      <c r="H94" s="37">
        <f>ROUND($D94/2,-3)</f>
        <v>196000</v>
      </c>
      <c r="I94" s="37"/>
      <c r="J94" s="37"/>
      <c r="K94" s="37"/>
      <c r="L94" s="37"/>
      <c r="M94" s="37"/>
      <c r="N94" s="37"/>
      <c r="O94" s="37">
        <f>D94-H94</f>
        <v>196000</v>
      </c>
      <c r="P94" s="37"/>
      <c r="Q94" s="37"/>
      <c r="R94" s="37">
        <f t="shared" si="33"/>
        <v>0</v>
      </c>
    </row>
    <row r="95" spans="1:18">
      <c r="B95" s="111" t="s">
        <v>232</v>
      </c>
      <c r="C95" s="7"/>
      <c r="D95" s="37">
        <f>D107</f>
        <v>27095000</v>
      </c>
      <c r="E95" s="37"/>
      <c r="F95" s="37">
        <f>F2+F86-F88-F89-F90-F92-F93-F94</f>
        <v>7853000</v>
      </c>
      <c r="G95" s="37">
        <f t="shared" ref="G95:Q95" si="37">G2-G88-G89-G90-G92-G93-G94</f>
        <v>1913000</v>
      </c>
      <c r="H95" s="37">
        <f t="shared" si="37"/>
        <v>1920000</v>
      </c>
      <c r="I95" s="37">
        <f t="shared" si="37"/>
        <v>2235000</v>
      </c>
      <c r="J95" s="37">
        <f t="shared" si="37"/>
        <v>1913000</v>
      </c>
      <c r="K95" s="37">
        <f t="shared" si="37"/>
        <v>1917000</v>
      </c>
      <c r="L95" s="37">
        <f t="shared" si="37"/>
        <v>1929000</v>
      </c>
      <c r="M95" s="37">
        <f t="shared" si="37"/>
        <v>1915000</v>
      </c>
      <c r="N95" s="37">
        <f t="shared" si="37"/>
        <v>3513000</v>
      </c>
      <c r="O95" s="37">
        <f t="shared" si="37"/>
        <v>1845000</v>
      </c>
      <c r="P95" s="37">
        <f t="shared" si="37"/>
        <v>68000</v>
      </c>
      <c r="Q95" s="37">
        <f t="shared" si="37"/>
        <v>74000</v>
      </c>
      <c r="R95" s="37">
        <f>SUM(F95:Q95)-D95</f>
        <v>0</v>
      </c>
    </row>
    <row r="97" spans="2:17" ht="33" customHeight="1">
      <c r="B97" s="72" t="s">
        <v>233</v>
      </c>
      <c r="D97" s="30">
        <f>HLOOKUP(D1,[1]縣庫撥款收入明細表!H:DD,3,FALSE)</f>
        <v>0</v>
      </c>
    </row>
    <row r="98" spans="2:17" ht="33" customHeight="1">
      <c r="B98" s="72" t="s">
        <v>234</v>
      </c>
      <c r="D98" s="30">
        <f>HLOOKUP(D1,[1]縣庫撥款收入明細表!H:DD,4,FALSE)</f>
        <v>0</v>
      </c>
    </row>
    <row r="99" spans="2:17" ht="32.4">
      <c r="B99" s="72" t="s">
        <v>235</v>
      </c>
      <c r="D99" s="30">
        <f>HLOOKUP(D1,[1]縣庫撥款收入明細表!H:DD,5,FALSE)</f>
        <v>0</v>
      </c>
    </row>
    <row r="100" spans="2:17" ht="32.4">
      <c r="B100" s="72" t="s">
        <v>236</v>
      </c>
      <c r="D100" s="30">
        <f>HLOOKUP(D1,[1]縣庫撥款收入明細表!H:DD,6,FALSE)</f>
        <v>0</v>
      </c>
    </row>
    <row r="101" spans="2:17" ht="32.4">
      <c r="B101" s="72" t="s">
        <v>237</v>
      </c>
      <c r="D101" s="30">
        <f>HLOOKUP(D1,[1]縣庫撥款收入明細表!H:DD,15,FALSE)</f>
        <v>1015000</v>
      </c>
    </row>
    <row r="102" spans="2:17" ht="32.4">
      <c r="B102" s="71" t="s">
        <v>238</v>
      </c>
      <c r="D102" s="30">
        <f>HLOOKUP(D1,[1]縣庫撥款收入明細表!H:DD,16,FALSE)</f>
        <v>84000</v>
      </c>
    </row>
    <row r="103" spans="2:17" ht="32.4">
      <c r="B103" s="72" t="s">
        <v>239</v>
      </c>
      <c r="D103" s="30">
        <f>HLOOKUP(D1,[1]縣庫撥款收入明細表!H:DD,17,FALSE)</f>
        <v>0</v>
      </c>
    </row>
    <row r="104" spans="2:17" ht="32.4">
      <c r="B104" s="76" t="s">
        <v>240</v>
      </c>
      <c r="D104" s="30">
        <f>HLOOKUP(D1,[1]縣庫撥款收入明細表!H:DD,18,FALSE)</f>
        <v>392000</v>
      </c>
    </row>
    <row r="105" spans="2:17" ht="32.4">
      <c r="B105" s="72" t="s">
        <v>380</v>
      </c>
      <c r="D105" s="30">
        <f>HLOOKUP(D1,[1]縣庫撥款收入明細表!H:DD,19,FALSE)</f>
        <v>650000</v>
      </c>
    </row>
    <row r="106" spans="2:17" ht="32.4">
      <c r="B106" s="71" t="s">
        <v>241</v>
      </c>
      <c r="D106" s="30">
        <f>HLOOKUP(D1,[1]縣庫撥款收入明細表!H:DD,20,FALSE)</f>
        <v>6000</v>
      </c>
    </row>
    <row r="107" spans="2:17" ht="32.4">
      <c r="B107" s="77" t="s">
        <v>242</v>
      </c>
      <c r="D107" s="30">
        <f>HLOOKUP(D1,[1]縣庫撥款收入明細表!H:DD,21,FALSE)</f>
        <v>27095000</v>
      </c>
    </row>
    <row r="108" spans="2:17" ht="16.5" customHeight="1"/>
    <row r="109" spans="2:17" ht="16.5" customHeight="1">
      <c r="B109" s="4" t="s">
        <v>682</v>
      </c>
      <c r="D109" s="30">
        <f>D91-D76</f>
        <v>26033000</v>
      </c>
      <c r="F109" s="30">
        <f>F91-F76</f>
        <v>7752000</v>
      </c>
      <c r="G109" s="30">
        <f t="shared" ref="G109:Q109" si="38">G91-G76</f>
        <v>1792000</v>
      </c>
      <c r="H109" s="30">
        <f t="shared" si="38"/>
        <v>1995000</v>
      </c>
      <c r="I109" s="30">
        <f t="shared" si="38"/>
        <v>2114000</v>
      </c>
      <c r="J109" s="30">
        <f t="shared" si="38"/>
        <v>1792000</v>
      </c>
      <c r="K109" s="30">
        <f t="shared" si="38"/>
        <v>1796000</v>
      </c>
      <c r="L109" s="30">
        <f t="shared" si="38"/>
        <v>1808000</v>
      </c>
      <c r="M109" s="30">
        <f t="shared" si="38"/>
        <v>1792000</v>
      </c>
      <c r="N109" s="30">
        <f t="shared" si="38"/>
        <v>3253000</v>
      </c>
      <c r="O109" s="30">
        <f t="shared" si="38"/>
        <v>1787000</v>
      </c>
      <c r="P109" s="30">
        <f t="shared" si="38"/>
        <v>76000</v>
      </c>
      <c r="Q109" s="30">
        <f t="shared" si="38"/>
        <v>76000</v>
      </c>
    </row>
    <row r="110" spans="2:17" ht="19.5" customHeight="1"/>
    <row r="111" spans="2:17" ht="16.5" customHeight="1"/>
    <row r="112" spans="2:17" ht="16.5" customHeight="1"/>
    <row r="113" ht="16.5" customHeight="1"/>
  </sheetData>
  <mergeCells count="7">
    <mergeCell ref="A1:B1"/>
    <mergeCell ref="A2:B2"/>
    <mergeCell ref="A3:A48"/>
    <mergeCell ref="A49:A70"/>
    <mergeCell ref="A71:A76"/>
    <mergeCell ref="A78:C78"/>
    <mergeCell ref="A79:A83"/>
  </mergeCells>
  <phoneticPr fontId="3" type="noConversion"/>
  <conditionalFormatting sqref="F95:Q95">
    <cfRule type="cellIs" dxfId="24" priority="1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111</vt:i4>
      </vt:variant>
      <vt:variant>
        <vt:lpstr>已命名的範圍</vt:lpstr>
      </vt:variant>
      <vt:variant>
        <vt:i4>5</vt:i4>
      </vt:variant>
    </vt:vector>
  </HeadingPairs>
  <TitlesOfParts>
    <vt:vector size="116" baseType="lpstr">
      <vt:lpstr>學校編號</vt:lpstr>
      <vt:lpstr>分配原則</vt:lpstr>
      <vt:lpstr>填表說明</vt:lpstr>
      <vt:lpstr>縣庫撥款收入明細表</vt:lpstr>
      <vt:lpstr>基金來源明細表</vt:lpstr>
      <vt:lpstr>場租收支對列及移用留存數</vt:lpstr>
      <vt:lpstr>概算表</vt:lpstr>
      <vt:lpstr>分配表</vt:lpstr>
      <vt:lpstr>★彙整人事及業務費</vt:lpstr>
      <vt:lpstr>★彙整退撫</vt:lpstr>
      <vt:lpstr>601</vt:lpstr>
      <vt:lpstr>602</vt:lpstr>
      <vt:lpstr>603</vt:lpstr>
      <vt:lpstr>604</vt:lpstr>
      <vt:lpstr>605</vt:lpstr>
      <vt:lpstr>606</vt:lpstr>
      <vt:lpstr>607</vt:lpstr>
      <vt:lpstr>608</vt:lpstr>
      <vt:lpstr>609</vt:lpstr>
      <vt:lpstr>610</vt:lpstr>
      <vt:lpstr>611</vt:lpstr>
      <vt:lpstr>612</vt:lpstr>
      <vt:lpstr>613</vt:lpstr>
      <vt:lpstr>614</vt:lpstr>
      <vt:lpstr>615</vt:lpstr>
      <vt:lpstr>616</vt:lpstr>
      <vt:lpstr>617</vt:lpstr>
      <vt:lpstr>618</vt:lpstr>
      <vt:lpstr>619</vt:lpstr>
      <vt:lpstr>620</vt:lpstr>
      <vt:lpstr>621</vt:lpstr>
      <vt:lpstr>622</vt:lpstr>
      <vt:lpstr>623</vt:lpstr>
      <vt:lpstr>624</vt:lpstr>
      <vt:lpstr>625</vt:lpstr>
      <vt:lpstr>626</vt:lpstr>
      <vt:lpstr>627</vt:lpstr>
      <vt:lpstr>628</vt:lpstr>
      <vt:lpstr>629</vt:lpstr>
      <vt:lpstr>630</vt:lpstr>
      <vt:lpstr>631</vt:lpstr>
      <vt:lpstr>632</vt:lpstr>
      <vt:lpstr>633</vt:lpstr>
      <vt:lpstr>634</vt:lpstr>
      <vt:lpstr>635</vt:lpstr>
      <vt:lpstr>636</vt:lpstr>
      <vt:lpstr>638</vt:lpstr>
      <vt:lpstr>639</vt:lpstr>
      <vt:lpstr>641</vt:lpstr>
      <vt:lpstr>642</vt:lpstr>
      <vt:lpstr>645</vt:lpstr>
      <vt:lpstr>647</vt:lpstr>
      <vt:lpstr>648</vt:lpstr>
      <vt:lpstr>649</vt:lpstr>
      <vt:lpstr>650</vt:lpstr>
      <vt:lpstr>651</vt:lpstr>
      <vt:lpstr>652</vt:lpstr>
      <vt:lpstr>653</vt:lpstr>
      <vt:lpstr>654</vt:lpstr>
      <vt:lpstr>655</vt:lpstr>
      <vt:lpstr>656</vt:lpstr>
      <vt:lpstr>657</vt:lpstr>
      <vt:lpstr>658</vt:lpstr>
      <vt:lpstr>659</vt:lpstr>
      <vt:lpstr>660</vt:lpstr>
      <vt:lpstr>661</vt:lpstr>
      <vt:lpstr>662</vt:lpstr>
      <vt:lpstr>663</vt:lpstr>
      <vt:lpstr>664</vt:lpstr>
      <vt:lpstr>665</vt:lpstr>
      <vt:lpstr>666</vt:lpstr>
      <vt:lpstr>667</vt:lpstr>
      <vt:lpstr>668</vt:lpstr>
      <vt:lpstr>669</vt:lpstr>
      <vt:lpstr>670</vt:lpstr>
      <vt:lpstr>671</vt:lpstr>
      <vt:lpstr>672</vt:lpstr>
      <vt:lpstr>673</vt:lpstr>
      <vt:lpstr>674</vt:lpstr>
      <vt:lpstr>675</vt:lpstr>
      <vt:lpstr>676</vt:lpstr>
      <vt:lpstr>678</vt:lpstr>
      <vt:lpstr>679</vt:lpstr>
      <vt:lpstr>680</vt:lpstr>
      <vt:lpstr>681</vt:lpstr>
      <vt:lpstr>682</vt:lpstr>
      <vt:lpstr>683</vt:lpstr>
      <vt:lpstr>684</vt:lpstr>
      <vt:lpstr>685</vt:lpstr>
      <vt:lpstr>686</vt:lpstr>
      <vt:lpstr>687</vt:lpstr>
      <vt:lpstr>688</vt:lpstr>
      <vt:lpstr>689</vt:lpstr>
      <vt:lpstr>690</vt:lpstr>
      <vt:lpstr>691</vt:lpstr>
      <vt:lpstr>692</vt:lpstr>
      <vt:lpstr>693</vt:lpstr>
      <vt:lpstr>694</vt:lpstr>
      <vt:lpstr>695</vt:lpstr>
      <vt:lpstr>696</vt:lpstr>
      <vt:lpstr>697</vt:lpstr>
      <vt:lpstr>698</vt:lpstr>
      <vt:lpstr>699</vt:lpstr>
      <vt:lpstr>700</vt:lpstr>
      <vt:lpstr>701</vt:lpstr>
      <vt:lpstr>702</vt:lpstr>
      <vt:lpstr>703</vt:lpstr>
      <vt:lpstr>705</vt:lpstr>
      <vt:lpstr>706</vt:lpstr>
      <vt:lpstr>707</vt:lpstr>
      <vt:lpstr>708</vt:lpstr>
      <vt:lpstr>★彙整人事及業務費!Print_Area</vt:lpstr>
      <vt:lpstr>★彙整退撫!Print_Area</vt:lpstr>
      <vt:lpstr>分配原則!Print_Area</vt:lpstr>
      <vt:lpstr>★彙整人事及業務費!Print_Titles</vt:lpstr>
      <vt:lpstr>★彙整退撫!Print_Titles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廖尉辰</dc:creator>
  <cp:lastModifiedBy>陳瑀彤</cp:lastModifiedBy>
  <cp:lastPrinted>2022-10-31T07:29:35Z</cp:lastPrinted>
  <dcterms:created xsi:type="dcterms:W3CDTF">2019-08-07T08:26:15Z</dcterms:created>
  <dcterms:modified xsi:type="dcterms:W3CDTF">2022-11-13T09:23:36Z</dcterms:modified>
</cp:coreProperties>
</file>