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4385\Desktop\114-2-0202\"/>
    </mc:Choice>
  </mc:AlternateContent>
  <xr:revisionPtr revIDLastSave="0" documentId="13_ncr:1_{045A9C6B-E3AA-49DA-BA7D-82C265EAE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必填)統計表" sheetId="1" r:id="rId1"/>
    <sheet name="汰換年相反" sheetId="2" state="hidden" r:id="rId2"/>
    <sheet name="(必填)花東B表" sheetId="3" r:id="rId3"/>
    <sheet name="(勿動)單價表" sheetId="4" r:id="rId4"/>
    <sheet name="工作表3" sheetId="5" state="hidden" r:id="rId5"/>
    <sheet name="抬頭" sheetId="6" state="hidden" r:id="rId6"/>
  </sheets>
  <definedNames>
    <definedName name="_xlnm.Print_Area" localSheetId="0">'(必填)統計表'!$A$4:$V$29</definedName>
    <definedName name="_xlnm.Print_Area" localSheetId="1">汰換年相反!$A$4:$T$40</definedName>
    <definedName name="版本">工作表3!$A$5:$A$11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0" i="5" l="1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I17" i="1" s="1"/>
  <c r="X10" i="5"/>
  <c r="W10" i="5"/>
  <c r="V10" i="5"/>
  <c r="U10" i="5"/>
  <c r="E17" i="1" s="1"/>
  <c r="T10" i="5"/>
  <c r="S10" i="5"/>
  <c r="R10" i="5"/>
  <c r="Q10" i="5"/>
  <c r="R15" i="1" s="1"/>
  <c r="P10" i="5"/>
  <c r="O10" i="5"/>
  <c r="N10" i="5"/>
  <c r="M10" i="5"/>
  <c r="N15" i="1" s="1"/>
  <c r="L10" i="5"/>
  <c r="K10" i="5"/>
  <c r="J10" i="5"/>
  <c r="I10" i="5"/>
  <c r="J15" i="1" s="1"/>
  <c r="H10" i="5"/>
  <c r="G10" i="5"/>
  <c r="F10" i="5"/>
  <c r="E10" i="5"/>
  <c r="F15" i="1" s="1"/>
  <c r="D10" i="5"/>
  <c r="C10" i="5"/>
  <c r="B10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G61" i="3"/>
  <c r="F61" i="3"/>
  <c r="E61" i="3"/>
  <c r="D61" i="3"/>
  <c r="D62" i="3" s="1"/>
  <c r="J93" i="2"/>
  <c r="I93" i="2"/>
  <c r="H93" i="2"/>
  <c r="G93" i="2"/>
  <c r="F93" i="2"/>
  <c r="E93" i="2"/>
  <c r="D93" i="2"/>
  <c r="J91" i="2"/>
  <c r="J92" i="2" s="1"/>
  <c r="J94" i="2" s="1"/>
  <c r="H91" i="2"/>
  <c r="H92" i="2" s="1"/>
  <c r="G91" i="2"/>
  <c r="G92" i="2" s="1"/>
  <c r="G94" i="2" s="1"/>
  <c r="F91" i="2"/>
  <c r="F92" i="2" s="1"/>
  <c r="E91" i="2"/>
  <c r="E92" i="2" s="1"/>
  <c r="E94" i="2" s="1"/>
  <c r="D91" i="2"/>
  <c r="J89" i="2"/>
  <c r="I89" i="2"/>
  <c r="H89" i="2"/>
  <c r="G89" i="2"/>
  <c r="F89" i="2"/>
  <c r="E89" i="2"/>
  <c r="D89" i="2"/>
  <c r="F88" i="2"/>
  <c r="I87" i="2"/>
  <c r="I88" i="2" s="1"/>
  <c r="I90" i="2" s="1"/>
  <c r="H87" i="2"/>
  <c r="H88" i="2" s="1"/>
  <c r="H90" i="2" s="1"/>
  <c r="G87" i="2"/>
  <c r="G88" i="2" s="1"/>
  <c r="G90" i="2" s="1"/>
  <c r="F87" i="2"/>
  <c r="E87" i="2"/>
  <c r="E88" i="2" s="1"/>
  <c r="E90" i="2" s="1"/>
  <c r="D87" i="2"/>
  <c r="D88" i="2" s="1"/>
  <c r="D90" i="2" s="1"/>
  <c r="J85" i="2"/>
  <c r="I85" i="2"/>
  <c r="H85" i="2"/>
  <c r="G85" i="2"/>
  <c r="F85" i="2"/>
  <c r="E85" i="2"/>
  <c r="D85" i="2"/>
  <c r="F84" i="2"/>
  <c r="F86" i="2" s="1"/>
  <c r="H83" i="2"/>
  <c r="H84" i="2" s="1"/>
  <c r="H86" i="2" s="1"/>
  <c r="G83" i="2"/>
  <c r="G84" i="2" s="1"/>
  <c r="F83" i="2"/>
  <c r="E83" i="2"/>
  <c r="D83" i="2"/>
  <c r="D84" i="2" s="1"/>
  <c r="D86" i="2" s="1"/>
  <c r="I78" i="2"/>
  <c r="H78" i="2"/>
  <c r="E78" i="2"/>
  <c r="M77" i="2"/>
  <c r="M78" i="2" s="1"/>
  <c r="L77" i="2"/>
  <c r="L78" i="2" s="1"/>
  <c r="K77" i="2"/>
  <c r="K78" i="2" s="1"/>
  <c r="J77" i="2"/>
  <c r="J78" i="2" s="1"/>
  <c r="I77" i="2"/>
  <c r="H77" i="2"/>
  <c r="G77" i="2"/>
  <c r="G78" i="2" s="1"/>
  <c r="F77" i="2"/>
  <c r="F78" i="2" s="1"/>
  <c r="E77" i="2"/>
  <c r="D77" i="2"/>
  <c r="D78" i="2" s="1"/>
  <c r="O77" i="2" s="1"/>
  <c r="AO76" i="2"/>
  <c r="AC75" i="2" s="1"/>
  <c r="E76" i="2"/>
  <c r="M75" i="2"/>
  <c r="M76" i="2" s="1"/>
  <c r="L75" i="2"/>
  <c r="L76" i="2" s="1"/>
  <c r="K75" i="2"/>
  <c r="K76" i="2" s="1"/>
  <c r="J75" i="2"/>
  <c r="J76" i="2" s="1"/>
  <c r="I75" i="2"/>
  <c r="I76" i="2" s="1"/>
  <c r="H75" i="2"/>
  <c r="H76" i="2" s="1"/>
  <c r="G75" i="2"/>
  <c r="G76" i="2" s="1"/>
  <c r="F75" i="2"/>
  <c r="F76" i="2" s="1"/>
  <c r="E75" i="2"/>
  <c r="D75" i="2"/>
  <c r="AF75" i="2" s="1"/>
  <c r="I74" i="2"/>
  <c r="H74" i="2"/>
  <c r="M73" i="2"/>
  <c r="M74" i="2" s="1"/>
  <c r="L73" i="2"/>
  <c r="L74" i="2" s="1"/>
  <c r="K73" i="2"/>
  <c r="K74" i="2" s="1"/>
  <c r="J73" i="2"/>
  <c r="J74" i="2" s="1"/>
  <c r="I73" i="2"/>
  <c r="H73" i="2"/>
  <c r="G73" i="2"/>
  <c r="G74" i="2" s="1"/>
  <c r="F73" i="2"/>
  <c r="F74" i="2" s="1"/>
  <c r="E73" i="2"/>
  <c r="AO74" i="2" s="1"/>
  <c r="AC73" i="2" s="1"/>
  <c r="D73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P62" i="2"/>
  <c r="P66" i="2" s="1"/>
  <c r="O62" i="2"/>
  <c r="K62" i="2"/>
  <c r="K66" i="2" s="1"/>
  <c r="H62" i="2"/>
  <c r="H66" i="2" s="1"/>
  <c r="S61" i="2"/>
  <c r="S62" i="2" s="1"/>
  <c r="Q61" i="2"/>
  <c r="Q62" i="2" s="1"/>
  <c r="Q66" i="2" s="1"/>
  <c r="P61" i="2"/>
  <c r="O61" i="2"/>
  <c r="N61" i="2"/>
  <c r="N62" i="2" s="1"/>
  <c r="N66" i="2" s="1"/>
  <c r="M61" i="2"/>
  <c r="M62" i="2" s="1"/>
  <c r="M66" i="2" s="1"/>
  <c r="L61" i="2"/>
  <c r="L62" i="2" s="1"/>
  <c r="L66" i="2" s="1"/>
  <c r="K61" i="2"/>
  <c r="J61" i="2"/>
  <c r="J62" i="2" s="1"/>
  <c r="I61" i="2"/>
  <c r="I62" i="2" s="1"/>
  <c r="I66" i="2" s="1"/>
  <c r="H61" i="2"/>
  <c r="G61" i="2"/>
  <c r="G62" i="2" s="1"/>
  <c r="F61" i="2"/>
  <c r="F62" i="2" s="1"/>
  <c r="F66" i="2" s="1"/>
  <c r="E61" i="2"/>
  <c r="E62" i="2" s="1"/>
  <c r="D61" i="2"/>
  <c r="D62" i="2" s="1"/>
  <c r="D66" i="2" s="1"/>
  <c r="C61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60" i="2" s="1"/>
  <c r="U55" i="2" s="1"/>
  <c r="R55" i="2"/>
  <c r="R56" i="2" s="1"/>
  <c r="Q55" i="2"/>
  <c r="Q56" i="2" s="1"/>
  <c r="P55" i="2"/>
  <c r="P56" i="2" s="1"/>
  <c r="O55" i="2"/>
  <c r="O56" i="2" s="1"/>
  <c r="N55" i="2"/>
  <c r="N56" i="2" s="1"/>
  <c r="M55" i="2"/>
  <c r="M56" i="2" s="1"/>
  <c r="L55" i="2"/>
  <c r="L56" i="2" s="1"/>
  <c r="K55" i="2"/>
  <c r="K56" i="2" s="1"/>
  <c r="J55" i="2"/>
  <c r="J56" i="2" s="1"/>
  <c r="I55" i="2"/>
  <c r="I56" i="2" s="1"/>
  <c r="H55" i="2"/>
  <c r="H56" i="2" s="1"/>
  <c r="H60" i="2" s="1"/>
  <c r="G55" i="2"/>
  <c r="G56" i="2" s="1"/>
  <c r="F55" i="2"/>
  <c r="E55" i="2"/>
  <c r="E56" i="2" s="1"/>
  <c r="E60" i="2" s="1"/>
  <c r="D55" i="2"/>
  <c r="C55" i="2"/>
  <c r="C56" i="2" s="1"/>
  <c r="K54" i="2"/>
  <c r="G54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T49" i="2" s="1"/>
  <c r="D53" i="2"/>
  <c r="C53" i="2"/>
  <c r="P50" i="2"/>
  <c r="P54" i="2" s="1"/>
  <c r="M50" i="2"/>
  <c r="F50" i="2"/>
  <c r="Q49" i="2"/>
  <c r="Q50" i="2" s="1"/>
  <c r="P49" i="2"/>
  <c r="O49" i="2"/>
  <c r="O50" i="2" s="1"/>
  <c r="O54" i="2" s="1"/>
  <c r="N49" i="2"/>
  <c r="N50" i="2" s="1"/>
  <c r="N54" i="2" s="1"/>
  <c r="L49" i="2"/>
  <c r="L50" i="2" s="1"/>
  <c r="L54" i="2" s="1"/>
  <c r="K49" i="2"/>
  <c r="K50" i="2" s="1"/>
  <c r="J49" i="2"/>
  <c r="J50" i="2" s="1"/>
  <c r="J54" i="2" s="1"/>
  <c r="I49" i="2"/>
  <c r="I50" i="2" s="1"/>
  <c r="H49" i="2"/>
  <c r="H50" i="2" s="1"/>
  <c r="H54" i="2" s="1"/>
  <c r="G49" i="2"/>
  <c r="G50" i="2" s="1"/>
  <c r="F49" i="2"/>
  <c r="E49" i="2"/>
  <c r="E50" i="2" s="1"/>
  <c r="E54" i="2" s="1"/>
  <c r="D49" i="2"/>
  <c r="C49" i="2"/>
  <c r="C50" i="2" s="1"/>
  <c r="C54" i="2" s="1"/>
  <c r="U49" i="2" s="1"/>
  <c r="U67" i="2" s="1"/>
  <c r="J32" i="2"/>
  <c r="J34" i="2" s="1"/>
  <c r="H32" i="2"/>
  <c r="H34" i="2" s="1"/>
  <c r="G32" i="2"/>
  <c r="G34" i="2" s="1"/>
  <c r="F32" i="2"/>
  <c r="F34" i="2" s="1"/>
  <c r="E32" i="2"/>
  <c r="E34" i="2" s="1"/>
  <c r="D32" i="2"/>
  <c r="D34" i="2" s="1"/>
  <c r="J31" i="2"/>
  <c r="I31" i="2"/>
  <c r="I28" i="2"/>
  <c r="I30" i="2" s="1"/>
  <c r="H28" i="2"/>
  <c r="H30" i="2" s="1"/>
  <c r="G28" i="2"/>
  <c r="G30" i="2" s="1"/>
  <c r="F28" i="2"/>
  <c r="F30" i="2" s="1"/>
  <c r="E28" i="2"/>
  <c r="E30" i="2" s="1"/>
  <c r="D28" i="2"/>
  <c r="D30" i="2" s="1"/>
  <c r="J27" i="2"/>
  <c r="H24" i="2"/>
  <c r="H26" i="2" s="1"/>
  <c r="G24" i="2"/>
  <c r="G26" i="2" s="1"/>
  <c r="F24" i="2"/>
  <c r="F26" i="2" s="1"/>
  <c r="E24" i="2"/>
  <c r="E26" i="2" s="1"/>
  <c r="D24" i="2"/>
  <c r="D26" i="2" s="1"/>
  <c r="J23" i="2"/>
  <c r="S49" i="2" s="1"/>
  <c r="S50" i="2" s="1"/>
  <c r="S54" i="2" s="1"/>
  <c r="I23" i="2"/>
  <c r="AE14" i="2" s="1"/>
  <c r="AO19" i="2"/>
  <c r="AC18" i="2" s="1"/>
  <c r="AL18" i="2"/>
  <c r="AI18" i="2"/>
  <c r="AH18" i="2"/>
  <c r="AF18" i="2"/>
  <c r="Z18" i="2"/>
  <c r="M18" i="2"/>
  <c r="L18" i="2"/>
  <c r="K18" i="2"/>
  <c r="J18" i="2"/>
  <c r="I18" i="2"/>
  <c r="H18" i="2"/>
  <c r="G18" i="2"/>
  <c r="F18" i="2"/>
  <c r="E18" i="2"/>
  <c r="D18" i="2"/>
  <c r="AO17" i="2"/>
  <c r="AC16" i="2" s="1"/>
  <c r="AL16" i="2"/>
  <c r="AI16" i="2"/>
  <c r="AF16" i="2"/>
  <c r="Z16" i="2"/>
  <c r="M16" i="2"/>
  <c r="L16" i="2"/>
  <c r="K16" i="2"/>
  <c r="J16" i="2"/>
  <c r="I16" i="2"/>
  <c r="H16" i="2"/>
  <c r="G16" i="2"/>
  <c r="F16" i="2"/>
  <c r="E16" i="2"/>
  <c r="D16" i="2"/>
  <c r="AO15" i="2"/>
  <c r="AC14" i="2" s="1"/>
  <c r="AL14" i="2"/>
  <c r="AI14" i="2"/>
  <c r="AF14" i="2"/>
  <c r="Z14" i="2"/>
  <c r="M14" i="2"/>
  <c r="L14" i="2"/>
  <c r="K14" i="2"/>
  <c r="J14" i="2"/>
  <c r="I14" i="2"/>
  <c r="H14" i="2"/>
  <c r="G14" i="2"/>
  <c r="F14" i="2"/>
  <c r="E14" i="2"/>
  <c r="D14" i="2"/>
  <c r="S9" i="2"/>
  <c r="R9" i="2"/>
  <c r="T9" i="2" s="1"/>
  <c r="Q9" i="2"/>
  <c r="J9" i="2"/>
  <c r="H9" i="2"/>
  <c r="AJ16" i="2" s="1"/>
  <c r="F9" i="2"/>
  <c r="AN15" i="2" s="1"/>
  <c r="AA14" i="2" s="1"/>
  <c r="L8" i="2"/>
  <c r="S7" i="2"/>
  <c r="R7" i="2"/>
  <c r="T7" i="2" s="1"/>
  <c r="L7" i="2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S48" i="1"/>
  <c r="S49" i="1" s="1"/>
  <c r="R48" i="1"/>
  <c r="R49" i="1" s="1"/>
  <c r="R53" i="1" s="1"/>
  <c r="Q48" i="1"/>
  <c r="P48" i="1"/>
  <c r="P49" i="1" s="1"/>
  <c r="O48" i="1"/>
  <c r="N48" i="1"/>
  <c r="M48" i="1"/>
  <c r="L48" i="1"/>
  <c r="L49" i="1" s="1"/>
  <c r="K48" i="1"/>
  <c r="J48" i="1"/>
  <c r="I48" i="1"/>
  <c r="H48" i="1"/>
  <c r="H49" i="1" s="1"/>
  <c r="G48" i="1"/>
  <c r="F48" i="1"/>
  <c r="F49" i="1" s="1"/>
  <c r="F53" i="1" s="1"/>
  <c r="E48" i="1"/>
  <c r="E49" i="1" s="1"/>
  <c r="D48" i="1"/>
  <c r="C48" i="1"/>
  <c r="C49" i="1" s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2" i="1"/>
  <c r="S43" i="1" s="1"/>
  <c r="R42" i="1"/>
  <c r="R43" i="1" s="1"/>
  <c r="R47" i="1" s="1"/>
  <c r="Q42" i="1"/>
  <c r="P42" i="1"/>
  <c r="O42" i="1"/>
  <c r="O43" i="1" s="1"/>
  <c r="N42" i="1"/>
  <c r="M42" i="1"/>
  <c r="L42" i="1"/>
  <c r="K42" i="1"/>
  <c r="K43" i="1" s="1"/>
  <c r="J42" i="1"/>
  <c r="I42" i="1"/>
  <c r="H42" i="1"/>
  <c r="G42" i="1"/>
  <c r="G43" i="1" s="1"/>
  <c r="F42" i="1"/>
  <c r="F43" i="1" s="1"/>
  <c r="E42" i="1"/>
  <c r="D42" i="1"/>
  <c r="C42" i="1"/>
  <c r="C43" i="1" s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36" i="1"/>
  <c r="S37" i="1" s="1"/>
  <c r="R36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L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L17" i="1"/>
  <c r="S17" i="1"/>
  <c r="R17" i="1"/>
  <c r="Q17" i="1"/>
  <c r="P17" i="1"/>
  <c r="O17" i="1"/>
  <c r="N17" i="1"/>
  <c r="M17" i="1"/>
  <c r="L17" i="1"/>
  <c r="K17" i="1"/>
  <c r="J17" i="1"/>
  <c r="H17" i="1"/>
  <c r="G17" i="1"/>
  <c r="F17" i="1"/>
  <c r="D17" i="1"/>
  <c r="AG16" i="1" s="1"/>
  <c r="C17" i="1"/>
  <c r="AL15" i="1"/>
  <c r="S15" i="1"/>
  <c r="Q15" i="1"/>
  <c r="P15" i="1"/>
  <c r="O15" i="1"/>
  <c r="M15" i="1"/>
  <c r="L15" i="1"/>
  <c r="K15" i="1"/>
  <c r="I15" i="1"/>
  <c r="H15" i="1"/>
  <c r="G15" i="1"/>
  <c r="E15" i="1"/>
  <c r="D15" i="1"/>
  <c r="C15" i="1"/>
  <c r="U9" i="1"/>
  <c r="T9" i="1"/>
  <c r="V9" i="1" s="1"/>
  <c r="S9" i="1"/>
  <c r="J9" i="1"/>
  <c r="H9" i="1"/>
  <c r="F9" i="1"/>
  <c r="AK15" i="1" s="1"/>
  <c r="L8" i="1"/>
  <c r="U7" i="1"/>
  <c r="T7" i="1"/>
  <c r="L7" i="1"/>
  <c r="AE18" i="1" l="1"/>
  <c r="S41" i="1"/>
  <c r="R41" i="1"/>
  <c r="Q77" i="2"/>
  <c r="P77" i="2"/>
  <c r="E37" i="1"/>
  <c r="E41" i="1" s="1"/>
  <c r="D49" i="1"/>
  <c r="D53" i="1" s="1"/>
  <c r="F54" i="2"/>
  <c r="AL73" i="2"/>
  <c r="C37" i="1"/>
  <c r="C41" i="1" s="1"/>
  <c r="G37" i="1"/>
  <c r="G41" i="1" s="1"/>
  <c r="K37" i="1"/>
  <c r="K41" i="1" s="1"/>
  <c r="O37" i="1"/>
  <c r="O41" i="1" s="1"/>
  <c r="T36" i="1"/>
  <c r="E43" i="1"/>
  <c r="E47" i="1" s="1"/>
  <c r="I43" i="1"/>
  <c r="I47" i="1" s="1"/>
  <c r="M43" i="1"/>
  <c r="M47" i="1" s="1"/>
  <c r="Q43" i="1"/>
  <c r="Q47" i="1" s="1"/>
  <c r="J49" i="1"/>
  <c r="J53" i="1" s="1"/>
  <c r="N49" i="1"/>
  <c r="N53" i="1" s="1"/>
  <c r="AI20" i="2"/>
  <c r="G60" i="2"/>
  <c r="K60" i="2"/>
  <c r="O60" i="2"/>
  <c r="E66" i="2"/>
  <c r="E74" i="2"/>
  <c r="D76" i="2"/>
  <c r="O75" i="2" s="1"/>
  <c r="Q75" i="2" s="1"/>
  <c r="AO78" i="2"/>
  <c r="AC77" i="2" s="1"/>
  <c r="G86" i="2"/>
  <c r="L37" i="1"/>
  <c r="L41" i="1" s="1"/>
  <c r="N43" i="1"/>
  <c r="N47" i="1" s="1"/>
  <c r="AJ14" i="2"/>
  <c r="AF73" i="2"/>
  <c r="G49" i="1"/>
  <c r="G53" i="1" s="1"/>
  <c r="K49" i="1"/>
  <c r="K53" i="1" s="1"/>
  <c r="I37" i="1"/>
  <c r="I41" i="1" s="1"/>
  <c r="Q37" i="1"/>
  <c r="Q41" i="1" s="1"/>
  <c r="AF77" i="2"/>
  <c r="J83" i="2"/>
  <c r="J84" i="2" s="1"/>
  <c r="J86" i="2" s="1"/>
  <c r="P37" i="1"/>
  <c r="P41" i="1" s="1"/>
  <c r="M37" i="1"/>
  <c r="M41" i="1" s="1"/>
  <c r="T55" i="2"/>
  <c r="J66" i="2"/>
  <c r="T61" i="2"/>
  <c r="V7" i="1"/>
  <c r="F37" i="1"/>
  <c r="F41" i="1" s="1"/>
  <c r="J37" i="1"/>
  <c r="J41" i="1" s="1"/>
  <c r="N37" i="1"/>
  <c r="N41" i="1" s="1"/>
  <c r="AC36" i="1" s="1"/>
  <c r="D43" i="1"/>
  <c r="D47" i="1" s="1"/>
  <c r="H43" i="1"/>
  <c r="H47" i="1" s="1"/>
  <c r="L43" i="1"/>
  <c r="L47" i="1" s="1"/>
  <c r="P43" i="1"/>
  <c r="P47" i="1" s="1"/>
  <c r="T42" i="1"/>
  <c r="S47" i="1"/>
  <c r="I49" i="1"/>
  <c r="I53" i="1" s="1"/>
  <c r="M49" i="1"/>
  <c r="M53" i="1" s="1"/>
  <c r="Q49" i="1"/>
  <c r="Q53" i="1" s="1"/>
  <c r="T48" i="1"/>
  <c r="S53" i="1"/>
  <c r="AD77" i="2"/>
  <c r="AD18" i="2"/>
  <c r="J60" i="2"/>
  <c r="N60" i="2"/>
  <c r="R60" i="2"/>
  <c r="Z73" i="2"/>
  <c r="D74" i="2"/>
  <c r="O73" i="2" s="1"/>
  <c r="Q73" i="2" s="1"/>
  <c r="Q79" i="2" s="1"/>
  <c r="P88" i="2" s="1"/>
  <c r="F94" i="2"/>
  <c r="F62" i="3"/>
  <c r="O49" i="1"/>
  <c r="O53" i="1" s="1"/>
  <c r="J43" i="1"/>
  <c r="J47" i="1" s="1"/>
  <c r="H37" i="1"/>
  <c r="H41" i="1" s="1"/>
  <c r="D37" i="1"/>
  <c r="D41" i="1" s="1"/>
  <c r="AA18" i="1"/>
  <c r="AF41" i="1"/>
  <c r="AH18" i="1"/>
  <c r="AI18" i="1"/>
  <c r="AF18" i="1"/>
  <c r="AG18" i="1"/>
  <c r="AC18" i="1"/>
  <c r="AL20" i="2"/>
  <c r="O17" i="2"/>
  <c r="O13" i="2"/>
  <c r="AF20" i="2"/>
  <c r="O15" i="2"/>
  <c r="AI16" i="1"/>
  <c r="AF16" i="1"/>
  <c r="AE16" i="1"/>
  <c r="AG14" i="1"/>
  <c r="AD14" i="1"/>
  <c r="AF14" i="1"/>
  <c r="AA14" i="1"/>
  <c r="AC14" i="1"/>
  <c r="Z14" i="1"/>
  <c r="AE14" i="1"/>
  <c r="T18" i="1"/>
  <c r="AC16" i="1"/>
  <c r="AA16" i="1"/>
  <c r="T16" i="1"/>
  <c r="V16" i="1" s="1"/>
  <c r="J22" i="1"/>
  <c r="AB14" i="1"/>
  <c r="AB36" i="1"/>
  <c r="AI14" i="1"/>
  <c r="AH14" i="1"/>
  <c r="T14" i="1"/>
  <c r="V14" i="1" s="1"/>
  <c r="F47" i="1"/>
  <c r="AF39" i="1"/>
  <c r="G47" i="1"/>
  <c r="K47" i="1"/>
  <c r="O47" i="1"/>
  <c r="Q15" i="2"/>
  <c r="P15" i="2"/>
  <c r="X16" i="2"/>
  <c r="S55" i="2"/>
  <c r="J87" i="2"/>
  <c r="AE16" i="2"/>
  <c r="AH16" i="2"/>
  <c r="J28" i="2"/>
  <c r="J30" i="2" s="1"/>
  <c r="AB16" i="2"/>
  <c r="AK16" i="2"/>
  <c r="Y16" i="2"/>
  <c r="AH16" i="1"/>
  <c r="AD16" i="1"/>
  <c r="Z16" i="1"/>
  <c r="L9" i="1"/>
  <c r="AK17" i="1"/>
  <c r="AB16" i="1" s="1"/>
  <c r="AF37" i="1"/>
  <c r="E53" i="1"/>
  <c r="C53" i="1"/>
  <c r="AK14" i="2"/>
  <c r="Y14" i="2"/>
  <c r="R49" i="2"/>
  <c r="I24" i="2"/>
  <c r="I26" i="2" s="1"/>
  <c r="I83" i="2"/>
  <c r="AE73" i="2" s="1"/>
  <c r="AH14" i="2"/>
  <c r="AB14" i="2"/>
  <c r="AN76" i="2"/>
  <c r="AA75" i="2" s="1"/>
  <c r="AG75" i="2"/>
  <c r="AJ75" i="2"/>
  <c r="AD75" i="2"/>
  <c r="X75" i="2"/>
  <c r="AN17" i="2"/>
  <c r="AA16" i="2" s="1"/>
  <c r="AD16" i="2"/>
  <c r="AG16" i="2"/>
  <c r="L9" i="2"/>
  <c r="Z20" i="2"/>
  <c r="X51" i="2"/>
  <c r="AK19" i="1"/>
  <c r="AB18" i="1" s="1"/>
  <c r="C47" i="1"/>
  <c r="AC20" i="2"/>
  <c r="I54" i="2"/>
  <c r="AD52" i="2"/>
  <c r="Y51" i="2" s="1"/>
  <c r="F56" i="2"/>
  <c r="F60" i="2" s="1"/>
  <c r="P60" i="2"/>
  <c r="P75" i="2"/>
  <c r="AK75" i="2"/>
  <c r="Y75" i="2"/>
  <c r="Z18" i="1"/>
  <c r="AD18" i="1"/>
  <c r="H53" i="1"/>
  <c r="L53" i="1"/>
  <c r="P53" i="1"/>
  <c r="K27" i="2"/>
  <c r="I32" i="2"/>
  <c r="I34" i="2" s="1"/>
  <c r="K31" i="2" s="1"/>
  <c r="AK18" i="2"/>
  <c r="Y18" i="2"/>
  <c r="AB18" i="2"/>
  <c r="AA49" i="2"/>
  <c r="Q54" i="2"/>
  <c r="D50" i="2"/>
  <c r="D54" i="2" s="1"/>
  <c r="AD50" i="2"/>
  <c r="Y49" i="2" s="1"/>
  <c r="Q60" i="2"/>
  <c r="R61" i="2"/>
  <c r="X53" i="2" s="1"/>
  <c r="O66" i="2"/>
  <c r="P73" i="2"/>
  <c r="P79" i="2" s="1"/>
  <c r="P81" i="2" s="1"/>
  <c r="P91" i="2" s="1"/>
  <c r="AF79" i="2"/>
  <c r="AC79" i="2"/>
  <c r="AH75" i="2"/>
  <c r="Z77" i="2"/>
  <c r="AL77" i="2"/>
  <c r="E84" i="2"/>
  <c r="E86" i="2" s="1"/>
  <c r="I91" i="2"/>
  <c r="AE77" i="2" s="1"/>
  <c r="AN74" i="2"/>
  <c r="AA73" i="2" s="1"/>
  <c r="AG73" i="2"/>
  <c r="AJ73" i="2"/>
  <c r="AG14" i="2"/>
  <c r="AD73" i="2"/>
  <c r="AD79" i="2" s="1"/>
  <c r="X73" i="2"/>
  <c r="X14" i="2"/>
  <c r="AD14" i="2"/>
  <c r="AE18" i="2"/>
  <c r="I60" i="2"/>
  <c r="L60" i="2"/>
  <c r="C62" i="2"/>
  <c r="C66" i="2" s="1"/>
  <c r="U61" i="2" s="1"/>
  <c r="G66" i="2"/>
  <c r="S66" i="2"/>
  <c r="Z75" i="2"/>
  <c r="Z79" i="2" s="1"/>
  <c r="AL75" i="2"/>
  <c r="X18" i="2"/>
  <c r="AJ18" i="2"/>
  <c r="AJ20" i="2" s="1"/>
  <c r="J24" i="2"/>
  <c r="J26" i="2" s="1"/>
  <c r="Z51" i="2"/>
  <c r="M60" i="2"/>
  <c r="AI73" i="2"/>
  <c r="AI75" i="2"/>
  <c r="X77" i="2"/>
  <c r="AI77" i="2"/>
  <c r="F90" i="2"/>
  <c r="H94" i="2"/>
  <c r="AN78" i="2"/>
  <c r="AA77" i="2" s="1"/>
  <c r="AG77" i="2"/>
  <c r="AG18" i="2"/>
  <c r="AN19" i="2"/>
  <c r="AA18" i="2" s="1"/>
  <c r="AB49" i="2"/>
  <c r="M54" i="2"/>
  <c r="AA51" i="2"/>
  <c r="D56" i="2"/>
  <c r="D60" i="2" s="1"/>
  <c r="AJ77" i="2"/>
  <c r="AK77" i="2"/>
  <c r="Y77" i="2"/>
  <c r="D92" i="2"/>
  <c r="D94" i="2" s="1"/>
  <c r="AD40" i="1" l="1"/>
  <c r="AD38" i="1"/>
  <c r="Z38" i="1"/>
  <c r="AD36" i="1"/>
  <c r="Z36" i="1"/>
  <c r="AA53" i="2"/>
  <c r="AK73" i="2"/>
  <c r="AK79" i="2" s="1"/>
  <c r="AI79" i="2"/>
  <c r="AL79" i="2"/>
  <c r="X79" i="2"/>
  <c r="AH20" i="2"/>
  <c r="U42" i="1"/>
  <c r="U36" i="1"/>
  <c r="AA36" i="1"/>
  <c r="AA40" i="1"/>
  <c r="AC40" i="1"/>
  <c r="AG20" i="1"/>
  <c r="U48" i="1"/>
  <c r="AB40" i="1"/>
  <c r="Z40" i="1"/>
  <c r="K23" i="2"/>
  <c r="P28" i="2" s="1"/>
  <c r="AA20" i="2"/>
  <c r="AD20" i="2"/>
  <c r="AK20" i="2"/>
  <c r="AJ22" i="2" s="1"/>
  <c r="AE20" i="2"/>
  <c r="Q13" i="2"/>
  <c r="P13" i="2"/>
  <c r="P17" i="2"/>
  <c r="Q17" i="2"/>
  <c r="AB38" i="1"/>
  <c r="AF20" i="1"/>
  <c r="U16" i="1"/>
  <c r="AC38" i="1"/>
  <c r="AI20" i="1"/>
  <c r="AE20" i="1"/>
  <c r="AA38" i="1"/>
  <c r="AC20" i="1"/>
  <c r="AA20" i="1"/>
  <c r="AD20" i="1"/>
  <c r="V18" i="1"/>
  <c r="V20" i="1" s="1"/>
  <c r="U18" i="1"/>
  <c r="AB20" i="1"/>
  <c r="Z20" i="1"/>
  <c r="AH20" i="1"/>
  <c r="U14" i="1"/>
  <c r="J88" i="2"/>
  <c r="J90" i="2" s="1"/>
  <c r="K87" i="2" s="1"/>
  <c r="AB75" i="2"/>
  <c r="AA79" i="2"/>
  <c r="AG20" i="2"/>
  <c r="AG22" i="2" s="1"/>
  <c r="R62" i="2"/>
  <c r="R66" i="2" s="1"/>
  <c r="Z53" i="2"/>
  <c r="AD54" i="2"/>
  <c r="Y53" i="2" s="1"/>
  <c r="AB53" i="2"/>
  <c r="X20" i="2"/>
  <c r="AJ79" i="2"/>
  <c r="I92" i="2"/>
  <c r="I94" i="2" s="1"/>
  <c r="K91" i="2" s="1"/>
  <c r="AB77" i="2"/>
  <c r="AH77" i="2"/>
  <c r="AA55" i="2"/>
  <c r="AB20" i="2"/>
  <c r="R50" i="2"/>
  <c r="R54" i="2" s="1"/>
  <c r="X49" i="2"/>
  <c r="X55" i="2" s="1"/>
  <c r="Z49" i="2"/>
  <c r="Z55" i="2" s="1"/>
  <c r="S56" i="2"/>
  <c r="S60" i="2" s="1"/>
  <c r="AB51" i="2"/>
  <c r="AB55" i="2" s="1"/>
  <c r="I84" i="2"/>
  <c r="I86" i="2" s="1"/>
  <c r="K83" i="2" s="1"/>
  <c r="AH73" i="2"/>
  <c r="AB73" i="2"/>
  <c r="Y73" i="2"/>
  <c r="Y79" i="2" s="1"/>
  <c r="X81" i="2"/>
  <c r="AG79" i="2"/>
  <c r="Y55" i="2"/>
  <c r="AE75" i="2"/>
  <c r="AE79" i="2" s="1"/>
  <c r="AD81" i="2" s="1"/>
  <c r="Y20" i="2"/>
  <c r="AD42" i="1" l="1"/>
  <c r="Z42" i="1"/>
  <c r="P19" i="2"/>
  <c r="P25" i="2" s="1"/>
  <c r="AD22" i="2"/>
  <c r="AH79" i="2"/>
  <c r="AG81" i="2" s="1"/>
  <c r="AJ81" i="2"/>
  <c r="U54" i="1"/>
  <c r="AA42" i="1"/>
  <c r="AC42" i="1"/>
  <c r="AF22" i="1"/>
  <c r="AB42" i="1"/>
  <c r="AA22" i="2"/>
  <c r="X22" i="2"/>
  <c r="P31" i="2"/>
  <c r="Q19" i="2"/>
  <c r="AD22" i="1"/>
  <c r="U20" i="1"/>
  <c r="J23" i="1" s="1"/>
  <c r="J24" i="1" s="1"/>
  <c r="AH22" i="1"/>
  <c r="AB22" i="1"/>
  <c r="Z22" i="1"/>
  <c r="P85" i="2"/>
  <c r="AB79" i="2"/>
  <c r="AA8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sz val="10"/>
            <rFont val="新細明體"/>
            <family val="1"/>
            <charset val="136"/>
          </rPr>
          <t xml:space="preserve">粉紅色格子為必填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100-000001000000}">
      <text>
        <r>
          <rPr>
            <sz val="10"/>
            <rFont val="新細明體"/>
            <family val="1"/>
            <charset val="136"/>
          </rPr>
          <t xml:space="preserve">粉紅色格子為必填
</t>
        </r>
      </text>
    </comment>
    <comment ref="D13" authorId="0" shapeId="0" xr:uid="{00000000-0006-0000-0100-000002000000}">
      <text>
        <r>
          <rPr>
            <sz val="10"/>
            <rFont val="新細明體"/>
            <family val="1"/>
            <charset val="136"/>
          </rPr>
          <t xml:space="preserve">請輸入版本或從儲存格右下角三角按鈕選取。
</t>
        </r>
      </text>
    </comment>
    <comment ref="O21" authorId="0" shapeId="0" xr:uid="{00000000-0006-0000-0100-000003000000}">
      <text>
        <r>
          <rPr>
            <sz val="10"/>
            <rFont val="新細明體"/>
            <family val="1"/>
            <charset val="136"/>
          </rPr>
          <t>無此需求者免填</t>
        </r>
      </text>
    </comment>
    <comment ref="D73" authorId="0" shapeId="0" xr:uid="{00000000-0006-0000-0100-000004000000}">
      <text>
        <r>
          <rPr>
            <sz val="10"/>
            <rFont val="新細明體"/>
            <family val="1"/>
            <charset val="136"/>
          </rPr>
          <t xml:space="preserve">請輸入版本或從儲存格右下角三角按鈕選取。
</t>
        </r>
      </text>
    </comment>
    <comment ref="O81" authorId="0" shapeId="0" xr:uid="{00000000-0006-0000-0100-000005000000}">
      <text>
        <r>
          <rPr>
            <sz val="10"/>
            <rFont val="新細明體"/>
            <family val="1"/>
            <charset val="136"/>
          </rPr>
          <t>無此需求者免填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1" authorId="0" shapeId="0" xr:uid="{00000000-0006-0000-0200-000001000000}">
      <text>
        <r>
          <rPr>
            <sz val="10"/>
            <rFont val="新細明體"/>
            <family val="1"/>
            <charset val="136"/>
          </rPr>
          <t>請不要從「第1列和最後1列」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<sst xmlns="http://schemas.openxmlformats.org/spreadsheetml/2006/main" count="1369" uniqueCount="149">
  <si>
    <t>※本表適用藝能科全數汰換學校</t>
  </si>
  <si>
    <t>※花東補助學生身分別資料連結至花東B表資料，請務必填妥花東B表。</t>
  </si>
  <si>
    <t>※黃色及粉紅色欄位請務必填寫。</t>
  </si>
  <si>
    <t>花蓮縣114學年度第1學期公立國民中學教科書(縣補助及花東書籍費)補助金額統計表</t>
  </si>
  <si>
    <t>一、基本資料</t>
  </si>
  <si>
    <t>學校名稱</t>
  </si>
  <si>
    <t>二、花東A表</t>
  </si>
  <si>
    <t>花東書籍費補助基本資料</t>
  </si>
  <si>
    <t>花東補助學生身分別資料</t>
  </si>
  <si>
    <t>年級</t>
  </si>
  <si>
    <t>七年級</t>
  </si>
  <si>
    <t>八年級</t>
  </si>
  <si>
    <t>九年級</t>
  </si>
  <si>
    <t>合計</t>
  </si>
  <si>
    <t>全校班級數</t>
  </si>
  <si>
    <t>低收入戶</t>
  </si>
  <si>
    <t>中低收入戶</t>
  </si>
  <si>
    <t>合計(人)</t>
  </si>
  <si>
    <t>年級人數</t>
  </si>
  <si>
    <t>全校學生數</t>
  </si>
  <si>
    <t>低收入戶及中低收入戶人數</t>
  </si>
  <si>
    <t>男</t>
  </si>
  <si>
    <t>女</t>
  </si>
  <si>
    <t>花東補助學生
男</t>
  </si>
  <si>
    <t>花東補助學生
女</t>
  </si>
  <si>
    <t>審定本補助人數</t>
  </si>
  <si>
    <t>項目</t>
  </si>
  <si>
    <t>三、審定本</t>
  </si>
  <si>
    <t>四、藝能科(列入花東書籍費)</t>
  </si>
  <si>
    <t>每人補助金額(a)</t>
  </si>
  <si>
    <t>縣補助
金額小計</t>
  </si>
  <si>
    <t>花東書籍費
補助金額</t>
  </si>
  <si>
    <t>各版本金額(免印)</t>
  </si>
  <si>
    <t xml:space="preserve">       科目
 年級</t>
  </si>
  <si>
    <t>國文</t>
  </si>
  <si>
    <t>數學</t>
  </si>
  <si>
    <t>自然科學</t>
  </si>
  <si>
    <t>社會</t>
  </si>
  <si>
    <t>英語</t>
  </si>
  <si>
    <t>健體</t>
  </si>
  <si>
    <t>綜合</t>
  </si>
  <si>
    <t>藝術</t>
  </si>
  <si>
    <t>科技</t>
  </si>
  <si>
    <t>康軒</t>
  </si>
  <si>
    <t>翰林</t>
  </si>
  <si>
    <t>南一</t>
  </si>
  <si>
    <t>奇鼎</t>
  </si>
  <si>
    <t>全華</t>
  </si>
  <si>
    <t>課本</t>
  </si>
  <si>
    <t>習作</t>
  </si>
  <si>
    <t>課本1</t>
  </si>
  <si>
    <t>習作1</t>
  </si>
  <si>
    <t>課本2</t>
  </si>
  <si>
    <t>習作2</t>
  </si>
  <si>
    <t>三+四</t>
  </si>
  <si>
    <t>(a)*年級審定本補助人數</t>
  </si>
  <si>
    <t>(a)*年級低收中低收人數</t>
  </si>
  <si>
    <t>縣補助</t>
  </si>
  <si>
    <t>花東</t>
  </si>
  <si>
    <t>版本</t>
  </si>
  <si>
    <t>無</t>
  </si>
  <si>
    <t>七</t>
  </si>
  <si>
    <t>金額</t>
  </si>
  <si>
    <t>佳音</t>
  </si>
  <si>
    <t>八</t>
  </si>
  <si>
    <t>九</t>
  </si>
  <si>
    <t>特教生/補校生使用一般版本教科書補助金額(B)</t>
  </si>
  <si>
    <t>補助對象：本縣公立國民中小學之學生。</t>
  </si>
  <si>
    <t>審定本教科書補助合計(A)</t>
  </si>
  <si>
    <t>補助版本：經教育部採購議價通過之審定本及藝能科教科書。</t>
  </si>
  <si>
    <t>總計</t>
  </si>
  <si>
    <t>藝能科教科書補助合計(C)</t>
  </si>
  <si>
    <t>縣補助總計(A+B+C)</t>
  </si>
  <si>
    <t>2.統計表正本及原始憑證留校備查。</t>
  </si>
  <si>
    <t>承辦人：</t>
  </si>
  <si>
    <t>教務(導)主任：</t>
  </si>
  <si>
    <t>會計人員：</t>
  </si>
  <si>
    <t>校長：</t>
  </si>
  <si>
    <t>1.學校用書及學生用書請至教科圖書共同供應服務網填報，本表僅供參考(無強制填寫)，金額以教科圖書共同供應服務網為準。
2.使用本表請於粉紅色欄位填「需求(本)」及教科圖書共同供應服務網顯示的「樣書(本)」。</t>
  </si>
  <si>
    <t>學校用書(教師用及行政留存)</t>
  </si>
  <si>
    <t xml:space="preserve">       科目
 年級</t>
  </si>
  <si>
    <t>學校用書補助(本)</t>
  </si>
  <si>
    <t>年級學校用書金額合計</t>
  </si>
  <si>
    <t>學校用書</t>
  </si>
  <si>
    <t>需求(本)</t>
  </si>
  <si>
    <t>樣書(本)</t>
  </si>
  <si>
    <t>補助(本)</t>
  </si>
  <si>
    <t>補助金額</t>
  </si>
  <si>
    <t>※補助數量計算方式為「需求數量-樣書數量=補助數量」，樣書數量為國教署與出版商契約訂定，正確數量仍請依系統為準。</t>
  </si>
  <si>
    <t>※本表適用藝能科汰換年度相反學校</t>
  </si>
  <si>
    <t>花蓮縣立鳳林國民中學</t>
  </si>
  <si>
    <t xml:space="preserve">            科目
 年級</t>
  </si>
  <si>
    <t>每人補助金額</t>
  </si>
  <si>
    <t>審定本補助小計(A)</t>
  </si>
  <si>
    <t>花東書籍費
補助小計</t>
  </si>
  <si>
    <t>審定本</t>
  </si>
  <si>
    <t>藝能科</t>
  </si>
  <si>
    <t>四、藝能科(未列入花東書籍費)</t>
  </si>
  <si>
    <t>　          科目
 年級</t>
  </si>
  <si>
    <t>科技1</t>
  </si>
  <si>
    <t>科技2</t>
  </si>
  <si>
    <t>藝能科
補助合計</t>
  </si>
  <si>
    <t>特教生/補校生使用審定本教科書補助金額(B)</t>
  </si>
  <si>
    <t>需求數</t>
  </si>
  <si>
    <t>審定本補助總計(A)</t>
  </si>
  <si>
    <t>小計</t>
  </si>
  <si>
    <t>藝能科補助合計總和(C)</t>
  </si>
  <si>
    <t>縣補助
總計
(A)+(B)+(C)</t>
  </si>
  <si>
    <t>1.請將本表列印核章後，於113年9月13日(星期五)前，掃描上傳至校務系統(可編輯電子檔也需要)。</t>
  </si>
  <si>
    <t>補助版本：經教育部採購議價通過之審定本及藝能科教科書(如單價表)。</t>
  </si>
  <si>
    <t>3.本統計表各版本單價已預先扣除教育部補助公立學校學生用書金額。</t>
  </si>
  <si>
    <t>學生用書(本項經費由板橋國小統一撥予書商)</t>
  </si>
  <si>
    <t>審定本學生用書分攤總計</t>
  </si>
  <si>
    <t>藝能科學生用書補助總計</t>
  </si>
  <si>
    <t>花東書籍費學生用書補助總計</t>
  </si>
  <si>
    <t>學生用書總計</t>
  </si>
  <si>
    <t>班級學生調查表（Ｂ表）   皆為必填欄位</t>
  </si>
  <si>
    <t>班級</t>
  </si>
  <si>
    <t>導師姓名</t>
  </si>
  <si>
    <t>學生姓名</t>
  </si>
  <si>
    <t>性別
(是=1,否=0)</t>
  </si>
  <si>
    <t>學生身分
(是=1,否=0)</t>
  </si>
  <si>
    <t>低收</t>
  </si>
  <si>
    <t>中低收</t>
  </si>
  <si>
    <t>(自行增列)</t>
  </si>
  <si>
    <t>註.有關「學生身分別」欄，請擇一身分統計，切勿重複。</t>
  </si>
  <si>
    <t>南一(南億)</t>
  </si>
  <si>
    <t>編號</t>
  </si>
  <si>
    <t>學習領域(科)</t>
  </si>
  <si>
    <t>適用
年級</t>
  </si>
  <si>
    <t>冊別</t>
  </si>
  <si>
    <t>類別</t>
  </si>
  <si>
    <t>單本
價格</t>
  </si>
  <si>
    <t>教育部補助(學生用書)</t>
  </si>
  <si>
    <t>花東書籍費及縣補助</t>
  </si>
  <si>
    <t>健康與體育</t>
  </si>
  <si>
    <t>綜合活動</t>
  </si>
  <si>
    <t>社會(南億)</t>
  </si>
  <si>
    <t>–</t>
  </si>
  <si>
    <t>國中英語</t>
  </si>
  <si>
    <t>→→→</t>
  </si>
  <si>
    <t>單本價格</t>
  </si>
  <si>
    <t>抬頭1</t>
  </si>
  <si>
    <t>抬頭2</t>
  </si>
  <si>
    <t>花蓮縣縣立玉里國中學校與學生用書補助統計</t>
  </si>
  <si>
    <t>114學年度第2學期教科圖書價格表(國中)</t>
    <phoneticPr fontId="2" type="noConversion"/>
  </si>
  <si>
    <t>花蓮縣114學年度第2學期公立國民中學教科書(縣補助及花東書籍費)補助金額統計表</t>
    <phoneticPr fontId="2" type="noConversion"/>
  </si>
  <si>
    <t>1.請將本表列印核章後，於115年3月5日(星期四)前，掃描上傳至校務系統。</t>
    <phoneticPr fontId="2" type="noConversion"/>
  </si>
  <si>
    <t>114學年度第2學期補助「花東地區接受義務教育學生書籍費」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</si>
</sst>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 "/>
    <numFmt numFmtId="178" formatCode="#,##0_);[Red]\(#,##0\)"/>
  </numFmts>
  <fonts count="68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sz val="10"/>
      <color rgb="FF00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6"/>
      <color rgb="FF0033CC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8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1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26"/>
      <color theme="1"/>
      <name val="標楷體"/>
      <family val="4"/>
      <charset val="136"/>
    </font>
    <font>
      <sz val="22"/>
      <color theme="1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Batang"/>
      <family val="1"/>
      <charset val="129"/>
    </font>
    <font>
      <sz val="12"/>
      <color theme="1"/>
      <name val="Batang"/>
      <family val="1"/>
      <charset val="129"/>
    </font>
    <font>
      <sz val="11"/>
      <name val="Batang"/>
      <family val="1"/>
      <charset val="129"/>
    </font>
    <font>
      <sz val="11"/>
      <color theme="1"/>
      <name val="Batang"/>
      <family val="1"/>
      <charset val="129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3" fillId="0" borderId="0"/>
    <xf numFmtId="43" fontId="3" fillId="0" borderId="0"/>
    <xf numFmtId="0" fontId="18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43" fontId="11" fillId="0" borderId="0">
      <alignment vertical="center"/>
    </xf>
  </cellStyleXfs>
  <cellXfs count="4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/>
    <xf numFmtId="0" fontId="6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1" applyProtection="1">
      <protection locked="0"/>
    </xf>
    <xf numFmtId="0" fontId="4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14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19" fillId="0" borderId="0" xfId="0" applyFont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/>
    </xf>
    <xf numFmtId="0" fontId="12" fillId="0" borderId="0" xfId="1" applyFont="1" applyAlignment="1" applyProtection="1">
      <alignment vertical="center"/>
      <protection locked="0"/>
    </xf>
    <xf numFmtId="0" fontId="29" fillId="8" borderId="16" xfId="1" applyFont="1" applyFill="1" applyBorder="1" applyAlignment="1" applyProtection="1">
      <alignment horizontal="center" vertical="center" wrapText="1"/>
      <protection locked="0"/>
    </xf>
    <xf numFmtId="0" fontId="6" fillId="8" borderId="16" xfId="1" applyFont="1" applyFill="1" applyBorder="1" applyAlignment="1" applyProtection="1">
      <alignment horizontal="center" vertical="center" wrapText="1"/>
      <protection locked="0"/>
    </xf>
    <xf numFmtId="0" fontId="30" fillId="0" borderId="1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6" fillId="8" borderId="1" xfId="1" applyFont="1" applyFill="1" applyBorder="1" applyAlignment="1">
      <alignment horizontal="center" vertical="center" wrapText="1"/>
    </xf>
    <xf numFmtId="0" fontId="31" fillId="0" borderId="0" xfId="1" applyFont="1" applyAlignment="1" applyProtection="1">
      <alignment horizontal="left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23" fillId="0" borderId="13" xfId="5" applyFont="1" applyBorder="1" applyAlignment="1" applyProtection="1">
      <alignment horizontal="center" vertical="center"/>
      <protection locked="0"/>
    </xf>
    <xf numFmtId="0" fontId="24" fillId="0" borderId="13" xfId="5" applyFont="1" applyBorder="1" applyAlignment="1" applyProtection="1">
      <alignment horizontal="center" vertical="center"/>
      <protection locked="0"/>
    </xf>
    <xf numFmtId="0" fontId="24" fillId="0" borderId="10" xfId="5" applyFont="1" applyBorder="1" applyAlignment="1" applyProtection="1">
      <alignment horizontal="center" vertical="center"/>
      <protection locked="0"/>
    </xf>
    <xf numFmtId="0" fontId="26" fillId="9" borderId="22" xfId="0" applyFont="1" applyFill="1" applyBorder="1" applyAlignment="1">
      <alignment horizontal="center" vertical="center" wrapText="1"/>
    </xf>
    <xf numFmtId="0" fontId="33" fillId="0" borderId="4" xfId="6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0" fillId="9" borderId="1" xfId="0" applyFont="1" applyFill="1" applyBorder="1" applyAlignment="1" applyProtection="1">
      <alignment horizontal="center" vertical="center"/>
      <protection locked="0"/>
    </xf>
    <xf numFmtId="0" fontId="40" fillId="9" borderId="13" xfId="0" applyFont="1" applyFill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177" fontId="4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9" fillId="0" borderId="2" xfId="0" quotePrefix="1" applyFont="1" applyBorder="1" applyAlignment="1" applyProtection="1">
      <alignment horizontal="center" vertical="center" wrapText="1"/>
      <protection locked="0"/>
    </xf>
    <xf numFmtId="0" fontId="39" fillId="4" borderId="42" xfId="0" quotePrefix="1" applyFont="1" applyFill="1" applyBorder="1" applyAlignment="1" applyProtection="1">
      <alignment horizontal="center" vertical="center" wrapText="1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0" fontId="34" fillId="0" borderId="1" xfId="5" applyFont="1" applyBorder="1" applyAlignment="1" applyProtection="1">
      <alignment horizontal="center" vertical="center"/>
      <protection locked="0"/>
    </xf>
    <xf numFmtId="0" fontId="33" fillId="0" borderId="1" xfId="6" applyFont="1" applyBorder="1" applyAlignment="1" applyProtection="1">
      <alignment horizontal="center" vertical="center"/>
      <protection locked="0"/>
    </xf>
    <xf numFmtId="0" fontId="34" fillId="0" borderId="1" xfId="5" applyFont="1" applyBorder="1" applyAlignment="1" applyProtection="1">
      <alignment horizontal="center" vertical="center" wrapText="1"/>
      <protection locked="0"/>
    </xf>
    <xf numFmtId="0" fontId="23" fillId="1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41" fontId="46" fillId="0" borderId="0" xfId="10" applyNumberFormat="1" applyFont="1" applyAlignment="1">
      <alignment horizontal="center" vertical="center"/>
    </xf>
    <xf numFmtId="0" fontId="20" fillId="0" borderId="0" xfId="0" applyFont="1"/>
    <xf numFmtId="41" fontId="38" fillId="0" borderId="12" xfId="0" applyNumberFormat="1" applyFont="1" applyBorder="1" applyAlignment="1">
      <alignment horizontal="center" vertical="center"/>
    </xf>
    <xf numFmtId="41" fontId="38" fillId="0" borderId="1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41" fontId="38" fillId="0" borderId="16" xfId="0" applyNumberFormat="1" applyFont="1" applyBorder="1" applyAlignment="1">
      <alignment horizontal="center" vertical="center"/>
    </xf>
    <xf numFmtId="41" fontId="38" fillId="0" borderId="17" xfId="0" applyNumberFormat="1" applyFont="1" applyBorder="1" applyAlignment="1">
      <alignment horizontal="center" vertical="center"/>
    </xf>
    <xf numFmtId="41" fontId="38" fillId="0" borderId="9" xfId="0" applyNumberFormat="1" applyFont="1" applyBorder="1" applyAlignment="1">
      <alignment horizontal="center" vertical="center"/>
    </xf>
    <xf numFmtId="41" fontId="38" fillId="0" borderId="4" xfId="0" applyNumberFormat="1" applyFont="1" applyBorder="1" applyAlignment="1">
      <alignment horizontal="center" vertical="center"/>
    </xf>
    <xf numFmtId="41" fontId="38" fillId="0" borderId="10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0" fontId="22" fillId="12" borderId="2" xfId="0" applyFont="1" applyFill="1" applyBorder="1" applyAlignment="1">
      <alignment horizontal="center"/>
    </xf>
    <xf numFmtId="0" fontId="45" fillId="12" borderId="2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>
      <alignment horizont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0" fillId="11" borderId="13" xfId="0" applyFont="1" applyFill="1" applyBorder="1" applyAlignment="1" applyProtection="1">
      <alignment horizontal="center" vertical="center"/>
      <protection locked="0"/>
    </xf>
    <xf numFmtId="0" fontId="24" fillId="0" borderId="4" xfId="5" applyFont="1" applyBorder="1" applyAlignment="1" applyProtection="1">
      <alignment horizontal="center" vertical="center"/>
      <protection locked="0"/>
    </xf>
    <xf numFmtId="0" fontId="48" fillId="0" borderId="45" xfId="0" applyFont="1" applyBorder="1" applyAlignment="1" applyProtection="1">
      <alignment horizontal="center" vertical="center"/>
      <protection locked="0"/>
    </xf>
    <xf numFmtId="41" fontId="48" fillId="0" borderId="38" xfId="0" applyNumberFormat="1" applyFont="1" applyBorder="1" applyAlignment="1" applyProtection="1">
      <alignment vertical="center"/>
      <protection locked="0"/>
    </xf>
    <xf numFmtId="0" fontId="47" fillId="0" borderId="1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41" fontId="0" fillId="0" borderId="0" xfId="0" applyNumberFormat="1" applyAlignment="1">
      <alignment horizontal="center"/>
    </xf>
    <xf numFmtId="41" fontId="0" fillId="4" borderId="0" xfId="0" applyNumberFormat="1" applyFill="1" applyAlignment="1">
      <alignment horizontal="center"/>
    </xf>
    <xf numFmtId="41" fontId="0" fillId="1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41" fontId="0" fillId="0" borderId="0" xfId="0" applyNumberFormat="1"/>
    <xf numFmtId="41" fontId="0" fillId="4" borderId="0" xfId="0" applyNumberFormat="1" applyFill="1"/>
    <xf numFmtId="41" fontId="0" fillId="15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41" fontId="10" fillId="7" borderId="12" xfId="0" applyNumberFormat="1" applyFont="1" applyFill="1" applyBorder="1" applyAlignment="1" applyProtection="1">
      <alignment horizontal="center" vertical="center"/>
      <protection locked="0"/>
    </xf>
    <xf numFmtId="41" fontId="10" fillId="0" borderId="1" xfId="0" applyNumberFormat="1" applyFont="1" applyBorder="1" applyAlignment="1" applyProtection="1">
      <alignment horizontal="center" vertical="center"/>
      <protection locked="0"/>
    </xf>
    <xf numFmtId="41" fontId="10" fillId="0" borderId="13" xfId="0" applyNumberFormat="1" applyFont="1" applyBorder="1" applyAlignment="1" applyProtection="1">
      <alignment horizontal="center" vertical="center"/>
      <protection locked="0"/>
    </xf>
    <xf numFmtId="41" fontId="10" fillId="0" borderId="0" xfId="0" applyNumberFormat="1" applyFont="1" applyAlignment="1" applyProtection="1">
      <alignment vertical="center"/>
      <protection locked="0"/>
    </xf>
    <xf numFmtId="41" fontId="10" fillId="0" borderId="2" xfId="0" applyNumberFormat="1" applyFont="1" applyBorder="1" applyAlignment="1">
      <alignment horizontal="center" vertical="center"/>
    </xf>
    <xf numFmtId="41" fontId="42" fillId="4" borderId="43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47" fillId="0" borderId="0" xfId="0" applyFont="1" applyAlignment="1" applyProtection="1">
      <alignment vertical="center"/>
      <protection locked="0"/>
    </xf>
    <xf numFmtId="0" fontId="47" fillId="0" borderId="0" xfId="0" applyFont="1" applyProtection="1"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41" fontId="10" fillId="0" borderId="1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textRotation="255"/>
      <protection locked="0"/>
    </xf>
    <xf numFmtId="0" fontId="54" fillId="0" borderId="0" xfId="0" applyFont="1" applyAlignment="1" applyProtection="1">
      <alignment horizontal="left" vertical="center"/>
      <protection locked="0"/>
    </xf>
    <xf numFmtId="41" fontId="10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1" fontId="6" fillId="0" borderId="0" xfId="0" applyNumberFormat="1" applyFont="1" applyAlignment="1" applyProtection="1">
      <alignment horizontal="center" vertical="center"/>
      <protection locked="0"/>
    </xf>
    <xf numFmtId="41" fontId="13" fillId="0" borderId="0" xfId="0" applyNumberFormat="1" applyFont="1" applyAlignment="1" applyProtection="1">
      <alignment horizontal="center" vertical="center"/>
      <protection locked="0"/>
    </xf>
    <xf numFmtId="41" fontId="10" fillId="0" borderId="4" xfId="0" applyNumberFormat="1" applyFont="1" applyBorder="1" applyAlignment="1" applyProtection="1">
      <alignment horizontal="center" vertical="center"/>
      <protection locked="0"/>
    </xf>
    <xf numFmtId="0" fontId="52" fillId="0" borderId="0" xfId="0" applyFont="1" applyProtection="1">
      <protection locked="0"/>
    </xf>
    <xf numFmtId="0" fontId="46" fillId="0" borderId="0" xfId="0" applyFont="1" applyProtection="1">
      <protection locked="0"/>
    </xf>
    <xf numFmtId="41" fontId="10" fillId="10" borderId="1" xfId="0" applyNumberFormat="1" applyFont="1" applyFill="1" applyBorder="1" applyAlignment="1" applyProtection="1">
      <alignment horizontal="center" vertical="center"/>
      <protection locked="0"/>
    </xf>
    <xf numFmtId="41" fontId="10" fillId="10" borderId="27" xfId="0" applyNumberFormat="1" applyFont="1" applyFill="1" applyBorder="1" applyAlignment="1" applyProtection="1">
      <alignment horizontal="center" vertical="center"/>
      <protection locked="0"/>
    </xf>
    <xf numFmtId="41" fontId="10" fillId="10" borderId="16" xfId="0" applyNumberFormat="1" applyFont="1" applyFill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43" fillId="0" borderId="35" xfId="0" applyFont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33" fillId="10" borderId="1" xfId="6" applyFont="1" applyFill="1" applyBorder="1" applyAlignment="1" applyProtection="1">
      <alignment horizontal="center" vertical="center"/>
      <protection locked="0"/>
    </xf>
    <xf numFmtId="0" fontId="33" fillId="10" borderId="4" xfId="6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59" fillId="12" borderId="1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0" fontId="37" fillId="7" borderId="2" xfId="0" applyFont="1" applyFill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 applyProtection="1">
      <alignment horizontal="center" vertical="center"/>
      <protection locked="0"/>
    </xf>
    <xf numFmtId="0" fontId="37" fillId="7" borderId="13" xfId="0" applyFont="1" applyFill="1" applyBorder="1" applyAlignment="1" applyProtection="1">
      <alignment horizontal="center" vertical="center"/>
      <protection locked="0"/>
    </xf>
    <xf numFmtId="0" fontId="57" fillId="0" borderId="1" xfId="5" applyFont="1" applyBorder="1" applyAlignment="1" applyProtection="1">
      <alignment horizontal="center" vertical="center"/>
      <protection locked="0"/>
    </xf>
    <xf numFmtId="0" fontId="33" fillId="10" borderId="8" xfId="6" applyFont="1" applyFill="1" applyBorder="1" applyAlignment="1" applyProtection="1">
      <alignment horizontal="center" vertical="center"/>
      <protection locked="0"/>
    </xf>
    <xf numFmtId="41" fontId="42" fillId="0" borderId="2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1" fontId="10" fillId="0" borderId="10" xfId="0" applyNumberFormat="1" applyFont="1" applyBorder="1" applyAlignment="1" applyProtection="1">
      <alignment horizontal="center" vertical="center"/>
      <protection locked="0"/>
    </xf>
    <xf numFmtId="178" fontId="36" fillId="0" borderId="1" xfId="0" applyNumberFormat="1" applyFont="1" applyBorder="1" applyAlignment="1" applyProtection="1">
      <alignment horizontal="center" vertical="center"/>
      <protection locked="0"/>
    </xf>
    <xf numFmtId="0" fontId="33" fillId="0" borderId="2" xfId="6" applyFont="1" applyBorder="1" applyAlignment="1" applyProtection="1">
      <alignment horizontal="center" vertical="center"/>
      <protection locked="0"/>
    </xf>
    <xf numFmtId="0" fontId="33" fillId="0" borderId="14" xfId="6" applyFont="1" applyBorder="1" applyAlignment="1" applyProtection="1">
      <alignment horizontal="center" vertical="center"/>
      <protection locked="0"/>
    </xf>
    <xf numFmtId="41" fontId="36" fillId="4" borderId="43" xfId="0" applyNumberFormat="1" applyFont="1" applyFill="1" applyBorder="1" applyAlignment="1" applyProtection="1">
      <alignment horizontal="center" vertical="center"/>
      <protection locked="0"/>
    </xf>
    <xf numFmtId="41" fontId="38" fillId="6" borderId="12" xfId="0" applyNumberFormat="1" applyFont="1" applyFill="1" applyBorder="1" applyAlignment="1">
      <alignment horizontal="center" vertical="center"/>
    </xf>
    <xf numFmtId="41" fontId="38" fillId="6" borderId="1" xfId="0" applyNumberFormat="1" applyFont="1" applyFill="1" applyBorder="1" applyAlignment="1">
      <alignment horizontal="center" vertical="center"/>
    </xf>
    <xf numFmtId="41" fontId="38" fillId="6" borderId="13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41" fontId="0" fillId="9" borderId="0" xfId="0" applyNumberForma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47" fillId="11" borderId="0" xfId="0" applyFont="1" applyFill="1" applyAlignment="1" applyProtection="1">
      <alignment vertical="center"/>
      <protection locked="0"/>
    </xf>
    <xf numFmtId="0" fontId="23" fillId="11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13" xfId="0" applyFont="1" applyFill="1" applyBorder="1" applyAlignment="1" applyProtection="1">
      <alignment horizontal="center" vertical="center"/>
      <protection locked="0"/>
    </xf>
    <xf numFmtId="41" fontId="10" fillId="11" borderId="1" xfId="0" applyNumberFormat="1" applyFont="1" applyFill="1" applyBorder="1" applyAlignment="1" applyProtection="1">
      <alignment horizontal="center" vertical="center"/>
      <protection locked="0"/>
    </xf>
    <xf numFmtId="41" fontId="10" fillId="11" borderId="13" xfId="0" applyNumberFormat="1" applyFont="1" applyFill="1" applyBorder="1" applyAlignment="1" applyProtection="1">
      <alignment horizontal="center" vertical="center"/>
      <protection locked="0"/>
    </xf>
    <xf numFmtId="0" fontId="23" fillId="11" borderId="4" xfId="0" applyFont="1" applyFill="1" applyBorder="1" applyAlignment="1" applyProtection="1">
      <alignment horizontal="center" vertical="center"/>
      <protection locked="0"/>
    </xf>
    <xf numFmtId="41" fontId="10" fillId="11" borderId="4" xfId="0" applyNumberFormat="1" applyFont="1" applyFill="1" applyBorder="1" applyAlignment="1" applyProtection="1">
      <alignment horizontal="center" vertical="center"/>
      <protection locked="0"/>
    </xf>
    <xf numFmtId="41" fontId="10" fillId="11" borderId="10" xfId="0" applyNumberFormat="1" applyFont="1" applyFill="1" applyBorder="1" applyAlignment="1" applyProtection="1">
      <alignment horizontal="center" vertical="center"/>
      <protection locked="0"/>
    </xf>
    <xf numFmtId="0" fontId="6" fillId="11" borderId="0" xfId="0" applyFont="1" applyFill="1" applyAlignment="1" applyProtection="1">
      <alignment horizontal="left" vertical="center" textRotation="255"/>
      <protection locked="0"/>
    </xf>
    <xf numFmtId="0" fontId="54" fillId="11" borderId="0" xfId="0" applyFont="1" applyFill="1" applyAlignment="1" applyProtection="1">
      <alignment horizontal="left" vertical="center"/>
      <protection locked="0"/>
    </xf>
    <xf numFmtId="41" fontId="10" fillId="11" borderId="0" xfId="0" applyNumberFormat="1" applyFont="1" applyFill="1" applyAlignment="1" applyProtection="1">
      <alignment vertical="center"/>
      <protection locked="0"/>
    </xf>
    <xf numFmtId="41" fontId="10" fillId="11" borderId="0" xfId="0" applyNumberFormat="1" applyFont="1" applyFill="1" applyAlignment="1" applyProtection="1">
      <alignment horizontal="center" vertical="center"/>
      <protection locked="0"/>
    </xf>
    <xf numFmtId="178" fontId="36" fillId="11" borderId="1" xfId="0" applyNumberFormat="1" applyFont="1" applyFill="1" applyBorder="1" applyAlignment="1" applyProtection="1">
      <alignment horizontal="center" vertical="center"/>
      <protection locked="0"/>
    </xf>
    <xf numFmtId="41" fontId="42" fillId="11" borderId="2" xfId="0" applyNumberFormat="1" applyFont="1" applyFill="1" applyBorder="1" applyAlignment="1" applyProtection="1">
      <alignment horizontal="center" vertical="center"/>
      <protection locked="0"/>
    </xf>
    <xf numFmtId="41" fontId="36" fillId="11" borderId="43" xfId="0" applyNumberFormat="1" applyFont="1" applyFill="1" applyBorder="1" applyAlignment="1" applyProtection="1">
      <alignment horizontal="center" vertical="center"/>
      <protection locked="0"/>
    </xf>
    <xf numFmtId="0" fontId="47" fillId="11" borderId="0" xfId="0" applyFont="1" applyFill="1" applyProtection="1">
      <protection locked="0"/>
    </xf>
    <xf numFmtId="0" fontId="10" fillId="11" borderId="0" xfId="0" applyFont="1" applyFill="1" applyAlignment="1" applyProtection="1">
      <alignment vertical="center"/>
      <protection locked="0"/>
    </xf>
    <xf numFmtId="0" fontId="43" fillId="11" borderId="35" xfId="0" applyFont="1" applyFill="1" applyBorder="1" applyAlignment="1" applyProtection="1">
      <alignment horizontal="center" vertical="center"/>
      <protection locked="0"/>
    </xf>
    <xf numFmtId="0" fontId="43" fillId="11" borderId="30" xfId="0" applyFont="1" applyFill="1" applyBorder="1" applyAlignment="1" applyProtection="1">
      <alignment horizontal="center" vertical="center"/>
      <protection locked="0"/>
    </xf>
    <xf numFmtId="0" fontId="6" fillId="11" borderId="0" xfId="0" applyFont="1" applyFill="1" applyAlignment="1" applyProtection="1">
      <alignment horizontal="center" vertical="center"/>
      <protection locked="0"/>
    </xf>
    <xf numFmtId="41" fontId="6" fillId="11" borderId="0" xfId="0" applyNumberFormat="1" applyFont="1" applyFill="1" applyAlignment="1" applyProtection="1">
      <alignment horizontal="center" vertical="center"/>
      <protection locked="0"/>
    </xf>
    <xf numFmtId="41" fontId="13" fillId="11" borderId="0" xfId="0" applyNumberFormat="1" applyFont="1" applyFill="1" applyAlignment="1" applyProtection="1">
      <alignment horizontal="center" vertical="center"/>
      <protection locked="0"/>
    </xf>
    <xf numFmtId="41" fontId="10" fillId="11" borderId="27" xfId="0" applyNumberFormat="1" applyFont="1" applyFill="1" applyBorder="1" applyAlignment="1" applyProtection="1">
      <alignment horizontal="center" vertical="center"/>
      <protection locked="0"/>
    </xf>
    <xf numFmtId="41" fontId="10" fillId="11" borderId="14" xfId="0" applyNumberFormat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 applyProtection="1">
      <alignment horizontal="center" vertical="center"/>
      <protection locked="0"/>
    </xf>
    <xf numFmtId="0" fontId="42" fillId="0" borderId="45" xfId="0" applyFont="1" applyBorder="1" applyAlignment="1" applyProtection="1">
      <alignment horizontal="center" vertical="center"/>
      <protection locked="0"/>
    </xf>
    <xf numFmtId="41" fontId="42" fillId="0" borderId="38" xfId="0" applyNumberFormat="1" applyFont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41" fontId="38" fillId="0" borderId="2" xfId="0" applyNumberFormat="1" applyFont="1" applyBorder="1" applyAlignment="1">
      <alignment horizontal="center" vertical="center"/>
    </xf>
    <xf numFmtId="41" fontId="38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64" fillId="13" borderId="1" xfId="0" applyFont="1" applyFill="1" applyBorder="1" applyAlignment="1">
      <alignment horizontal="center"/>
    </xf>
    <xf numFmtId="0" fontId="65" fillId="0" borderId="63" xfId="0" applyFont="1" applyBorder="1" applyAlignment="1" applyProtection="1">
      <alignment horizontal="center" vertical="center"/>
      <protection locked="0"/>
    </xf>
    <xf numFmtId="0" fontId="64" fillId="0" borderId="1" xfId="1" applyFont="1" applyBorder="1" applyAlignment="1" applyProtection="1">
      <alignment horizontal="center" vertical="center" wrapText="1"/>
      <protection locked="0"/>
    </xf>
    <xf numFmtId="0" fontId="64" fillId="0" borderId="1" xfId="1" applyFont="1" applyBorder="1" applyAlignment="1" applyProtection="1">
      <alignment horizontal="center" vertical="center"/>
      <protection locked="0"/>
    </xf>
    <xf numFmtId="0" fontId="66" fillId="0" borderId="1" xfId="4" applyFont="1" applyBorder="1" applyAlignment="1">
      <alignment horizontal="center" vertical="center"/>
    </xf>
    <xf numFmtId="0" fontId="67" fillId="0" borderId="1" xfId="4" applyFont="1" applyBorder="1" applyAlignment="1">
      <alignment horizontal="center" vertical="center"/>
    </xf>
    <xf numFmtId="0" fontId="65" fillId="13" borderId="1" xfId="0" applyFont="1" applyFill="1" applyBorder="1" applyAlignment="1">
      <alignment horizontal="center"/>
    </xf>
    <xf numFmtId="0" fontId="65" fillId="13" borderId="1" xfId="0" applyFont="1" applyFill="1" applyBorder="1" applyAlignment="1" applyProtection="1">
      <alignment horizontal="center" vertical="center"/>
      <protection locked="0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6" fillId="13" borderId="1" xfId="4" applyFont="1" applyFill="1" applyBorder="1" applyAlignment="1">
      <alignment horizontal="center" vertical="center"/>
    </xf>
    <xf numFmtId="0" fontId="67" fillId="13" borderId="1" xfId="4" applyFont="1" applyFill="1" applyBorder="1" applyAlignment="1">
      <alignment horizontal="center" vertical="center"/>
    </xf>
    <xf numFmtId="0" fontId="66" fillId="13" borderId="16" xfId="4" applyFont="1" applyFill="1" applyBorder="1" applyAlignment="1">
      <alignment horizontal="center" vertical="center"/>
    </xf>
    <xf numFmtId="0" fontId="67" fillId="13" borderId="16" xfId="4" applyFont="1" applyFill="1" applyBorder="1" applyAlignment="1">
      <alignment horizontal="center" vertical="center"/>
    </xf>
    <xf numFmtId="0" fontId="64" fillId="0" borderId="16" xfId="1" applyFont="1" applyBorder="1" applyAlignment="1" applyProtection="1">
      <alignment horizontal="center" vertical="center"/>
      <protection locked="0"/>
    </xf>
    <xf numFmtId="0" fontId="64" fillId="13" borderId="35" xfId="0" applyFont="1" applyFill="1" applyBorder="1" applyAlignment="1">
      <alignment horizontal="center"/>
    </xf>
    <xf numFmtId="0" fontId="65" fillId="0" borderId="64" xfId="0" applyFont="1" applyBorder="1" applyAlignment="1" applyProtection="1">
      <alignment horizontal="center" vertical="center"/>
      <protection locked="0"/>
    </xf>
    <xf numFmtId="0" fontId="64" fillId="0" borderId="35" xfId="1" applyFont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0" fontId="64" fillId="13" borderId="2" xfId="0" applyFont="1" applyFill="1" applyBorder="1" applyAlignment="1">
      <alignment horizontal="center"/>
    </xf>
    <xf numFmtId="0" fontId="65" fillId="13" borderId="63" xfId="0" applyFont="1" applyFill="1" applyBorder="1" applyAlignment="1" applyProtection="1">
      <alignment horizontal="center" vertical="center"/>
      <protection locked="0"/>
    </xf>
    <xf numFmtId="0" fontId="66" fillId="0" borderId="0" xfId="4" applyFont="1" applyAlignment="1">
      <alignment horizontal="center" vertical="center"/>
    </xf>
    <xf numFmtId="0" fontId="67" fillId="0" borderId="63" xfId="4" applyFont="1" applyBorder="1" applyAlignment="1">
      <alignment horizontal="center" vertical="center"/>
    </xf>
    <xf numFmtId="0" fontId="66" fillId="13" borderId="65" xfId="4" applyFont="1" applyFill="1" applyBorder="1" applyAlignment="1">
      <alignment horizontal="center" vertical="center"/>
    </xf>
    <xf numFmtId="0" fontId="66" fillId="13" borderId="66" xfId="4" applyFont="1" applyFill="1" applyBorder="1" applyAlignment="1">
      <alignment horizontal="center" vertical="center"/>
    </xf>
    <xf numFmtId="0" fontId="67" fillId="13" borderId="65" xfId="4" applyFont="1" applyFill="1" applyBorder="1" applyAlignment="1">
      <alignment horizontal="center" vertical="center"/>
    </xf>
    <xf numFmtId="0" fontId="66" fillId="13" borderId="67" xfId="4" applyFont="1" applyFill="1" applyBorder="1" applyAlignment="1">
      <alignment horizontal="center" vertical="center"/>
    </xf>
    <xf numFmtId="0" fontId="67" fillId="13" borderId="67" xfId="4" applyFont="1" applyFill="1" applyBorder="1" applyAlignment="1">
      <alignment horizontal="center" vertical="center"/>
    </xf>
    <xf numFmtId="0" fontId="64" fillId="13" borderId="1" xfId="4" applyFont="1" applyFill="1" applyBorder="1" applyAlignment="1">
      <alignment horizontal="center" vertical="center"/>
    </xf>
    <xf numFmtId="0" fontId="66" fillId="13" borderId="0" xfId="4" applyFont="1" applyFill="1" applyAlignment="1">
      <alignment horizontal="center" vertical="center"/>
    </xf>
    <xf numFmtId="0" fontId="67" fillId="13" borderId="0" xfId="4" applyFont="1" applyFill="1" applyAlignment="1">
      <alignment horizontal="center" vertical="center"/>
    </xf>
    <xf numFmtId="0" fontId="64" fillId="0" borderId="1" xfId="5" applyFont="1" applyBorder="1" applyAlignment="1">
      <alignment horizontal="center" vertical="center"/>
    </xf>
    <xf numFmtId="41" fontId="10" fillId="7" borderId="1" xfId="0" applyNumberFormat="1" applyFont="1" applyFill="1" applyBorder="1" applyAlignment="1" applyProtection="1">
      <alignment horizontal="center" vertical="center"/>
      <protection locked="0"/>
    </xf>
    <xf numFmtId="41" fontId="10" fillId="7" borderId="13" xfId="0" applyNumberFormat="1" applyFont="1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8" fillId="0" borderId="0" xfId="4" applyAlignment="1" applyProtection="1">
      <alignment vertical="top" wrapText="1"/>
      <protection hidden="1"/>
    </xf>
    <xf numFmtId="0" fontId="18" fillId="0" borderId="0" xfId="4" applyAlignment="1" applyProtection="1">
      <alignment horizontal="left" vertical="top"/>
      <protection hidden="1"/>
    </xf>
    <xf numFmtId="0" fontId="62" fillId="0" borderId="22" xfId="0" applyFont="1" applyBorder="1" applyAlignment="1" applyProtection="1">
      <alignment horizontal="center" vertical="top" wrapText="1"/>
      <protection hidden="1"/>
    </xf>
    <xf numFmtId="0" fontId="28" fillId="0" borderId="0" xfId="4" applyFont="1" applyAlignment="1" applyProtection="1">
      <alignment horizontal="center" vertical="center"/>
      <protection hidden="1"/>
    </xf>
    <xf numFmtId="0" fontId="62" fillId="0" borderId="22" xfId="0" applyFont="1" applyBorder="1" applyAlignment="1" applyProtection="1">
      <alignment horizontal="left" vertical="top" wrapText="1"/>
      <protection hidden="1"/>
    </xf>
    <xf numFmtId="0" fontId="62" fillId="5" borderId="22" xfId="0" applyFont="1" applyFill="1" applyBorder="1" applyAlignment="1" applyProtection="1">
      <alignment horizontal="left" vertical="top" wrapText="1"/>
      <protection hidden="1"/>
    </xf>
    <xf numFmtId="1" fontId="63" fillId="0" borderId="22" xfId="0" applyNumberFormat="1" applyFont="1" applyBorder="1" applyAlignment="1" applyProtection="1">
      <alignment horizontal="left" vertical="top" shrinkToFit="1"/>
      <protection hidden="1"/>
    </xf>
    <xf numFmtId="0" fontId="4" fillId="0" borderId="22" xfId="0" applyFont="1" applyBorder="1" applyAlignment="1" applyProtection="1">
      <alignment horizontal="left" vertical="top" wrapText="1"/>
      <protection hidden="1"/>
    </xf>
    <xf numFmtId="0" fontId="4" fillId="0" borderId="22" xfId="0" applyFont="1" applyBorder="1" applyAlignment="1" applyProtection="1">
      <alignment horizontal="center" vertical="top" wrapText="1"/>
      <protection hidden="1"/>
    </xf>
    <xf numFmtId="1" fontId="63" fillId="5" borderId="22" xfId="0" applyNumberFormat="1" applyFont="1" applyFill="1" applyBorder="1" applyAlignment="1" applyProtection="1">
      <alignment horizontal="center" vertical="top" shrinkToFit="1"/>
      <protection hidden="1"/>
    </xf>
    <xf numFmtId="1" fontId="63" fillId="0" borderId="22" xfId="0" applyNumberFormat="1" applyFont="1" applyBorder="1" applyAlignment="1" applyProtection="1">
      <alignment horizontal="center" vertical="top" shrinkToFit="1"/>
      <protection hidden="1"/>
    </xf>
    <xf numFmtId="0" fontId="4" fillId="5" borderId="22" xfId="0" applyFont="1" applyFill="1" applyBorder="1" applyAlignment="1" applyProtection="1">
      <alignment horizontal="center" vertical="top" wrapText="1"/>
      <protection hidden="1"/>
    </xf>
    <xf numFmtId="1" fontId="63" fillId="5" borderId="62" xfId="0" applyNumberFormat="1" applyFont="1" applyFill="1" applyBorder="1" applyAlignment="1" applyProtection="1">
      <alignment horizontal="center" vertical="top" shrinkToFit="1"/>
      <protection hidden="1"/>
    </xf>
    <xf numFmtId="0" fontId="4" fillId="0" borderId="62" xfId="0" applyFont="1" applyBorder="1" applyAlignment="1" applyProtection="1">
      <alignment horizontal="center" vertical="top" wrapText="1"/>
      <protection hidden="1"/>
    </xf>
    <xf numFmtId="0" fontId="4" fillId="5" borderId="62" xfId="0" applyFont="1" applyFill="1" applyBorder="1" applyAlignment="1" applyProtection="1">
      <alignment horizontal="center" vertical="top" wrapText="1"/>
      <protection hidden="1"/>
    </xf>
    <xf numFmtId="1" fontId="63" fillId="0" borderId="62" xfId="0" applyNumberFormat="1" applyFont="1" applyBorder="1" applyAlignment="1" applyProtection="1">
      <alignment horizontal="center" vertical="top" shrinkToFit="1"/>
      <protection hidden="1"/>
    </xf>
    <xf numFmtId="0" fontId="4" fillId="0" borderId="23" xfId="0" applyFont="1" applyBorder="1" applyAlignment="1" applyProtection="1">
      <alignment horizontal="center" vertical="top" wrapText="1"/>
      <protection hidden="1"/>
    </xf>
    <xf numFmtId="1" fontId="63" fillId="5" borderId="1" xfId="0" applyNumberFormat="1" applyFont="1" applyFill="1" applyBorder="1" applyAlignment="1" applyProtection="1">
      <alignment horizontal="center" vertical="top" shrinkToFi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5" borderId="1" xfId="0" applyFont="1" applyFill="1" applyBorder="1" applyAlignment="1" applyProtection="1">
      <alignment horizontal="center" vertical="top" wrapText="1"/>
      <protection hidden="1"/>
    </xf>
    <xf numFmtId="1" fontId="63" fillId="0" borderId="1" xfId="0" applyNumberFormat="1" applyFont="1" applyBorder="1" applyAlignment="1" applyProtection="1">
      <alignment horizontal="center" vertical="top" shrinkToFit="1"/>
      <protection hidden="1"/>
    </xf>
    <xf numFmtId="0" fontId="63" fillId="0" borderId="1" xfId="4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vertical="center"/>
      <protection locked="0"/>
    </xf>
    <xf numFmtId="0" fontId="0" fillId="0" borderId="57" xfId="0" applyBorder="1" applyProtection="1">
      <protection locked="0"/>
    </xf>
    <xf numFmtId="41" fontId="0" fillId="0" borderId="0" xfId="0" applyNumberFormat="1" applyAlignment="1">
      <alignment horizontal="center"/>
    </xf>
    <xf numFmtId="0" fontId="0" fillId="0" borderId="0" xfId="0"/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41" fontId="19" fillId="0" borderId="0" xfId="0" applyNumberFormat="1" applyFont="1" applyAlignment="1">
      <alignment horizontal="center"/>
    </xf>
    <xf numFmtId="41" fontId="10" fillId="0" borderId="2" xfId="0" applyNumberFormat="1" applyFont="1" applyBorder="1" applyAlignment="1">
      <alignment horizontal="center" vertical="center"/>
    </xf>
    <xf numFmtId="0" fontId="0" fillId="0" borderId="28" xfId="0" applyBorder="1"/>
    <xf numFmtId="0" fontId="24" fillId="0" borderId="4" xfId="5" applyFont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41" fontId="19" fillId="0" borderId="0" xfId="0" applyNumberFormat="1" applyFont="1"/>
    <xf numFmtId="41" fontId="47" fillId="0" borderId="7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Protection="1">
      <protection locked="0"/>
    </xf>
    <xf numFmtId="41" fontId="0" fillId="4" borderId="0" xfId="0" applyNumberFormat="1" applyFill="1" applyAlignment="1">
      <alignment horizontal="center"/>
    </xf>
    <xf numFmtId="0" fontId="56" fillId="0" borderId="0" xfId="0" applyFont="1" applyAlignment="1" applyProtection="1">
      <alignment horizontal="center" vertical="center"/>
      <protection locked="0"/>
    </xf>
    <xf numFmtId="41" fontId="4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50" fillId="6" borderId="1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10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18" xfId="0" applyBorder="1"/>
    <xf numFmtId="0" fontId="10" fillId="0" borderId="35" xfId="0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17" borderId="0" xfId="0" applyFill="1" applyAlignment="1">
      <alignment horizontal="center" vertical="center"/>
    </xf>
    <xf numFmtId="0" fontId="50" fillId="6" borderId="4" xfId="6" applyFont="1" applyFill="1" applyBorder="1" applyAlignment="1" applyProtection="1">
      <alignment horizontal="center" vertical="center"/>
      <protection locked="0"/>
    </xf>
    <xf numFmtId="0" fontId="25" fillId="6" borderId="34" xfId="5" applyFont="1" applyFill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41" fontId="19" fillId="4" borderId="0" xfId="0" applyNumberFormat="1" applyFont="1" applyFill="1" applyAlignment="1">
      <alignment horizontal="center"/>
    </xf>
    <xf numFmtId="0" fontId="0" fillId="0" borderId="5" xfId="0" applyBorder="1" applyProtection="1">
      <protection locked="0"/>
    </xf>
    <xf numFmtId="0" fontId="51" fillId="6" borderId="1" xfId="6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left" vertical="center" wrapText="1"/>
      <protection locked="0"/>
    </xf>
    <xf numFmtId="0" fontId="0" fillId="0" borderId="7" xfId="0" applyBorder="1" applyProtection="1">
      <protection locked="0"/>
    </xf>
    <xf numFmtId="0" fontId="0" fillId="0" borderId="28" xfId="0" applyBorder="1" applyProtection="1">
      <protection locked="0"/>
    </xf>
    <xf numFmtId="0" fontId="23" fillId="0" borderId="29" xfId="5" applyFont="1" applyBorder="1" applyAlignment="1" applyProtection="1">
      <alignment horizontal="center" vertical="center" textRotation="255"/>
      <protection locked="0"/>
    </xf>
    <xf numFmtId="0" fontId="0" fillId="0" borderId="70" xfId="0" applyBorder="1" applyProtection="1"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0" fillId="4" borderId="35" xfId="5" applyFont="1" applyFill="1" applyBorder="1" applyAlignment="1" applyProtection="1">
      <alignment horizontal="center" vertical="center"/>
      <protection locked="0"/>
    </xf>
    <xf numFmtId="0" fontId="52" fillId="4" borderId="41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47" fillId="0" borderId="34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1" fontId="4" fillId="0" borderId="18" xfId="0" applyNumberFormat="1" applyFont="1" applyBorder="1" applyAlignment="1" applyProtection="1">
      <alignment horizontal="center" vertical="center"/>
      <protection locked="0"/>
    </xf>
    <xf numFmtId="177" fontId="36" fillId="0" borderId="44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41" fontId="47" fillId="0" borderId="18" xfId="0" applyNumberFormat="1" applyFont="1" applyBorder="1" applyAlignment="1" applyProtection="1">
      <alignment horizontal="center" vertical="center"/>
      <protection locked="0"/>
    </xf>
    <xf numFmtId="0" fontId="23" fillId="4" borderId="29" xfId="5" applyFont="1" applyFill="1" applyBorder="1" applyAlignment="1" applyProtection="1">
      <alignment horizontal="center" vertical="center" textRotation="255"/>
      <protection locked="0"/>
    </xf>
    <xf numFmtId="0" fontId="23" fillId="4" borderId="35" xfId="5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Protection="1">
      <protection locked="0"/>
    </xf>
    <xf numFmtId="0" fontId="0" fillId="0" borderId="71" xfId="0" applyBorder="1" applyProtection="1">
      <protection locked="0"/>
    </xf>
    <xf numFmtId="0" fontId="44" fillId="4" borderId="0" xfId="0" applyFont="1" applyFill="1" applyAlignment="1" applyProtection="1">
      <alignment horizontal="left" vertical="center" wrapText="1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47" fillId="0" borderId="32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43" fillId="0" borderId="45" xfId="0" applyFont="1" applyBorder="1" applyAlignment="1" applyProtection="1">
      <alignment horizontal="center" vertical="center"/>
      <protection locked="0"/>
    </xf>
    <xf numFmtId="41" fontId="10" fillId="4" borderId="42" xfId="0" applyNumberFormat="1" applyFont="1" applyFill="1" applyBorder="1" applyAlignment="1">
      <alignment horizontal="center" vertical="center"/>
    </xf>
    <xf numFmtId="0" fontId="0" fillId="0" borderId="39" xfId="0" applyBorder="1"/>
    <xf numFmtId="0" fontId="0" fillId="16" borderId="0" xfId="0" applyFill="1" applyAlignment="1">
      <alignment horizontal="center" vertical="center"/>
    </xf>
    <xf numFmtId="41" fontId="47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0" fillId="0" borderId="21" xfId="0" applyBorder="1"/>
    <xf numFmtId="0" fontId="0" fillId="0" borderId="7" xfId="0" applyBorder="1"/>
    <xf numFmtId="177" fontId="4" fillId="0" borderId="1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0" fillId="0" borderId="69" xfId="0" applyBorder="1"/>
    <xf numFmtId="0" fontId="0" fillId="0" borderId="51" xfId="0" applyBorder="1"/>
    <xf numFmtId="177" fontId="41" fillId="7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6" xfId="0" applyNumberFormat="1" applyFont="1" applyBorder="1" applyAlignment="1">
      <alignment horizontal="center" vertical="center"/>
    </xf>
    <xf numFmtId="0" fontId="23" fillId="0" borderId="4" xfId="5" applyFon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23" fillId="0" borderId="1" xfId="5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23" fillId="0" borderId="35" xfId="5" applyFont="1" applyBorder="1" applyAlignment="1" applyProtection="1">
      <alignment horizontal="center" vertical="center"/>
      <protection locked="0"/>
    </xf>
    <xf numFmtId="41" fontId="0" fillId="1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7" fillId="0" borderId="0" xfId="0" applyFont="1" applyProtection="1">
      <protection locked="0"/>
    </xf>
    <xf numFmtId="41" fontId="0" fillId="9" borderId="0" xfId="0" applyNumberFormat="1" applyFill="1" applyAlignment="1">
      <alignment horizontal="center"/>
    </xf>
    <xf numFmtId="0" fontId="43" fillId="0" borderId="35" xfId="0" applyFont="1" applyBorder="1" applyAlignment="1" applyProtection="1">
      <alignment horizontal="center" vertical="center"/>
      <protection locked="0"/>
    </xf>
    <xf numFmtId="0" fontId="61" fillId="0" borderId="45" xfId="0" applyFont="1" applyBorder="1" applyAlignment="1" applyProtection="1">
      <alignment horizontal="center" vertical="center" wrapText="1"/>
      <protection locked="0"/>
    </xf>
    <xf numFmtId="0" fontId="0" fillId="0" borderId="58" xfId="0" applyBorder="1" applyProtection="1">
      <protection locked="0"/>
    </xf>
    <xf numFmtId="0" fontId="55" fillId="2" borderId="0" xfId="0" applyFont="1" applyFill="1" applyAlignment="1" applyProtection="1">
      <alignment horizontal="left" vertical="center"/>
      <protection locked="0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41" fontId="10" fillId="0" borderId="1" xfId="0" applyNumberFormat="1" applyFont="1" applyBorder="1" applyAlignment="1" applyProtection="1">
      <alignment horizontal="center" vertical="center"/>
      <protection locked="0"/>
    </xf>
    <xf numFmtId="41" fontId="10" fillId="4" borderId="42" xfId="0" applyNumberFormat="1" applyFont="1" applyFill="1" applyBorder="1" applyAlignment="1" applyProtection="1">
      <alignment horizontal="center" vertical="center"/>
      <protection locked="0"/>
    </xf>
    <xf numFmtId="0" fontId="57" fillId="9" borderId="45" xfId="5" applyFont="1" applyFill="1" applyBorder="1" applyAlignment="1" applyProtection="1">
      <alignment horizontal="center" vertical="center" textRotation="255"/>
      <protection locked="0"/>
    </xf>
    <xf numFmtId="41" fontId="19" fillId="9" borderId="0" xfId="0" applyNumberFormat="1" applyFont="1" applyFill="1" applyAlignment="1">
      <alignment horizontal="center"/>
    </xf>
    <xf numFmtId="0" fontId="23" fillId="4" borderId="34" xfId="5" applyFont="1" applyFill="1" applyBorder="1" applyAlignment="1" applyProtection="1">
      <alignment horizontal="center" vertical="center"/>
      <protection locked="0"/>
    </xf>
    <xf numFmtId="0" fontId="10" fillId="9" borderId="59" xfId="0" applyFont="1" applyFill="1" applyBorder="1" applyAlignment="1" applyProtection="1">
      <alignment horizontal="left" vertical="center" wrapText="1"/>
      <protection locked="0"/>
    </xf>
    <xf numFmtId="0" fontId="60" fillId="0" borderId="1" xfId="0" applyFont="1" applyBorder="1" applyAlignment="1" applyProtection="1">
      <alignment horizontal="center" vertical="center" wrapText="1"/>
      <protection locked="0"/>
    </xf>
    <xf numFmtId="0" fontId="43" fillId="11" borderId="35" xfId="0" applyFont="1" applyFill="1" applyBorder="1" applyAlignment="1" applyProtection="1">
      <alignment horizontal="center" vertical="center"/>
      <protection locked="0"/>
    </xf>
    <xf numFmtId="41" fontId="4" fillId="0" borderId="13" xfId="0" applyNumberFormat="1" applyFont="1" applyBorder="1" applyAlignment="1" applyProtection="1">
      <alignment horizontal="center" vertical="center"/>
      <protection locked="0"/>
    </xf>
    <xf numFmtId="0" fontId="37" fillId="11" borderId="0" xfId="0" applyFont="1" applyFill="1" applyAlignment="1">
      <alignment horizontal="center" vertical="center"/>
    </xf>
    <xf numFmtId="0" fontId="47" fillId="0" borderId="0" xfId="0" applyFont="1" applyAlignment="1" applyProtection="1">
      <alignment vertical="center"/>
      <protection locked="0"/>
    </xf>
    <xf numFmtId="41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41" fontId="37" fillId="11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41" fontId="13" fillId="10" borderId="1" xfId="0" applyNumberFormat="1" applyFont="1" applyFill="1" applyBorder="1" applyAlignment="1" applyProtection="1">
      <alignment horizontal="center" vertical="center"/>
      <protection locked="0"/>
    </xf>
    <xf numFmtId="0" fontId="57" fillId="11" borderId="45" xfId="5" applyFont="1" applyFill="1" applyBorder="1" applyAlignment="1" applyProtection="1">
      <alignment horizontal="center" vertical="center" textRotation="255"/>
      <protection locked="0"/>
    </xf>
    <xf numFmtId="41" fontId="37" fillId="11" borderId="1" xfId="0" applyNumberFormat="1" applyFont="1" applyFill="1" applyBorder="1" applyAlignment="1" applyProtection="1">
      <alignment horizontal="center" vertical="center"/>
      <protection locked="0"/>
    </xf>
    <xf numFmtId="0" fontId="60" fillId="11" borderId="1" xfId="0" applyFont="1" applyFill="1" applyBorder="1" applyAlignment="1" applyProtection="1">
      <alignment horizontal="center" vertical="center" wrapText="1"/>
      <protection locked="0"/>
    </xf>
    <xf numFmtId="0" fontId="10" fillId="11" borderId="59" xfId="0" applyFont="1" applyFill="1" applyBorder="1" applyAlignment="1" applyProtection="1">
      <alignment horizontal="left" vertical="center" wrapText="1"/>
      <protection locked="0"/>
    </xf>
    <xf numFmtId="0" fontId="4" fillId="11" borderId="34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Protection="1">
      <protection locked="0"/>
    </xf>
    <xf numFmtId="0" fontId="0" fillId="0" borderId="53" xfId="0" applyBorder="1" applyProtection="1">
      <protection locked="0"/>
    </xf>
    <xf numFmtId="41" fontId="37" fillId="11" borderId="13" xfId="0" applyNumberFormat="1" applyFont="1" applyFill="1" applyBorder="1" applyAlignment="1" applyProtection="1">
      <alignment horizontal="center" vertical="center"/>
      <protection locked="0"/>
    </xf>
    <xf numFmtId="0" fontId="10" fillId="11" borderId="4" xfId="0" applyFont="1" applyFill="1" applyBorder="1" applyAlignment="1" applyProtection="1">
      <alignment horizontal="center" vertical="center"/>
      <protection locked="0"/>
    </xf>
    <xf numFmtId="0" fontId="58" fillId="10" borderId="1" xfId="6" applyFont="1" applyFill="1" applyBorder="1" applyAlignment="1" applyProtection="1">
      <alignment horizontal="center" vertical="center"/>
      <protection locked="0"/>
    </xf>
    <xf numFmtId="41" fontId="10" fillId="0" borderId="10" xfId="0" applyNumberFormat="1" applyFont="1" applyBorder="1" applyAlignment="1" applyProtection="1">
      <alignment horizontal="center" vertical="center"/>
      <protection locked="0"/>
    </xf>
    <xf numFmtId="0" fontId="10" fillId="11" borderId="41" xfId="0" applyFont="1" applyFill="1" applyBorder="1" applyAlignment="1" applyProtection="1">
      <alignment horizontal="center" vertical="center" wrapText="1"/>
      <protection locked="0"/>
    </xf>
    <xf numFmtId="0" fontId="23" fillId="4" borderId="45" xfId="5" applyFont="1" applyFill="1" applyBorder="1" applyAlignment="1" applyProtection="1">
      <alignment horizontal="center" vertical="center" textRotation="255"/>
      <protection locked="0"/>
    </xf>
    <xf numFmtId="41" fontId="10" fillId="11" borderId="42" xfId="0" applyNumberFormat="1" applyFont="1" applyFill="1" applyBorder="1" applyAlignment="1" applyProtection="1">
      <alignment horizontal="center" vertical="center"/>
      <protection locked="0"/>
    </xf>
    <xf numFmtId="0" fontId="10" fillId="11" borderId="2" xfId="0" applyFont="1" applyFill="1" applyBorder="1" applyAlignment="1" applyProtection="1">
      <alignment horizontal="center" vertical="center" wrapText="1"/>
      <protection locked="0"/>
    </xf>
    <xf numFmtId="0" fontId="23" fillId="0" borderId="45" xfId="5" applyFont="1" applyBorder="1" applyAlignment="1" applyProtection="1">
      <alignment horizontal="center" vertical="center" textRotation="255"/>
      <protection locked="0"/>
    </xf>
    <xf numFmtId="41" fontId="9" fillId="11" borderId="38" xfId="0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horizontal="center" vertical="center"/>
      <protection locked="0"/>
    </xf>
    <xf numFmtId="0" fontId="33" fillId="10" borderId="1" xfId="6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41" fontId="4" fillId="11" borderId="2" xfId="0" applyNumberFormat="1" applyFont="1" applyFill="1" applyBorder="1" applyAlignment="1" applyProtection="1">
      <alignment horizontal="center" vertical="center"/>
      <protection locked="0"/>
    </xf>
    <xf numFmtId="41" fontId="10" fillId="0" borderId="13" xfId="0" applyNumberFormat="1" applyFont="1" applyBorder="1" applyAlignment="1" applyProtection="1">
      <alignment horizontal="center" vertical="center"/>
      <protection locked="0"/>
    </xf>
    <xf numFmtId="41" fontId="37" fillId="0" borderId="1" xfId="0" applyNumberFormat="1" applyFont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41" fontId="4" fillId="0" borderId="7" xfId="0" applyNumberFormat="1" applyFont="1" applyBorder="1" applyAlignment="1" applyProtection="1">
      <alignment horizontal="center" vertical="center"/>
      <protection locked="0"/>
    </xf>
    <xf numFmtId="41" fontId="4" fillId="0" borderId="17" xfId="0" applyNumberFormat="1" applyFont="1" applyBorder="1" applyAlignment="1" applyProtection="1">
      <alignment horizontal="center" vertical="center"/>
      <protection locked="0"/>
    </xf>
    <xf numFmtId="0" fontId="25" fillId="10" borderId="34" xfId="5" applyFont="1" applyFill="1" applyBorder="1" applyAlignment="1" applyProtection="1">
      <alignment horizontal="center" vertical="center"/>
      <protection locked="0"/>
    </xf>
    <xf numFmtId="41" fontId="13" fillId="11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41" xfId="0" applyFont="1" applyFill="1" applyBorder="1" applyAlignment="1" applyProtection="1">
      <alignment horizontal="center" vertical="center" wrapText="1"/>
      <protection locked="0"/>
    </xf>
    <xf numFmtId="0" fontId="61" fillId="11" borderId="45" xfId="0" applyFont="1" applyFill="1" applyBorder="1" applyAlignment="1" applyProtection="1">
      <alignment horizontal="center" vertical="center" wrapText="1"/>
      <protection locked="0"/>
    </xf>
    <xf numFmtId="41" fontId="9" fillId="0" borderId="38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20" fillId="11" borderId="29" xfId="0" applyFont="1" applyFill="1" applyBorder="1" applyAlignment="1" applyProtection="1">
      <alignment horizontal="center" vertical="center" textRotation="255"/>
      <protection locked="0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6" fillId="8" borderId="1" xfId="1" applyFont="1" applyFill="1" applyBorder="1" applyAlignment="1">
      <alignment horizontal="center" vertical="center" wrapText="1"/>
    </xf>
    <xf numFmtId="0" fontId="29" fillId="8" borderId="16" xfId="1" applyFont="1" applyFill="1" applyBorder="1" applyAlignment="1" applyProtection="1">
      <alignment horizontal="center" vertical="center" wrapText="1"/>
      <protection locked="0"/>
    </xf>
    <xf numFmtId="0" fontId="32" fillId="8" borderId="1" xfId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15" fillId="0" borderId="19" xfId="1" applyFont="1" applyBorder="1" applyAlignment="1" applyProtection="1">
      <alignment horizontal="center" wrapText="1"/>
      <protection locked="0"/>
    </xf>
    <xf numFmtId="0" fontId="0" fillId="0" borderId="19" xfId="0" applyBorder="1" applyProtection="1">
      <protection locked="0"/>
    </xf>
    <xf numFmtId="0" fontId="29" fillId="8" borderId="1" xfId="1" applyFont="1" applyFill="1" applyBorder="1" applyAlignment="1" applyProtection="1">
      <alignment horizontal="center" vertical="center" wrapText="1"/>
      <protection locked="0"/>
    </xf>
    <xf numFmtId="0" fontId="42" fillId="0" borderId="60" xfId="0" applyFont="1" applyBorder="1" applyAlignment="1" applyProtection="1">
      <alignment horizontal="center" vertical="top" wrapText="1"/>
      <protection hidden="1"/>
    </xf>
    <xf numFmtId="0" fontId="0" fillId="0" borderId="60" xfId="0" applyBorder="1" applyProtection="1">
      <protection hidden="1"/>
    </xf>
    <xf numFmtId="0" fontId="62" fillId="0" borderId="22" xfId="0" applyFont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62" fillId="0" borderId="22" xfId="0" applyFont="1" applyBorder="1" applyAlignment="1" applyProtection="1">
      <alignment horizontal="left" wrapText="1"/>
      <protection hidden="1"/>
    </xf>
    <xf numFmtId="0" fontId="0" fillId="0" borderId="2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5" xfId="0" applyBorder="1" applyProtection="1">
      <protection locked="0"/>
    </xf>
    <xf numFmtId="0" fontId="23" fillId="9" borderId="35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0" fillId="0" borderId="13" xfId="0" applyBorder="1" applyProtection="1">
      <protection locked="0"/>
    </xf>
  </cellXfs>
  <cellStyles count="11">
    <cellStyle name="一般" xfId="0" builtinId="0"/>
    <cellStyle name="一般 2" xfId="4" xr:uid="{00000000-0005-0000-0000-000001000000}"/>
    <cellStyle name="一般 3" xfId="1" xr:uid="{00000000-0005-0000-0000-000002000000}"/>
    <cellStyle name="一般 4" xfId="8" xr:uid="{00000000-0005-0000-0000-000003000000}"/>
    <cellStyle name="一般 4 2" xfId="6" xr:uid="{00000000-0005-0000-0000-000004000000}"/>
    <cellStyle name="一般 5" xfId="5" xr:uid="{00000000-0005-0000-0000-000005000000}"/>
    <cellStyle name="一般 5 2" xfId="9" xr:uid="{00000000-0005-0000-0000-000006000000}"/>
    <cellStyle name="一般 6" xfId="7" xr:uid="{00000000-0005-0000-0000-000007000000}"/>
    <cellStyle name="千分位 2" xfId="3" xr:uid="{00000000-0005-0000-0000-000008000000}"/>
    <cellStyle name="千分位 3" xfId="10" xr:uid="{00000000-0005-0000-0000-000009000000}"/>
    <cellStyle name="百分比 2" xfId="2" xr:uid="{00000000-0005-0000-0000-00000A000000}"/>
  </cellStyles>
  <dxfs count="24"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5"/>
  <sheetViews>
    <sheetView tabSelected="1" topLeftCell="A7" zoomScale="110" zoomScaleNormal="110" workbookViewId="0">
      <selection activeCell="N18" sqref="N18"/>
    </sheetView>
  </sheetViews>
  <sheetFormatPr defaultRowHeight="14.25" x14ac:dyDescent="0.25"/>
  <cols>
    <col min="1" max="1" width="9.1640625" style="4" customWidth="1"/>
    <col min="2" max="2" width="13.6640625" style="4" customWidth="1"/>
    <col min="3" max="19" width="11.1640625" style="4" customWidth="1"/>
    <col min="20" max="22" width="16.1640625" style="4" customWidth="1"/>
    <col min="23" max="23" width="4.83203125" customWidth="1"/>
    <col min="25" max="25" width="6.6640625" bestFit="1" customWidth="1"/>
    <col min="26" max="26" width="12.1640625" bestFit="1" customWidth="1"/>
  </cols>
  <sheetData>
    <row r="1" spans="1:38" ht="30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N1" s="302" t="s">
        <v>1</v>
      </c>
      <c r="O1" s="253"/>
      <c r="P1" s="253"/>
      <c r="Q1" s="253"/>
      <c r="R1" s="253"/>
      <c r="S1" s="253"/>
      <c r="T1" s="253"/>
      <c r="U1" s="253"/>
      <c r="V1" s="253"/>
    </row>
    <row r="2" spans="1:38" ht="30" customHeight="1" x14ac:dyDescent="0.25">
      <c r="A2" s="124" t="s">
        <v>2</v>
      </c>
      <c r="B2" s="124"/>
      <c r="C2" s="124"/>
      <c r="D2" s="124"/>
      <c r="E2" s="124"/>
      <c r="F2" s="124"/>
      <c r="G2" s="124"/>
      <c r="H2" s="124"/>
      <c r="I2" s="124"/>
      <c r="J2" s="124"/>
      <c r="N2" s="253"/>
      <c r="O2" s="253"/>
      <c r="P2" s="253"/>
      <c r="Q2" s="253"/>
      <c r="R2" s="253"/>
      <c r="S2" s="253"/>
      <c r="T2" s="253"/>
      <c r="U2" s="253"/>
      <c r="V2" s="253"/>
    </row>
    <row r="3" spans="1:38" ht="14.2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38" ht="30.75" customHeight="1" thickBot="1" x14ac:dyDescent="0.3">
      <c r="A4" s="261" t="s">
        <v>146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</row>
    <row r="5" spans="1:38" s="2" customFormat="1" ht="30" customHeight="1" x14ac:dyDescent="0.25">
      <c r="A5" s="283" t="s">
        <v>4</v>
      </c>
      <c r="B5" s="331" t="s">
        <v>5</v>
      </c>
      <c r="C5" s="255"/>
      <c r="D5" s="255"/>
      <c r="E5" s="270"/>
      <c r="F5" s="275"/>
      <c r="G5" s="255"/>
      <c r="H5" s="255"/>
      <c r="I5" s="255"/>
      <c r="J5" s="255"/>
      <c r="K5" s="255"/>
      <c r="L5" s="256"/>
      <c r="M5" s="4"/>
      <c r="N5" s="296" t="s">
        <v>6</v>
      </c>
      <c r="O5" s="286" t="s">
        <v>7</v>
      </c>
      <c r="P5" s="255"/>
      <c r="Q5" s="255"/>
      <c r="R5" s="255"/>
      <c r="S5" s="270"/>
      <c r="T5" s="297" t="s">
        <v>8</v>
      </c>
      <c r="U5" s="255"/>
      <c r="V5" s="270"/>
    </row>
    <row r="6" spans="1:38" s="2" customFormat="1" ht="30" customHeight="1" x14ac:dyDescent="0.25">
      <c r="A6" s="242"/>
      <c r="B6" s="276" t="s">
        <v>9</v>
      </c>
      <c r="C6" s="278"/>
      <c r="D6" s="278"/>
      <c r="E6" s="265"/>
      <c r="F6" s="276" t="s">
        <v>10</v>
      </c>
      <c r="G6" s="265"/>
      <c r="H6" s="276" t="s">
        <v>11</v>
      </c>
      <c r="I6" s="265"/>
      <c r="J6" s="276" t="s">
        <v>12</v>
      </c>
      <c r="K6" s="265"/>
      <c r="L6" s="32" t="s">
        <v>13</v>
      </c>
      <c r="M6" s="4"/>
      <c r="N6" s="242"/>
      <c r="O6" s="276" t="s">
        <v>14</v>
      </c>
      <c r="P6" s="278"/>
      <c r="Q6" s="265"/>
      <c r="R6" s="264">
        <v>0</v>
      </c>
      <c r="S6" s="265"/>
      <c r="T6" s="52" t="s">
        <v>15</v>
      </c>
      <c r="U6" s="53" t="s">
        <v>16</v>
      </c>
      <c r="V6" s="32" t="s">
        <v>17</v>
      </c>
    </row>
    <row r="7" spans="1:38" s="2" customFormat="1" ht="30" customHeight="1" x14ac:dyDescent="0.25">
      <c r="A7" s="242"/>
      <c r="B7" s="276" t="s">
        <v>18</v>
      </c>
      <c r="C7" s="278"/>
      <c r="D7" s="278"/>
      <c r="E7" s="265"/>
      <c r="F7" s="264">
        <v>0</v>
      </c>
      <c r="G7" s="265"/>
      <c r="H7" s="264">
        <v>0</v>
      </c>
      <c r="I7" s="265"/>
      <c r="J7" s="264">
        <v>0</v>
      </c>
      <c r="K7" s="265"/>
      <c r="L7" s="33">
        <f>SUM(F7:K7)</f>
        <v>0</v>
      </c>
      <c r="M7" s="4"/>
      <c r="N7" s="242"/>
      <c r="O7" s="276" t="s">
        <v>19</v>
      </c>
      <c r="P7" s="278"/>
      <c r="Q7" s="278"/>
      <c r="R7" s="278"/>
      <c r="S7" s="265"/>
      <c r="T7" s="54">
        <f>'(必填)花東B表'!F61</f>
        <v>0</v>
      </c>
      <c r="U7" s="54">
        <f>'(必填)花東B表'!G61</f>
        <v>0</v>
      </c>
      <c r="V7" s="33">
        <f>SUM(T7:U7)</f>
        <v>0</v>
      </c>
    </row>
    <row r="8" spans="1:38" s="2" customFormat="1" ht="30" customHeight="1" x14ac:dyDescent="0.25">
      <c r="A8" s="242"/>
      <c r="B8" s="329" t="s">
        <v>20</v>
      </c>
      <c r="C8" s="278"/>
      <c r="D8" s="278"/>
      <c r="E8" s="265"/>
      <c r="F8" s="279">
        <v>0</v>
      </c>
      <c r="G8" s="265"/>
      <c r="H8" s="279">
        <v>0</v>
      </c>
      <c r="I8" s="265"/>
      <c r="J8" s="279">
        <v>0</v>
      </c>
      <c r="K8" s="265"/>
      <c r="L8" s="33">
        <f>SUM(F8:K8)</f>
        <v>0</v>
      </c>
      <c r="M8" s="4"/>
      <c r="N8" s="242"/>
      <c r="O8" s="276" t="s">
        <v>21</v>
      </c>
      <c r="P8" s="265"/>
      <c r="Q8" s="276" t="s">
        <v>22</v>
      </c>
      <c r="R8" s="265"/>
      <c r="S8" s="52" t="s">
        <v>17</v>
      </c>
      <c r="T8" s="55" t="s">
        <v>23</v>
      </c>
      <c r="U8" s="55" t="s">
        <v>24</v>
      </c>
      <c r="V8" s="32" t="s">
        <v>17</v>
      </c>
    </row>
    <row r="9" spans="1:38" s="2" customFormat="1" ht="30" customHeight="1" thickBot="1" x14ac:dyDescent="0.3">
      <c r="A9" s="284"/>
      <c r="B9" s="327" t="s">
        <v>25</v>
      </c>
      <c r="C9" s="328"/>
      <c r="D9" s="328"/>
      <c r="E9" s="251"/>
      <c r="F9" s="250">
        <f>F7-F8</f>
        <v>0</v>
      </c>
      <c r="G9" s="251"/>
      <c r="H9" s="250">
        <f>H7-H8</f>
        <v>0</v>
      </c>
      <c r="I9" s="251"/>
      <c r="J9" s="250">
        <f>J7-J8</f>
        <v>0</v>
      </c>
      <c r="K9" s="251"/>
      <c r="L9" s="34">
        <f>SUM(F9:K9)</f>
        <v>0</v>
      </c>
      <c r="M9" s="4"/>
      <c r="N9" s="284"/>
      <c r="O9" s="274"/>
      <c r="P9" s="251"/>
      <c r="Q9" s="274"/>
      <c r="R9" s="251"/>
      <c r="S9" s="78">
        <f>SUM(O9:R9)</f>
        <v>0</v>
      </c>
      <c r="T9" s="36">
        <f>'(必填)花東B表'!D61</f>
        <v>0</v>
      </c>
      <c r="U9" s="36">
        <f>'(必填)花東B表'!E61</f>
        <v>0</v>
      </c>
      <c r="V9" s="34">
        <f>SUM(T9:U9)</f>
        <v>0</v>
      </c>
    </row>
    <row r="10" spans="1:38" ht="11.25" customHeight="1" thickBot="1" x14ac:dyDescent="0.3">
      <c r="C10" s="38"/>
      <c r="E10" s="39"/>
      <c r="F10" s="40"/>
      <c r="G10" s="41"/>
      <c r="H10" s="39"/>
      <c r="I10" s="39"/>
      <c r="J10" s="39"/>
      <c r="K10" s="39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38" ht="16.5" customHeight="1" x14ac:dyDescent="0.25">
      <c r="A11" s="285" t="s">
        <v>26</v>
      </c>
      <c r="B11" s="278"/>
      <c r="C11" s="303" t="s">
        <v>27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20" t="s">
        <v>28</v>
      </c>
      <c r="N11" s="419"/>
      <c r="O11" s="419"/>
      <c r="P11" s="419"/>
      <c r="Q11" s="419"/>
      <c r="R11" s="419"/>
      <c r="S11" s="421"/>
      <c r="T11" s="271" t="s">
        <v>29</v>
      </c>
      <c r="U11" s="305" t="s">
        <v>30</v>
      </c>
      <c r="V11" s="287" t="s">
        <v>31</v>
      </c>
      <c r="Z11" s="243" t="s">
        <v>32</v>
      </c>
      <c r="AA11" s="244"/>
      <c r="AB11" s="244"/>
      <c r="AC11" s="244"/>
      <c r="AD11" s="244"/>
      <c r="AE11" s="244"/>
      <c r="AF11" s="244"/>
      <c r="AG11" s="244"/>
    </row>
    <row r="12" spans="1:38" ht="27.75" customHeight="1" x14ac:dyDescent="0.25">
      <c r="A12" s="280" t="s">
        <v>33</v>
      </c>
      <c r="B12" s="417"/>
      <c r="C12" s="307" t="s">
        <v>34</v>
      </c>
      <c r="D12" s="418"/>
      <c r="E12" s="245" t="s">
        <v>35</v>
      </c>
      <c r="F12" s="418"/>
      <c r="G12" s="245" t="s">
        <v>36</v>
      </c>
      <c r="H12" s="418"/>
      <c r="I12" s="245" t="s">
        <v>37</v>
      </c>
      <c r="J12" s="418"/>
      <c r="K12" s="245" t="s">
        <v>38</v>
      </c>
      <c r="L12" s="418"/>
      <c r="M12" s="218" t="s">
        <v>39</v>
      </c>
      <c r="N12" s="218" t="s">
        <v>40</v>
      </c>
      <c r="O12" s="218" t="s">
        <v>41</v>
      </c>
      <c r="P12" s="340" t="s">
        <v>42</v>
      </c>
      <c r="Q12" s="418"/>
      <c r="R12" s="418"/>
      <c r="S12" s="422"/>
      <c r="T12" s="272"/>
      <c r="U12" s="282"/>
      <c r="V12" s="288"/>
      <c r="Y12" s="84"/>
      <c r="Z12" s="332" t="s">
        <v>43</v>
      </c>
      <c r="AA12" s="244"/>
      <c r="AB12" s="333" t="s">
        <v>44</v>
      </c>
      <c r="AC12" s="244"/>
      <c r="AD12" s="315" t="s">
        <v>45</v>
      </c>
      <c r="AE12" s="244"/>
      <c r="AF12" s="273" t="s">
        <v>46</v>
      </c>
      <c r="AG12" s="244"/>
      <c r="AH12" s="330" t="s">
        <v>47</v>
      </c>
      <c r="AI12" s="244"/>
    </row>
    <row r="13" spans="1:38" ht="30" customHeight="1" x14ac:dyDescent="0.25">
      <c r="A13" s="282"/>
      <c r="B13" s="409"/>
      <c r="C13" s="44" t="s">
        <v>48</v>
      </c>
      <c r="D13" s="37" t="s">
        <v>49</v>
      </c>
      <c r="E13" s="37" t="s">
        <v>48</v>
      </c>
      <c r="F13" s="37" t="s">
        <v>49</v>
      </c>
      <c r="G13" s="37" t="s">
        <v>48</v>
      </c>
      <c r="H13" s="37" t="s">
        <v>49</v>
      </c>
      <c r="I13" s="37" t="s">
        <v>48</v>
      </c>
      <c r="J13" s="37" t="s">
        <v>49</v>
      </c>
      <c r="K13" s="37" t="s">
        <v>48</v>
      </c>
      <c r="L13" s="37" t="s">
        <v>49</v>
      </c>
      <c r="M13" s="42" t="s">
        <v>48</v>
      </c>
      <c r="N13" s="42" t="s">
        <v>48</v>
      </c>
      <c r="O13" s="42" t="s">
        <v>48</v>
      </c>
      <c r="P13" s="42" t="s">
        <v>50</v>
      </c>
      <c r="Q13" s="42" t="s">
        <v>51</v>
      </c>
      <c r="R13" s="42" t="s">
        <v>52</v>
      </c>
      <c r="S13" s="43" t="s">
        <v>53</v>
      </c>
      <c r="T13" s="81" t="s">
        <v>54</v>
      </c>
      <c r="U13" s="50" t="s">
        <v>55</v>
      </c>
      <c r="V13" s="51" t="s">
        <v>56</v>
      </c>
      <c r="Y13" s="1"/>
      <c r="Z13" s="84" t="s">
        <v>57</v>
      </c>
      <c r="AA13" s="85" t="s">
        <v>58</v>
      </c>
      <c r="AB13" s="84" t="s">
        <v>57</v>
      </c>
      <c r="AC13" s="85" t="s">
        <v>58</v>
      </c>
      <c r="AD13" s="84" t="s">
        <v>57</v>
      </c>
      <c r="AE13" s="85" t="s">
        <v>58</v>
      </c>
      <c r="AF13" s="84" t="s">
        <v>57</v>
      </c>
      <c r="AG13" s="85" t="s">
        <v>58</v>
      </c>
      <c r="AH13" s="84" t="s">
        <v>57</v>
      </c>
      <c r="AI13" s="85" t="s">
        <v>58</v>
      </c>
    </row>
    <row r="14" spans="1:38" ht="21" customHeight="1" x14ac:dyDescent="0.25">
      <c r="A14" s="298" t="s">
        <v>10</v>
      </c>
      <c r="B14" s="56" t="s">
        <v>59</v>
      </c>
      <c r="C14" s="94" t="s">
        <v>59</v>
      </c>
      <c r="D14" s="216" t="s">
        <v>59</v>
      </c>
      <c r="E14" s="216" t="s">
        <v>59</v>
      </c>
      <c r="F14" s="216" t="s">
        <v>59</v>
      </c>
      <c r="G14" s="216" t="s">
        <v>59</v>
      </c>
      <c r="H14" s="216" t="s">
        <v>59</v>
      </c>
      <c r="I14" s="216" t="s">
        <v>59</v>
      </c>
      <c r="J14" s="216" t="s">
        <v>59</v>
      </c>
      <c r="K14" s="216" t="s">
        <v>59</v>
      </c>
      <c r="L14" s="216" t="s">
        <v>59</v>
      </c>
      <c r="M14" s="216" t="s">
        <v>59</v>
      </c>
      <c r="N14" s="216" t="s">
        <v>59</v>
      </c>
      <c r="O14" s="216" t="s">
        <v>59</v>
      </c>
      <c r="P14" s="95" t="s">
        <v>59</v>
      </c>
      <c r="Q14" s="95" t="s">
        <v>59</v>
      </c>
      <c r="R14" s="216" t="s">
        <v>59</v>
      </c>
      <c r="S14" s="217" t="s">
        <v>59</v>
      </c>
      <c r="T14" s="291">
        <f>SUM(C15:S15)</f>
        <v>0</v>
      </c>
      <c r="U14" s="248">
        <f>T14*F9</f>
        <v>0</v>
      </c>
      <c r="V14" s="313">
        <f>T14*F8</f>
        <v>0</v>
      </c>
      <c r="Y14" s="254" t="s">
        <v>61</v>
      </c>
      <c r="Z14" s="243">
        <f>SUMIF(C14:S14,"康軒",C15:S15)*F9</f>
        <v>0</v>
      </c>
      <c r="AA14" s="260">
        <f>SUMIF(C14:S14,"康軒",C15:S15)*F8</f>
        <v>0</v>
      </c>
      <c r="AB14" s="243">
        <f>SUMIF(C14:S14,"翰林",C15:S15)*F9+AK15</f>
        <v>0</v>
      </c>
      <c r="AC14" s="260">
        <f>SUMIF(C14:S14,"翰林",C15:S15)*F8+AL15</f>
        <v>0</v>
      </c>
      <c r="AD14" s="243">
        <f>SUMIF(C14:S14,"南一",C15:S15)*F9</f>
        <v>0</v>
      </c>
      <c r="AE14" s="260">
        <f>SUMIF(C14:S14,"南一",C15:S15)*F8</f>
        <v>0</v>
      </c>
      <c r="AF14" s="243">
        <f>SUMIF(C14:S14,"奇鼎",C15:S15)*F9</f>
        <v>0</v>
      </c>
      <c r="AG14" s="260">
        <f>SUMIF(C14:S14,"奇鼎",C15:S15)*F8</f>
        <v>0</v>
      </c>
      <c r="AH14" s="243">
        <f>SUMIF(C14:S14,"全華",C15:S15)*F9</f>
        <v>0</v>
      </c>
      <c r="AI14" s="260">
        <f>SUMIF(C14:S14,"全華",C15:S15)*F8</f>
        <v>0</v>
      </c>
      <c r="AJ14" s="90"/>
      <c r="AK14" s="84" t="s">
        <v>57</v>
      </c>
      <c r="AL14" s="85" t="s">
        <v>58</v>
      </c>
    </row>
    <row r="15" spans="1:38" ht="21" customHeight="1" x14ac:dyDescent="0.25">
      <c r="A15" s="246"/>
      <c r="B15" s="56" t="s">
        <v>62</v>
      </c>
      <c r="C15" s="62" t="str">
        <f>VLOOKUP(C14,工作表3!$A$5:$AZ$11,2,FALSE)</f>
        <v>金額</v>
      </c>
      <c r="D15" s="63" t="str">
        <f>VLOOKUP(D14,工作表3!$A$5:$AZ$11,3,FALSE)</f>
        <v>金額</v>
      </c>
      <c r="E15" s="63" t="str">
        <f>VLOOKUP(E14,工作表3!$A$5:$AZ$11,4,FALSE)</f>
        <v>金額</v>
      </c>
      <c r="F15" s="63" t="str">
        <f>VLOOKUP(F14,工作表3!$A$5:$AZ$11,5,FALSE)</f>
        <v>金額</v>
      </c>
      <c r="G15" s="63" t="str">
        <f>VLOOKUP(G14,工作表3!$A$5:$AZ$11,6,FALSE)</f>
        <v>金額</v>
      </c>
      <c r="H15" s="63" t="str">
        <f>VLOOKUP(H14,工作表3!$A$5:$AZ$11,7,FALSE)</f>
        <v>金額</v>
      </c>
      <c r="I15" s="63" t="str">
        <f>VLOOKUP(I14,工作表3!$A$5:$AZ$11,8,FALSE)</f>
        <v>金額</v>
      </c>
      <c r="J15" s="63" t="str">
        <f>VLOOKUP(J14,工作表3!$A$5:$AZ$11,9,FALSE)</f>
        <v>金額</v>
      </c>
      <c r="K15" s="63" t="str">
        <f>VLOOKUP(K14,工作表3!$A$5:$AZ$11,10,FALSE)</f>
        <v>金額</v>
      </c>
      <c r="L15" s="63" t="str">
        <f>VLOOKUP(L14,工作表3!$A$5:$AZ$11,11,FALSE)</f>
        <v>金額</v>
      </c>
      <c r="M15" s="63" t="str">
        <f>VLOOKUP(M14,工作表3!$A$4:$AZ$11,12,FALSE)</f>
        <v>金額</v>
      </c>
      <c r="N15" s="63" t="str">
        <f>VLOOKUP(N14,工作表3!$A$4:$AZ$11,13,FALSE)</f>
        <v>金額</v>
      </c>
      <c r="O15" s="63" t="str">
        <f>VLOOKUP(O14,工作表3!$A$4:$AZ$11,14,FALSE)</f>
        <v>金額</v>
      </c>
      <c r="P15" s="63" t="str">
        <f>VLOOKUP(P14,工作表3!$A$4:$AZ$11,15,FALSE)</f>
        <v>金額</v>
      </c>
      <c r="Q15" s="63" t="str">
        <f>VLOOKUP(Q14,工作表3!$A$4:$AZ$11,16,FALSE)</f>
        <v>金額</v>
      </c>
      <c r="R15" s="63" t="str">
        <f>VLOOKUP(R14,工作表3!$A$4:$AZ$11,17,FALSE)</f>
        <v>金額</v>
      </c>
      <c r="S15" s="64" t="str">
        <f>VLOOKUP(S14,工作表3!$A$4:$AZ$11,18,FALSE)</f>
        <v>金額</v>
      </c>
      <c r="T15" s="272"/>
      <c r="U15" s="249"/>
      <c r="V15" s="314"/>
      <c r="Y15" s="253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92" t="s">
        <v>63</v>
      </c>
      <c r="AK15" s="90">
        <f>SUMIF(C14:S14,"佳音",C15:S15)*F9</f>
        <v>0</v>
      </c>
      <c r="AL15" s="91">
        <f>SUMIF(C14:S14,"佳音",C15:S15)*F8</f>
        <v>0</v>
      </c>
    </row>
    <row r="16" spans="1:38" ht="21" customHeight="1" x14ac:dyDescent="0.25">
      <c r="A16" s="245" t="s">
        <v>11</v>
      </c>
      <c r="B16" s="56" t="s">
        <v>59</v>
      </c>
      <c r="C16" s="94" t="s">
        <v>59</v>
      </c>
      <c r="D16" s="216" t="s">
        <v>59</v>
      </c>
      <c r="E16" s="216" t="s">
        <v>59</v>
      </c>
      <c r="F16" s="216" t="s">
        <v>59</v>
      </c>
      <c r="G16" s="216" t="s">
        <v>59</v>
      </c>
      <c r="H16" s="216" t="s">
        <v>59</v>
      </c>
      <c r="I16" s="216" t="s">
        <v>59</v>
      </c>
      <c r="J16" s="216" t="s">
        <v>59</v>
      </c>
      <c r="K16" s="216" t="s">
        <v>59</v>
      </c>
      <c r="L16" s="216" t="s">
        <v>59</v>
      </c>
      <c r="M16" s="216" t="s">
        <v>59</v>
      </c>
      <c r="N16" s="216" t="s">
        <v>59</v>
      </c>
      <c r="O16" s="216" t="s">
        <v>59</v>
      </c>
      <c r="P16" s="95" t="s">
        <v>59</v>
      </c>
      <c r="Q16" s="95" t="s">
        <v>59</v>
      </c>
      <c r="R16" s="216" t="s">
        <v>59</v>
      </c>
      <c r="S16" s="217" t="s">
        <v>59</v>
      </c>
      <c r="T16" s="291">
        <f>SUM(C17:S17)</f>
        <v>0</v>
      </c>
      <c r="U16" s="248">
        <f>T16*H9</f>
        <v>0</v>
      </c>
      <c r="V16" s="313">
        <f>T16*H8</f>
        <v>0</v>
      </c>
      <c r="Y16" s="254" t="s">
        <v>64</v>
      </c>
      <c r="Z16" s="243">
        <f>SUMIF(C16:S16,"康軒",C17:S17)*H9</f>
        <v>0</v>
      </c>
      <c r="AA16" s="260">
        <f>SUMIF(C16:S16,"康軒",C17:S17)*H8</f>
        <v>0</v>
      </c>
      <c r="AB16" s="243">
        <f>SUMIF(C16:S16,"翰林",C17:S17)*H9+AK17</f>
        <v>0</v>
      </c>
      <c r="AC16" s="260">
        <f>SUMIF(C16:S16,"翰林",C17:S17)*H8+AL17</f>
        <v>0</v>
      </c>
      <c r="AD16" s="243">
        <f>SUMIF(C16:S16,"南一",C17:S17)*H9</f>
        <v>0</v>
      </c>
      <c r="AE16" s="260">
        <f>SUMIF(C16:S16,"南一",C17:S17)*H8</f>
        <v>0</v>
      </c>
      <c r="AF16" s="243">
        <f>SUMIF(C16:S16,"奇鼎",C17:S17)*H9</f>
        <v>0</v>
      </c>
      <c r="AG16" s="260">
        <f>SUMIF(C16:S16,"奇鼎",C17:S17)*H8</f>
        <v>0</v>
      </c>
      <c r="AH16" s="243">
        <f>SUMIF(C16:S16,"全華",C17:S17)*H9</f>
        <v>0</v>
      </c>
      <c r="AI16" s="260">
        <f>SUMIF(C16:S16,"全華",C17:S17)*H8</f>
        <v>0</v>
      </c>
      <c r="AJ16" s="84"/>
      <c r="AK16" s="84"/>
      <c r="AL16" s="85"/>
    </row>
    <row r="17" spans="1:38" ht="21" customHeight="1" x14ac:dyDescent="0.25">
      <c r="A17" s="246"/>
      <c r="B17" s="56" t="s">
        <v>62</v>
      </c>
      <c r="C17" s="62" t="str">
        <f>VLOOKUP(C16,工作表3!$A$4:$AZ$11,19,FALSE)</f>
        <v>金額</v>
      </c>
      <c r="D17" s="63" t="str">
        <f>VLOOKUP(D16,工作表3!$A$4:$AZ$11,20,FALSE)</f>
        <v>金額</v>
      </c>
      <c r="E17" s="63" t="str">
        <f>VLOOKUP(E16,工作表3!$A$4:$AZ$11,21,FALSE)</f>
        <v>金額</v>
      </c>
      <c r="F17" s="63" t="str">
        <f>VLOOKUP(F16,工作表3!$A$4:$AZ$11,22,FALSE)</f>
        <v>金額</v>
      </c>
      <c r="G17" s="63" t="str">
        <f>VLOOKUP(G16,工作表3!$A$4:$AZ$11,23,FALSE)</f>
        <v>金額</v>
      </c>
      <c r="H17" s="63" t="str">
        <f>VLOOKUP(H16,工作表3!$A$4:$AZ$11,24,FALSE)</f>
        <v>金額</v>
      </c>
      <c r="I17" s="63" t="str">
        <f>VLOOKUP(I16,工作表3!$A$4:$AZ$11,25,FALSE)</f>
        <v>金額</v>
      </c>
      <c r="J17" s="63" t="str">
        <f>VLOOKUP(J16,工作表3!$A$4:$AZ$11,26,FALSE)</f>
        <v>金額</v>
      </c>
      <c r="K17" s="63" t="str">
        <f>VLOOKUP(K16,工作表3!$A$4:$AZ$11,27,FALSE)</f>
        <v>金額</v>
      </c>
      <c r="L17" s="63" t="str">
        <f>VLOOKUP(L16,工作表3!$A$4:$AZ$11,28,FALSE)</f>
        <v>金額</v>
      </c>
      <c r="M17" s="63" t="str">
        <f>VLOOKUP(M16,工作表3!$A$4:$AZ$11,29,FALSE)</f>
        <v>金額</v>
      </c>
      <c r="N17" s="63" t="str">
        <f>VLOOKUP(N16,工作表3!$A$4:$AZ$11,30,FALSE)</f>
        <v>金額</v>
      </c>
      <c r="O17" s="63" t="str">
        <f>VLOOKUP(O16,工作表3!$A$4:$AZ$11,31,FALSE)</f>
        <v>金額</v>
      </c>
      <c r="P17" s="63" t="str">
        <f>VLOOKUP(P16,工作表3!$A$4:$AZ$11,32,FALSE)</f>
        <v>金額</v>
      </c>
      <c r="Q17" s="63" t="str">
        <f>VLOOKUP(Q16,工作表3!$A$4:$AZ$11,33,FALSE)</f>
        <v>金額</v>
      </c>
      <c r="R17" s="63" t="str">
        <f>VLOOKUP(R16,工作表3!$A$4:$AZ$11,34,FALSE)</f>
        <v>金額</v>
      </c>
      <c r="S17" s="64" t="str">
        <f>VLOOKUP(S16,工作表3!$A$4:$AZ$11,35,FALSE)</f>
        <v>金額</v>
      </c>
      <c r="T17" s="272"/>
      <c r="U17" s="249"/>
      <c r="V17" s="314"/>
      <c r="Y17" s="253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92" t="s">
        <v>63</v>
      </c>
      <c r="AK17" s="90">
        <f>SUMIF(C16:S16,"佳音",C17:S17)*H9</f>
        <v>0</v>
      </c>
      <c r="AL17" s="91">
        <f>SUMIF(C16:S16,"佳音",C17:S17)*H8</f>
        <v>0</v>
      </c>
    </row>
    <row r="18" spans="1:38" ht="21" customHeight="1" x14ac:dyDescent="0.25">
      <c r="A18" s="298" t="s">
        <v>12</v>
      </c>
      <c r="B18" s="56" t="s">
        <v>59</v>
      </c>
      <c r="C18" s="94" t="s">
        <v>59</v>
      </c>
      <c r="D18" s="216" t="s">
        <v>59</v>
      </c>
      <c r="E18" s="216" t="s">
        <v>59</v>
      </c>
      <c r="F18" s="216" t="s">
        <v>59</v>
      </c>
      <c r="G18" s="216" t="s">
        <v>59</v>
      </c>
      <c r="H18" s="216" t="s">
        <v>59</v>
      </c>
      <c r="I18" s="216" t="s">
        <v>59</v>
      </c>
      <c r="J18" s="216" t="s">
        <v>59</v>
      </c>
      <c r="K18" s="216" t="s">
        <v>59</v>
      </c>
      <c r="L18" s="216" t="s">
        <v>59</v>
      </c>
      <c r="M18" s="216" t="s">
        <v>59</v>
      </c>
      <c r="N18" s="216" t="s">
        <v>59</v>
      </c>
      <c r="O18" s="216" t="s">
        <v>59</v>
      </c>
      <c r="P18" s="95" t="s">
        <v>59</v>
      </c>
      <c r="Q18" s="95" t="s">
        <v>59</v>
      </c>
      <c r="R18" s="216" t="s">
        <v>59</v>
      </c>
      <c r="S18" s="217" t="s">
        <v>59</v>
      </c>
      <c r="T18" s="291">
        <f>SUM(C19:S19)</f>
        <v>0</v>
      </c>
      <c r="U18" s="248">
        <f>T18*J9</f>
        <v>0</v>
      </c>
      <c r="V18" s="313">
        <f>T18*J8</f>
        <v>0</v>
      </c>
      <c r="Y18" s="254" t="s">
        <v>65</v>
      </c>
      <c r="Z18" s="243">
        <f>SUMIF(C18:S18,"康軒",C19:S19)*J9</f>
        <v>0</v>
      </c>
      <c r="AA18" s="260">
        <f>SUMIF(C18:S18,"康軒",C19:S19)*J8</f>
        <v>0</v>
      </c>
      <c r="AB18" s="243">
        <f>SUMIF(C18:S18,"翰林",C19:S19)*J9+AK19</f>
        <v>0</v>
      </c>
      <c r="AC18" s="260">
        <f>SUMIF(C18:S18,"翰林",C19:S19)*J8+AL19</f>
        <v>0</v>
      </c>
      <c r="AD18" s="243">
        <f>SUMIF(C18:S18,"南一",C19:S19)*J9</f>
        <v>0</v>
      </c>
      <c r="AE18" s="260">
        <f>SUMIF(C18:S18,"南一",C19:S19)*J8</f>
        <v>0</v>
      </c>
      <c r="AF18" s="243">
        <f>SUMIF(C18:S18,"奇鼎",C19:S19)*J9</f>
        <v>0</v>
      </c>
      <c r="AG18" s="260">
        <f>SUMIF(C18:S18,"奇鼎",C19:S19)*J8</f>
        <v>0</v>
      </c>
      <c r="AH18" s="243">
        <f>SUMIF(C18:S18,"全華",C19:S19)*J9</f>
        <v>0</v>
      </c>
      <c r="AI18" s="260">
        <f>SUMIF(C18:S18,"全華",C19:S19)*J8</f>
        <v>0</v>
      </c>
      <c r="AJ18" s="84"/>
      <c r="AK18" s="84"/>
      <c r="AL18" s="85"/>
    </row>
    <row r="19" spans="1:38" ht="21" customHeight="1" thickBot="1" x14ac:dyDescent="0.3">
      <c r="A19" s="246"/>
      <c r="B19" s="56" t="s">
        <v>62</v>
      </c>
      <c r="C19" s="67" t="str">
        <f>VLOOKUP(C18,工作表3!$A$4:$AZ$11,36,FALSE)</f>
        <v>金額</v>
      </c>
      <c r="D19" s="68" t="str">
        <f>VLOOKUP(D18,工作表3!$A$4:$AZ$11,37,FALSE)</f>
        <v>金額</v>
      </c>
      <c r="E19" s="68" t="str">
        <f>VLOOKUP(E18,工作表3!$A$4:$AZ$11,38,FALSE)</f>
        <v>金額</v>
      </c>
      <c r="F19" s="68" t="str">
        <f>VLOOKUP(F18,工作表3!$A$4:$AZ$11,39,FALSE)</f>
        <v>金額</v>
      </c>
      <c r="G19" s="68" t="str">
        <f>VLOOKUP(G18,工作表3!$A$4:$AZ$11,40,FALSE)</f>
        <v>金額</v>
      </c>
      <c r="H19" s="68" t="str">
        <f>VLOOKUP(H18,工作表3!$A$4:$AZ$11,41,FALSE)</f>
        <v>金額</v>
      </c>
      <c r="I19" s="68" t="str">
        <f>VLOOKUP(I18,工作表3!$A$4:$AZ$11,42,FALSE)</f>
        <v>金額</v>
      </c>
      <c r="J19" s="68" t="str">
        <f>VLOOKUP(J18,工作表3!$A$4:$AZ$11,43,FALSE)</f>
        <v>金額</v>
      </c>
      <c r="K19" s="68" t="str">
        <f>VLOOKUP(K18,工作表3!$A$4:$AZ$11,44,FALSE)</f>
        <v>金額</v>
      </c>
      <c r="L19" s="68" t="str">
        <f>VLOOKUP(L18,工作表3!$A$4:$AZ$11,45,FALSE)</f>
        <v>金額</v>
      </c>
      <c r="M19" s="68" t="str">
        <f>VLOOKUP(M18,工作表3!$A$4:$AZ$11,46,FALSE)</f>
        <v>金額</v>
      </c>
      <c r="N19" s="68" t="str">
        <f>VLOOKUP(N18,工作表3!$A$4:$AZ$11,47,FALSE)</f>
        <v>金額</v>
      </c>
      <c r="O19" s="68" t="str">
        <f>VLOOKUP(O18,工作表3!$A$4:$AZ$11,48,FALSE)</f>
        <v>金額</v>
      </c>
      <c r="P19" s="68" t="str">
        <f>VLOOKUP(P18,工作表3!$A$4:$AZ$11,49,FALSE)</f>
        <v>金額</v>
      </c>
      <c r="Q19" s="68" t="str">
        <f>VLOOKUP(Q18,工作表3!$A$4:$AZ$11,50,FALSE)</f>
        <v>金額</v>
      </c>
      <c r="R19" s="68" t="str">
        <f>VLOOKUP(R18,工作表3!$A$4:$AZ$11,51,FALSE)</f>
        <v>金額</v>
      </c>
      <c r="S19" s="69" t="str">
        <f>VLOOKUP(S18,工作表3!$A$4:$AZ$11,52,FALSE)</f>
        <v>金額</v>
      </c>
      <c r="T19" s="272"/>
      <c r="U19" s="249"/>
      <c r="V19" s="314"/>
      <c r="Y19" s="253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92" t="s">
        <v>63</v>
      </c>
      <c r="AK19" s="90">
        <f>SUMIF(C18:S18,"佳音",C19:S19)*J9</f>
        <v>0</v>
      </c>
      <c r="AL19" s="91">
        <f>SUMIF(C18:S18,"佳音",C19:S19)*J8</f>
        <v>0</v>
      </c>
    </row>
    <row r="20" spans="1:38" ht="24.95" customHeight="1" thickBot="1" x14ac:dyDescent="0.3">
      <c r="A20" s="3"/>
      <c r="B20" s="3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5" t="s">
        <v>13</v>
      </c>
      <c r="U20" s="98">
        <f>SUM(U14:U19)</f>
        <v>0</v>
      </c>
      <c r="V20" s="99">
        <f>SUM(V14:V19)</f>
        <v>0</v>
      </c>
      <c r="Y20" s="317" t="s">
        <v>13</v>
      </c>
      <c r="Z20" s="247">
        <f t="shared" ref="Z20:AI20" si="0">SUM(Z14:Z19)</f>
        <v>0</v>
      </c>
      <c r="AA20" s="277">
        <f t="shared" si="0"/>
        <v>0</v>
      </c>
      <c r="AB20" s="247">
        <f t="shared" si="0"/>
        <v>0</v>
      </c>
      <c r="AC20" s="277">
        <f t="shared" si="0"/>
        <v>0</v>
      </c>
      <c r="AD20" s="247">
        <f t="shared" si="0"/>
        <v>0</v>
      </c>
      <c r="AE20" s="277">
        <f t="shared" si="0"/>
        <v>0</v>
      </c>
      <c r="AF20" s="247">
        <f t="shared" si="0"/>
        <v>0</v>
      </c>
      <c r="AG20" s="277">
        <f t="shared" si="0"/>
        <v>0</v>
      </c>
      <c r="AH20" s="247">
        <f t="shared" si="0"/>
        <v>0</v>
      </c>
      <c r="AI20" s="277">
        <f t="shared" si="0"/>
        <v>0</v>
      </c>
      <c r="AJ20" s="90"/>
      <c r="AK20" s="90"/>
      <c r="AL20" s="90"/>
    </row>
    <row r="21" spans="1:38" ht="24.95" customHeight="1" x14ac:dyDescent="0.25">
      <c r="A21" s="245" t="s">
        <v>66</v>
      </c>
      <c r="B21" s="278"/>
      <c r="C21" s="278"/>
      <c r="D21" s="278"/>
      <c r="E21" s="278"/>
      <c r="F21" s="278"/>
      <c r="G21" s="278"/>
      <c r="H21" s="278"/>
      <c r="I21" s="265"/>
      <c r="J21" s="325"/>
      <c r="K21" s="278"/>
      <c r="L21" s="265"/>
      <c r="M21" s="3"/>
      <c r="N21" s="3" t="s">
        <v>67</v>
      </c>
      <c r="O21" s="3"/>
      <c r="Q21" s="46"/>
      <c r="R21" s="46"/>
      <c r="S21" s="46"/>
      <c r="T21" s="46"/>
      <c r="U21" s="46"/>
      <c r="V21" s="46"/>
      <c r="Y21" s="253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90"/>
      <c r="AK21" s="90"/>
      <c r="AL21" s="90"/>
    </row>
    <row r="22" spans="1:38" ht="24.95" customHeight="1" x14ac:dyDescent="0.25">
      <c r="A22" s="266" t="s">
        <v>68</v>
      </c>
      <c r="B22" s="267"/>
      <c r="C22" s="267"/>
      <c r="D22" s="267"/>
      <c r="E22" s="267"/>
      <c r="F22" s="267"/>
      <c r="G22" s="267"/>
      <c r="H22" s="267"/>
      <c r="I22" s="268"/>
      <c r="J22" s="321">
        <f>SUM(C15:L15)*F9+SUM(C17:L17)*H9+SUM(C19:L19)*J9</f>
        <v>0</v>
      </c>
      <c r="K22" s="267"/>
      <c r="L22" s="268"/>
      <c r="M22" s="47"/>
      <c r="N22" s="3" t="s">
        <v>69</v>
      </c>
      <c r="O22" s="47"/>
      <c r="Q22" s="48"/>
      <c r="R22" s="48"/>
      <c r="S22" s="48"/>
      <c r="T22" s="48"/>
      <c r="U22" s="48"/>
      <c r="V22" s="48"/>
      <c r="Y22" s="17" t="s">
        <v>70</v>
      </c>
      <c r="Z22" s="257">
        <f>Z20+AA20</f>
        <v>0</v>
      </c>
      <c r="AA22" s="244"/>
      <c r="AB22" s="257">
        <f>AB20+AC20</f>
        <v>0</v>
      </c>
      <c r="AC22" s="244"/>
      <c r="AD22" s="257">
        <f>AD20+AE20</f>
        <v>0</v>
      </c>
      <c r="AE22" s="244"/>
      <c r="AF22" s="257">
        <f>AF20+AG20</f>
        <v>0</v>
      </c>
      <c r="AG22" s="244"/>
      <c r="AH22" s="257">
        <f>AH20+AI20</f>
        <v>0</v>
      </c>
      <c r="AI22" s="244"/>
      <c r="AJ22" s="90"/>
      <c r="AK22" s="90"/>
      <c r="AL22" s="90"/>
    </row>
    <row r="23" spans="1:38" ht="24.95" customHeight="1" thickBot="1" x14ac:dyDescent="0.3">
      <c r="A23" s="318" t="s">
        <v>71</v>
      </c>
      <c r="B23" s="319"/>
      <c r="C23" s="319"/>
      <c r="D23" s="319"/>
      <c r="E23" s="319"/>
      <c r="F23" s="319"/>
      <c r="G23" s="319"/>
      <c r="H23" s="319"/>
      <c r="I23" s="320"/>
      <c r="J23" s="326">
        <f>U20-J22</f>
        <v>0</v>
      </c>
      <c r="K23" s="319"/>
      <c r="L23" s="320"/>
      <c r="M23" s="47"/>
      <c r="N23" s="3" t="s">
        <v>147</v>
      </c>
      <c r="O23" s="47"/>
      <c r="Q23" s="48"/>
      <c r="R23" s="48"/>
      <c r="S23" s="48"/>
      <c r="T23" s="48"/>
      <c r="U23" s="48"/>
      <c r="V23" s="48"/>
    </row>
    <row r="24" spans="1:38" ht="24.95" customHeight="1" thickBot="1" x14ac:dyDescent="0.3">
      <c r="A24" s="312" t="s">
        <v>72</v>
      </c>
      <c r="B24" s="310"/>
      <c r="C24" s="310"/>
      <c r="D24" s="310"/>
      <c r="E24" s="310"/>
      <c r="F24" s="310"/>
      <c r="G24" s="310"/>
      <c r="H24" s="310"/>
      <c r="I24" s="311"/>
      <c r="J24" s="292">
        <f>J21+J22+J23</f>
        <v>0</v>
      </c>
      <c r="K24" s="293"/>
      <c r="L24" s="294"/>
      <c r="M24" s="3"/>
      <c r="N24" s="3" t="s">
        <v>73</v>
      </c>
      <c r="O24" s="3"/>
      <c r="Q24" s="49"/>
      <c r="R24" s="49"/>
      <c r="S24" s="49"/>
      <c r="T24" s="49"/>
      <c r="U24" s="49"/>
      <c r="V24" s="49"/>
    </row>
    <row r="25" spans="1:38" ht="1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38" ht="16.5" customHeight="1" x14ac:dyDescent="0.25">
      <c r="A26" s="3" t="s">
        <v>74</v>
      </c>
      <c r="B26" s="3"/>
      <c r="C26" s="3"/>
      <c r="D26" s="3"/>
      <c r="E26" s="3"/>
      <c r="F26" s="3"/>
      <c r="G26" s="3" t="s">
        <v>75</v>
      </c>
      <c r="H26" s="3"/>
      <c r="J26" s="3"/>
      <c r="K26" s="3"/>
      <c r="N26" s="3" t="s">
        <v>76</v>
      </c>
      <c r="O26" s="3"/>
      <c r="S26" s="3"/>
      <c r="U26" s="3" t="s">
        <v>77</v>
      </c>
      <c r="V26" s="3"/>
    </row>
    <row r="27" spans="1:38" ht="16.5" customHeight="1" x14ac:dyDescent="0.25">
      <c r="A27" s="3"/>
      <c r="B27" s="3"/>
      <c r="C27" s="3"/>
      <c r="D27" s="3"/>
      <c r="E27" s="3"/>
      <c r="F27" s="3"/>
      <c r="G27" s="3"/>
      <c r="H27" s="3"/>
      <c r="J27" s="3"/>
      <c r="K27" s="3"/>
      <c r="N27" s="3"/>
      <c r="O27" s="3"/>
      <c r="S27" s="3"/>
      <c r="U27" s="3"/>
      <c r="V27" s="3"/>
    </row>
    <row r="28" spans="1:38" ht="16.5" customHeight="1" x14ac:dyDescent="0.25">
      <c r="A28" s="3"/>
      <c r="B28" s="3"/>
      <c r="C28" s="3"/>
      <c r="D28" s="3"/>
      <c r="E28" s="3"/>
      <c r="F28" s="3"/>
      <c r="G28" s="3"/>
      <c r="H28" s="3"/>
      <c r="J28" s="3"/>
      <c r="K28" s="3"/>
      <c r="N28" s="3"/>
      <c r="O28" s="3"/>
      <c r="S28" s="3"/>
      <c r="U28" s="3"/>
      <c r="V28" s="3"/>
    </row>
    <row r="29" spans="1:38" ht="16.5" customHeigh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38" ht="16.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38" ht="16.5" customHeigh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38" ht="45.75" customHeight="1" thickBot="1" x14ac:dyDescent="0.3">
      <c r="A32" s="252" t="s">
        <v>78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</row>
    <row r="33" spans="1:32" ht="28.5" customHeight="1" thickBot="1" x14ac:dyDescent="0.3">
      <c r="A33" s="322" t="s">
        <v>79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4"/>
      <c r="Z33" s="243" t="s">
        <v>32</v>
      </c>
      <c r="AA33" s="244"/>
      <c r="AB33" s="244"/>
      <c r="AC33" s="244"/>
      <c r="AD33" s="244"/>
    </row>
    <row r="34" spans="1:32" ht="21" customHeight="1" x14ac:dyDescent="0.25">
      <c r="A34" s="299" t="s">
        <v>80</v>
      </c>
      <c r="B34" s="300"/>
      <c r="C34" s="304" t="s">
        <v>34</v>
      </c>
      <c r="D34" s="270"/>
      <c r="E34" s="269" t="s">
        <v>35</v>
      </c>
      <c r="F34" s="270"/>
      <c r="G34" s="269" t="s">
        <v>36</v>
      </c>
      <c r="H34" s="270"/>
      <c r="I34" s="269" t="s">
        <v>37</v>
      </c>
      <c r="J34" s="270"/>
      <c r="K34" s="269" t="s">
        <v>38</v>
      </c>
      <c r="L34" s="270"/>
      <c r="M34" s="82" t="s">
        <v>39</v>
      </c>
      <c r="N34" s="83" t="s">
        <v>40</v>
      </c>
      <c r="O34" s="83" t="s">
        <v>41</v>
      </c>
      <c r="P34" s="269" t="s">
        <v>42</v>
      </c>
      <c r="Q34" s="255"/>
      <c r="R34" s="255"/>
      <c r="S34" s="270"/>
      <c r="T34" s="308" t="s">
        <v>81</v>
      </c>
      <c r="U34" s="289" t="s">
        <v>82</v>
      </c>
      <c r="Y34" s="84"/>
      <c r="Z34" s="86" t="s">
        <v>43</v>
      </c>
      <c r="AA34" s="87" t="s">
        <v>44</v>
      </c>
      <c r="AB34" s="88" t="s">
        <v>45</v>
      </c>
      <c r="AC34" s="89" t="s">
        <v>46</v>
      </c>
      <c r="AD34" s="93" t="s">
        <v>47</v>
      </c>
    </row>
    <row r="35" spans="1:32" ht="21" customHeight="1" x14ac:dyDescent="0.25">
      <c r="A35" s="301"/>
      <c r="B35" s="272"/>
      <c r="C35" s="44" t="s">
        <v>48</v>
      </c>
      <c r="D35" s="37" t="s">
        <v>49</v>
      </c>
      <c r="E35" s="37" t="s">
        <v>48</v>
      </c>
      <c r="F35" s="37" t="s">
        <v>49</v>
      </c>
      <c r="G35" s="37" t="s">
        <v>48</v>
      </c>
      <c r="H35" s="37" t="s">
        <v>49</v>
      </c>
      <c r="I35" s="37" t="s">
        <v>48</v>
      </c>
      <c r="J35" s="37" t="s">
        <v>49</v>
      </c>
      <c r="K35" s="37" t="s">
        <v>48</v>
      </c>
      <c r="L35" s="179" t="s">
        <v>49</v>
      </c>
      <c r="M35" s="44" t="s">
        <v>48</v>
      </c>
      <c r="N35" s="37" t="s">
        <v>48</v>
      </c>
      <c r="O35" s="37" t="s">
        <v>48</v>
      </c>
      <c r="P35" s="37" t="s">
        <v>50</v>
      </c>
      <c r="Q35" s="37" t="s">
        <v>51</v>
      </c>
      <c r="R35" s="37" t="s">
        <v>52</v>
      </c>
      <c r="S35" s="45" t="s">
        <v>53</v>
      </c>
      <c r="T35" s="272"/>
      <c r="U35" s="290"/>
      <c r="Y35" s="1"/>
      <c r="Z35" s="84" t="s">
        <v>83</v>
      </c>
      <c r="AA35" s="84" t="s">
        <v>83</v>
      </c>
      <c r="AB35" s="84" t="s">
        <v>83</v>
      </c>
      <c r="AC35" s="84" t="s">
        <v>83</v>
      </c>
      <c r="AD35" s="84" t="s">
        <v>83</v>
      </c>
    </row>
    <row r="36" spans="1:32" ht="21" customHeight="1" x14ac:dyDescent="0.25">
      <c r="A36" s="306" t="s">
        <v>10</v>
      </c>
      <c r="B36" s="71" t="s">
        <v>59</v>
      </c>
      <c r="C36" s="146" t="str">
        <f t="shared" ref="C36:S36" si="1">C14</f>
        <v>版本</v>
      </c>
      <c r="D36" s="147" t="str">
        <f t="shared" si="1"/>
        <v>版本</v>
      </c>
      <c r="E36" s="147" t="str">
        <f t="shared" si="1"/>
        <v>版本</v>
      </c>
      <c r="F36" s="147" t="str">
        <f t="shared" si="1"/>
        <v>版本</v>
      </c>
      <c r="G36" s="147" t="str">
        <f t="shared" si="1"/>
        <v>版本</v>
      </c>
      <c r="H36" s="147" t="str">
        <f t="shared" si="1"/>
        <v>版本</v>
      </c>
      <c r="I36" s="147" t="str">
        <f t="shared" si="1"/>
        <v>版本</v>
      </c>
      <c r="J36" s="147" t="str">
        <f t="shared" si="1"/>
        <v>版本</v>
      </c>
      <c r="K36" s="147" t="str">
        <f t="shared" si="1"/>
        <v>版本</v>
      </c>
      <c r="L36" s="180" t="str">
        <f t="shared" si="1"/>
        <v>版本</v>
      </c>
      <c r="M36" s="146" t="str">
        <f t="shared" si="1"/>
        <v>版本</v>
      </c>
      <c r="N36" s="147" t="str">
        <f t="shared" si="1"/>
        <v>版本</v>
      </c>
      <c r="O36" s="147" t="str">
        <f t="shared" si="1"/>
        <v>版本</v>
      </c>
      <c r="P36" s="147" t="str">
        <f t="shared" si="1"/>
        <v>版本</v>
      </c>
      <c r="Q36" s="147" t="str">
        <f t="shared" si="1"/>
        <v>版本</v>
      </c>
      <c r="R36" s="73" t="str">
        <f t="shared" si="1"/>
        <v>版本</v>
      </c>
      <c r="S36" s="75" t="str">
        <f t="shared" si="1"/>
        <v>版本</v>
      </c>
      <c r="T36" s="295">
        <f>SUM(C40:S40)</f>
        <v>0</v>
      </c>
      <c r="U36" s="316" t="e">
        <f>SUM(C41:S41)</f>
        <v>#VALUE!</v>
      </c>
      <c r="Y36" s="254" t="s">
        <v>61</v>
      </c>
      <c r="Z36" s="243">
        <f>SUMIF(C36:S36,"康軒",C41:S41)</f>
        <v>0</v>
      </c>
      <c r="AA36" s="243">
        <f>SUMIF(C36:S36,"翰林",C41:S41)+AF37</f>
        <v>0</v>
      </c>
      <c r="AB36" s="243">
        <f>SUMIF(C36:S36,"南一",C41:S41)</f>
        <v>0</v>
      </c>
      <c r="AC36" s="243">
        <f>SUMIF(C36:S36,"奇鼎",C41:S41)</f>
        <v>0</v>
      </c>
      <c r="AD36" s="243">
        <f>SUMIF(C36:S36,"全華",C41:S41)</f>
        <v>0</v>
      </c>
      <c r="AE36" s="90"/>
      <c r="AF36" s="84" t="s">
        <v>83</v>
      </c>
    </row>
    <row r="37" spans="1:32" ht="21" customHeight="1" x14ac:dyDescent="0.25">
      <c r="A37" s="242"/>
      <c r="B37" s="71" t="s">
        <v>62</v>
      </c>
      <c r="C37" s="62" t="str">
        <f>VLOOKUP(C36,工作表3!$A$5:$AZ$11,2,FALSE)</f>
        <v>金額</v>
      </c>
      <c r="D37" s="63" t="str">
        <f>VLOOKUP(D36,工作表3!$A$5:$AZ$11,3,FALSE)</f>
        <v>金額</v>
      </c>
      <c r="E37" s="63" t="str">
        <f>VLOOKUP(E36,工作表3!$A$5:$AZ$11,4,FALSE)</f>
        <v>金額</v>
      </c>
      <c r="F37" s="63" t="str">
        <f>VLOOKUP(F36,工作表3!$A$5:$AZ$11,5,FALSE)</f>
        <v>金額</v>
      </c>
      <c r="G37" s="63" t="str">
        <f>VLOOKUP(G36,工作表3!$A$5:$AZ$11,6,FALSE)</f>
        <v>金額</v>
      </c>
      <c r="H37" s="63" t="str">
        <f>VLOOKUP(H36,工作表3!$A$5:$AZ$11,7,FALSE)</f>
        <v>金額</v>
      </c>
      <c r="I37" s="63" t="str">
        <f>VLOOKUP(I36,工作表3!$A$5:$AZ$11,8,FALSE)</f>
        <v>金額</v>
      </c>
      <c r="J37" s="63" t="str">
        <f>VLOOKUP(J36,工作表3!$A$5:$AZ$11,9,FALSE)</f>
        <v>金額</v>
      </c>
      <c r="K37" s="63" t="str">
        <f>VLOOKUP(K36,工作表3!$A$5:$AZ$11,10,FALSE)</f>
        <v>金額</v>
      </c>
      <c r="L37" s="64" t="str">
        <f>VLOOKUP(L36,工作表3!$A$5:$AZ$11,11,FALSE)</f>
        <v>金額</v>
      </c>
      <c r="M37" s="62" t="str">
        <f>VLOOKUP(M36,工作表3!$A$4:$AZ$11,12,FALSE)</f>
        <v>金額</v>
      </c>
      <c r="N37" s="63" t="str">
        <f>VLOOKUP(N36,工作表3!$A$4:$AZ$11,13,FALSE)</f>
        <v>金額</v>
      </c>
      <c r="O37" s="63" t="str">
        <f>VLOOKUP(O36,工作表3!$A$4:$AZ$11,14,FALSE)</f>
        <v>金額</v>
      </c>
      <c r="P37" s="63" t="str">
        <f>VLOOKUP(P36,工作表3!$A$4:$AZ$11,15,FALSE)</f>
        <v>金額</v>
      </c>
      <c r="Q37" s="63" t="str">
        <f>VLOOKUP(Q36,工作表3!$A$4:$AZ$11,16,FALSE)</f>
        <v>金額</v>
      </c>
      <c r="R37" s="63" t="str">
        <f>VLOOKUP(R36,工作表3!$A$4:$AZ$11,17,FALSE)</f>
        <v>金額</v>
      </c>
      <c r="S37" s="64" t="str">
        <f>VLOOKUP(S36,工作表3!$A$4:$AZ$11,18,FALSE)</f>
        <v>金額</v>
      </c>
      <c r="T37" s="259"/>
      <c r="U37" s="263"/>
      <c r="Y37" s="253"/>
      <c r="Z37" s="244"/>
      <c r="AA37" s="244"/>
      <c r="AB37" s="244"/>
      <c r="AC37" s="244"/>
      <c r="AD37" s="244"/>
      <c r="AE37" s="92" t="s">
        <v>63</v>
      </c>
      <c r="AF37" s="90">
        <f>SUMIF(C36:S36,"佳音",C41:S41)</f>
        <v>0</v>
      </c>
    </row>
    <row r="38" spans="1:32" ht="21" customHeight="1" x14ac:dyDescent="0.25">
      <c r="A38" s="242"/>
      <c r="B38" s="72" t="s">
        <v>84</v>
      </c>
      <c r="C38" s="143"/>
      <c r="D38" s="144"/>
      <c r="E38" s="144"/>
      <c r="F38" s="144"/>
      <c r="G38" s="144"/>
      <c r="H38" s="144"/>
      <c r="I38" s="144"/>
      <c r="J38" s="144"/>
      <c r="K38" s="144"/>
      <c r="L38" s="182"/>
      <c r="M38" s="143"/>
      <c r="N38" s="144"/>
      <c r="O38" s="144"/>
      <c r="P38" s="144"/>
      <c r="Q38" s="144"/>
      <c r="R38" s="144"/>
      <c r="S38" s="145"/>
      <c r="T38" s="259"/>
      <c r="U38" s="263"/>
      <c r="Y38" s="254" t="s">
        <v>64</v>
      </c>
      <c r="Z38" s="243">
        <f>SUMIF(C42:S42,"康軒",C47:S47)</f>
        <v>0</v>
      </c>
      <c r="AA38" s="243">
        <f>SUMIF(C42:S42,"翰林",C47:S47)+AF39</f>
        <v>0</v>
      </c>
      <c r="AB38" s="243">
        <f>SUMIF(C42:S42,"南一",C47:S47)</f>
        <v>0</v>
      </c>
      <c r="AC38" s="243">
        <f>SUMIF(C42:S42,"奇鼎",C47:S47)</f>
        <v>0</v>
      </c>
      <c r="AD38" s="243">
        <f>SUMIF(C42:S42,"全華",C47:S47)</f>
        <v>0</v>
      </c>
      <c r="AE38" s="84"/>
      <c r="AF38" s="84"/>
    </row>
    <row r="39" spans="1:32" ht="21" customHeight="1" x14ac:dyDescent="0.25">
      <c r="A39" s="242"/>
      <c r="B39" s="72" t="s">
        <v>85</v>
      </c>
      <c r="C39" s="143"/>
      <c r="D39" s="144"/>
      <c r="E39" s="144"/>
      <c r="F39" s="144"/>
      <c r="G39" s="144"/>
      <c r="H39" s="144"/>
      <c r="I39" s="144"/>
      <c r="J39" s="144"/>
      <c r="K39" s="144"/>
      <c r="L39" s="182"/>
      <c r="M39" s="143"/>
      <c r="N39" s="144"/>
      <c r="O39" s="144"/>
      <c r="P39" s="144"/>
      <c r="Q39" s="144"/>
      <c r="R39" s="144"/>
      <c r="S39" s="145"/>
      <c r="T39" s="259"/>
      <c r="U39" s="263"/>
      <c r="Y39" s="253"/>
      <c r="Z39" s="244"/>
      <c r="AA39" s="244"/>
      <c r="AB39" s="244"/>
      <c r="AC39" s="244"/>
      <c r="AD39" s="244"/>
      <c r="AE39" s="92" t="s">
        <v>63</v>
      </c>
      <c r="AF39" s="90">
        <f>SUMIF(C42:S42,"佳音",C47:S47)</f>
        <v>0</v>
      </c>
    </row>
    <row r="40" spans="1:32" ht="21" customHeight="1" x14ac:dyDescent="0.25">
      <c r="A40" s="242"/>
      <c r="B40" s="71" t="s">
        <v>86</v>
      </c>
      <c r="C40" s="62">
        <f t="shared" ref="C40:S40" si="2">IF((C38-C39)&lt;0,0,(C38-C39))</f>
        <v>0</v>
      </c>
      <c r="D40" s="63">
        <f t="shared" si="2"/>
        <v>0</v>
      </c>
      <c r="E40" s="63">
        <f t="shared" si="2"/>
        <v>0</v>
      </c>
      <c r="F40" s="63">
        <f t="shared" si="2"/>
        <v>0</v>
      </c>
      <c r="G40" s="63">
        <f t="shared" si="2"/>
        <v>0</v>
      </c>
      <c r="H40" s="63">
        <f t="shared" si="2"/>
        <v>0</v>
      </c>
      <c r="I40" s="63">
        <f t="shared" si="2"/>
        <v>0</v>
      </c>
      <c r="J40" s="63">
        <f t="shared" si="2"/>
        <v>0</v>
      </c>
      <c r="K40" s="63">
        <f t="shared" si="2"/>
        <v>0</v>
      </c>
      <c r="L40" s="181">
        <f t="shared" si="2"/>
        <v>0</v>
      </c>
      <c r="M40" s="62">
        <f t="shared" si="2"/>
        <v>0</v>
      </c>
      <c r="N40" s="63">
        <f t="shared" si="2"/>
        <v>0</v>
      </c>
      <c r="O40" s="63">
        <f t="shared" si="2"/>
        <v>0</v>
      </c>
      <c r="P40" s="63">
        <f t="shared" si="2"/>
        <v>0</v>
      </c>
      <c r="Q40" s="63">
        <f t="shared" si="2"/>
        <v>0</v>
      </c>
      <c r="R40" s="63">
        <f t="shared" si="2"/>
        <v>0</v>
      </c>
      <c r="S40" s="64">
        <f t="shared" si="2"/>
        <v>0</v>
      </c>
      <c r="T40" s="259"/>
      <c r="U40" s="263"/>
      <c r="Y40" s="254" t="s">
        <v>65</v>
      </c>
      <c r="Z40" s="243">
        <f>SUMIF(C48:S48,"康軒",C53:S53)</f>
        <v>0</v>
      </c>
      <c r="AA40" s="243">
        <f>SUMIF(C48:S48,"翰林",C53:S53)+AF41</f>
        <v>0</v>
      </c>
      <c r="AB40" s="243">
        <f>SUMIF(C48:S48,"南一",C53:S53)</f>
        <v>0</v>
      </c>
      <c r="AC40" s="243">
        <f>SUMIF(C48:S48,"奇鼎",C53:S53)</f>
        <v>0</v>
      </c>
      <c r="AD40" s="243">
        <f>SUMIF(C48:S48,"全華",C53:S53)</f>
        <v>0</v>
      </c>
      <c r="AE40" s="84"/>
      <c r="AF40" s="84"/>
    </row>
    <row r="41" spans="1:32" ht="21" customHeight="1" x14ac:dyDescent="0.25">
      <c r="A41" s="284"/>
      <c r="B41" s="71" t="s">
        <v>87</v>
      </c>
      <c r="C41" s="62" t="e">
        <f t="shared" ref="C41:S41" si="3">C37*C40</f>
        <v>#VALUE!</v>
      </c>
      <c r="D41" s="63" t="e">
        <f t="shared" si="3"/>
        <v>#VALUE!</v>
      </c>
      <c r="E41" s="63" t="e">
        <f t="shared" si="3"/>
        <v>#VALUE!</v>
      </c>
      <c r="F41" s="63" t="e">
        <f t="shared" si="3"/>
        <v>#VALUE!</v>
      </c>
      <c r="G41" s="63" t="e">
        <f t="shared" si="3"/>
        <v>#VALUE!</v>
      </c>
      <c r="H41" s="63" t="e">
        <f t="shared" si="3"/>
        <v>#VALUE!</v>
      </c>
      <c r="I41" s="63" t="e">
        <f t="shared" si="3"/>
        <v>#VALUE!</v>
      </c>
      <c r="J41" s="63" t="e">
        <f t="shared" si="3"/>
        <v>#VALUE!</v>
      </c>
      <c r="K41" s="63" t="e">
        <f t="shared" si="3"/>
        <v>#VALUE!</v>
      </c>
      <c r="L41" s="181" t="e">
        <f t="shared" si="3"/>
        <v>#VALUE!</v>
      </c>
      <c r="M41" s="62" t="e">
        <f t="shared" si="3"/>
        <v>#VALUE!</v>
      </c>
      <c r="N41" s="63" t="e">
        <f t="shared" si="3"/>
        <v>#VALUE!</v>
      </c>
      <c r="O41" s="63" t="e">
        <f t="shared" si="3"/>
        <v>#VALUE!</v>
      </c>
      <c r="P41" s="63" t="e">
        <f t="shared" si="3"/>
        <v>#VALUE!</v>
      </c>
      <c r="Q41" s="63" t="e">
        <f t="shared" si="3"/>
        <v>#VALUE!</v>
      </c>
      <c r="R41" s="63" t="e">
        <f t="shared" si="3"/>
        <v>#VALUE!</v>
      </c>
      <c r="S41" s="64" t="e">
        <f t="shared" si="3"/>
        <v>#VALUE!</v>
      </c>
      <c r="T41" s="272"/>
      <c r="U41" s="290"/>
      <c r="Y41" s="253"/>
      <c r="Z41" s="244"/>
      <c r="AA41" s="244"/>
      <c r="AB41" s="244"/>
      <c r="AC41" s="244"/>
      <c r="AD41" s="244"/>
      <c r="AE41" s="92" t="s">
        <v>63</v>
      </c>
      <c r="AF41" s="90">
        <f>SUMIF(C48:S48,"佳音",C53:S53)</f>
        <v>0</v>
      </c>
    </row>
    <row r="42" spans="1:32" ht="21" customHeight="1" x14ac:dyDescent="0.25">
      <c r="A42" s="307" t="s">
        <v>11</v>
      </c>
      <c r="B42" s="71" t="s">
        <v>59</v>
      </c>
      <c r="C42" s="146" t="str">
        <f t="shared" ref="C42:S42" si="4">C16</f>
        <v>版本</v>
      </c>
      <c r="D42" s="147" t="str">
        <f t="shared" si="4"/>
        <v>版本</v>
      </c>
      <c r="E42" s="147" t="str">
        <f t="shared" si="4"/>
        <v>版本</v>
      </c>
      <c r="F42" s="147" t="str">
        <f t="shared" si="4"/>
        <v>版本</v>
      </c>
      <c r="G42" s="147" t="str">
        <f t="shared" si="4"/>
        <v>版本</v>
      </c>
      <c r="H42" s="147" t="str">
        <f t="shared" si="4"/>
        <v>版本</v>
      </c>
      <c r="I42" s="147" t="str">
        <f t="shared" si="4"/>
        <v>版本</v>
      </c>
      <c r="J42" s="147" t="str">
        <f t="shared" si="4"/>
        <v>版本</v>
      </c>
      <c r="K42" s="147" t="str">
        <f t="shared" si="4"/>
        <v>版本</v>
      </c>
      <c r="L42" s="180" t="str">
        <f t="shared" si="4"/>
        <v>版本</v>
      </c>
      <c r="M42" s="146" t="str">
        <f t="shared" si="4"/>
        <v>版本</v>
      </c>
      <c r="N42" s="147" t="str">
        <f t="shared" si="4"/>
        <v>版本</v>
      </c>
      <c r="O42" s="147" t="str">
        <f t="shared" si="4"/>
        <v>版本</v>
      </c>
      <c r="P42" s="147" t="str">
        <f t="shared" si="4"/>
        <v>版本</v>
      </c>
      <c r="Q42" s="147" t="str">
        <f t="shared" si="4"/>
        <v>版本</v>
      </c>
      <c r="R42" s="73" t="str">
        <f t="shared" si="4"/>
        <v>版本</v>
      </c>
      <c r="S42" s="75" t="str">
        <f t="shared" si="4"/>
        <v>版本</v>
      </c>
      <c r="T42" s="295">
        <f>SUM(C46:S46)</f>
        <v>0</v>
      </c>
      <c r="U42" s="316" t="e">
        <f>SUM(C47:S47)</f>
        <v>#VALUE!</v>
      </c>
      <c r="Y42" s="317" t="s">
        <v>13</v>
      </c>
      <c r="Z42" s="247">
        <f>SUM(Z36:Z41)</f>
        <v>0</v>
      </c>
      <c r="AA42" s="247">
        <f>SUM(AA36:AA41)</f>
        <v>0</v>
      </c>
      <c r="AB42" s="247">
        <f>SUM(AB36:AB41)</f>
        <v>0</v>
      </c>
      <c r="AC42" s="247">
        <f>SUM(AC36:AC41)</f>
        <v>0</v>
      </c>
      <c r="AD42" s="247">
        <f>SUM(AD36:AD41)</f>
        <v>0</v>
      </c>
    </row>
    <row r="43" spans="1:32" ht="21" customHeight="1" x14ac:dyDescent="0.25">
      <c r="A43" s="242"/>
      <c r="B43" s="71" t="s">
        <v>62</v>
      </c>
      <c r="C43" s="62" t="str">
        <f>VLOOKUP(C42,工作表3!$A$4:$AZ$11,19,FALSE)</f>
        <v>金額</v>
      </c>
      <c r="D43" s="63" t="str">
        <f>VLOOKUP(D42,工作表3!$A$4:$AZ$11,20,FALSE)</f>
        <v>金額</v>
      </c>
      <c r="E43" s="63" t="str">
        <f>VLOOKUP(E42,工作表3!$A$4:$AZ$11,21,FALSE)</f>
        <v>金額</v>
      </c>
      <c r="F43" s="63" t="str">
        <f>VLOOKUP(F42,工作表3!$A$4:$AZ$11,22,FALSE)</f>
        <v>金額</v>
      </c>
      <c r="G43" s="63" t="str">
        <f>VLOOKUP(G42,工作表3!$A$4:$AZ$11,23,FALSE)</f>
        <v>金額</v>
      </c>
      <c r="H43" s="63" t="str">
        <f>VLOOKUP(H42,工作表3!$A$4:$AZ$11,24,FALSE)</f>
        <v>金額</v>
      </c>
      <c r="I43" s="63" t="str">
        <f>VLOOKUP(I42,工作表3!$A$4:$AZ$11,25,FALSE)</f>
        <v>金額</v>
      </c>
      <c r="J43" s="63" t="str">
        <f>VLOOKUP(J42,工作表3!$A$4:$AZ$11,26,FALSE)</f>
        <v>金額</v>
      </c>
      <c r="K43" s="63" t="str">
        <f>VLOOKUP(K42,工作表3!$A$4:$AZ$11,27,FALSE)</f>
        <v>金額</v>
      </c>
      <c r="L43" s="64" t="str">
        <f>VLOOKUP(L42,工作表3!$A$4:$AZ$11,28,FALSE)</f>
        <v>金額</v>
      </c>
      <c r="M43" s="62" t="str">
        <f>VLOOKUP(M42,工作表3!$A$4:$AZ$11,29,FALSE)</f>
        <v>金額</v>
      </c>
      <c r="N43" s="63" t="str">
        <f>VLOOKUP(N42,工作表3!$A$4:$AZ$11,30,FALSE)</f>
        <v>金額</v>
      </c>
      <c r="O43" s="63" t="str">
        <f>VLOOKUP(O42,工作表3!$A$4:$AZ$11,31,FALSE)</f>
        <v>金額</v>
      </c>
      <c r="P43" s="63" t="str">
        <f>VLOOKUP(P42,工作表3!$A$4:$AZ$11,32,FALSE)</f>
        <v>金額</v>
      </c>
      <c r="Q43" s="63" t="str">
        <f>VLOOKUP(Q42,工作表3!$A$4:$AZ$11,33,FALSE)</f>
        <v>金額</v>
      </c>
      <c r="R43" s="65" t="str">
        <f>VLOOKUP(R42,工作表3!$A$4:$AZ$11,34,FALSE)</f>
        <v>金額</v>
      </c>
      <c r="S43" s="66" t="str">
        <f>VLOOKUP(S42,工作表3!$A$4:$AZ$11,35,FALSE)</f>
        <v>金額</v>
      </c>
      <c r="T43" s="259"/>
      <c r="U43" s="263"/>
      <c r="Y43" s="253"/>
      <c r="Z43" s="244"/>
      <c r="AA43" s="244"/>
      <c r="AB43" s="244"/>
      <c r="AC43" s="244"/>
      <c r="AD43" s="244"/>
    </row>
    <row r="44" spans="1:32" ht="21" customHeight="1" x14ac:dyDescent="0.25">
      <c r="A44" s="242"/>
      <c r="B44" s="72" t="s">
        <v>84</v>
      </c>
      <c r="C44" s="143"/>
      <c r="D44" s="144"/>
      <c r="E44" s="144"/>
      <c r="F44" s="144"/>
      <c r="G44" s="144"/>
      <c r="H44" s="144"/>
      <c r="I44" s="144"/>
      <c r="J44" s="144"/>
      <c r="K44" s="144"/>
      <c r="L44" s="182"/>
      <c r="M44" s="143"/>
      <c r="N44" s="144"/>
      <c r="O44" s="144"/>
      <c r="P44" s="144"/>
      <c r="Q44" s="144"/>
      <c r="R44" s="144"/>
      <c r="S44" s="145"/>
      <c r="T44" s="259"/>
      <c r="U44" s="263"/>
      <c r="Y44" s="253"/>
      <c r="Z44" s="244"/>
      <c r="AA44" s="244"/>
      <c r="AB44" s="244"/>
      <c r="AC44" s="244"/>
      <c r="AD44" s="244"/>
    </row>
    <row r="45" spans="1:32" ht="21" customHeight="1" x14ac:dyDescent="0.25">
      <c r="A45" s="242"/>
      <c r="B45" s="72" t="s">
        <v>85</v>
      </c>
      <c r="C45" s="143"/>
      <c r="D45" s="144"/>
      <c r="E45" s="144"/>
      <c r="F45" s="144"/>
      <c r="G45" s="144"/>
      <c r="H45" s="144"/>
      <c r="I45" s="144"/>
      <c r="J45" s="144"/>
      <c r="K45" s="144"/>
      <c r="L45" s="182"/>
      <c r="M45" s="143"/>
      <c r="N45" s="144"/>
      <c r="O45" s="144"/>
      <c r="P45" s="144"/>
      <c r="Q45" s="144"/>
      <c r="R45" s="144"/>
      <c r="S45" s="145"/>
      <c r="T45" s="259"/>
      <c r="U45" s="263"/>
    </row>
    <row r="46" spans="1:32" ht="21" customHeight="1" x14ac:dyDescent="0.25">
      <c r="A46" s="242"/>
      <c r="B46" s="71" t="s">
        <v>86</v>
      </c>
      <c r="C46" s="62">
        <f t="shared" ref="C46:S46" si="5">IF((C44-C45)&lt;0,0,(C44-C45))</f>
        <v>0</v>
      </c>
      <c r="D46" s="63">
        <f t="shared" si="5"/>
        <v>0</v>
      </c>
      <c r="E46" s="63">
        <f t="shared" si="5"/>
        <v>0</v>
      </c>
      <c r="F46" s="63">
        <f t="shared" si="5"/>
        <v>0</v>
      </c>
      <c r="G46" s="63">
        <f t="shared" si="5"/>
        <v>0</v>
      </c>
      <c r="H46" s="63">
        <f t="shared" si="5"/>
        <v>0</v>
      </c>
      <c r="I46" s="63">
        <f t="shared" si="5"/>
        <v>0</v>
      </c>
      <c r="J46" s="63">
        <f t="shared" si="5"/>
        <v>0</v>
      </c>
      <c r="K46" s="63">
        <f t="shared" si="5"/>
        <v>0</v>
      </c>
      <c r="L46" s="181">
        <f t="shared" si="5"/>
        <v>0</v>
      </c>
      <c r="M46" s="62">
        <f t="shared" si="5"/>
        <v>0</v>
      </c>
      <c r="N46" s="63">
        <f t="shared" si="5"/>
        <v>0</v>
      </c>
      <c r="O46" s="63">
        <f t="shared" si="5"/>
        <v>0</v>
      </c>
      <c r="P46" s="63">
        <f t="shared" si="5"/>
        <v>0</v>
      </c>
      <c r="Q46" s="63">
        <f t="shared" si="5"/>
        <v>0</v>
      </c>
      <c r="R46" s="63">
        <f t="shared" si="5"/>
        <v>0</v>
      </c>
      <c r="S46" s="64">
        <f t="shared" si="5"/>
        <v>0</v>
      </c>
      <c r="T46" s="259"/>
      <c r="U46" s="263"/>
    </row>
    <row r="47" spans="1:32" ht="21" customHeight="1" x14ac:dyDescent="0.25">
      <c r="A47" s="284"/>
      <c r="B47" s="71" t="s">
        <v>87</v>
      </c>
      <c r="C47" s="62" t="e">
        <f t="shared" ref="C47:S47" si="6">C43*C46</f>
        <v>#VALUE!</v>
      </c>
      <c r="D47" s="63" t="e">
        <f t="shared" si="6"/>
        <v>#VALUE!</v>
      </c>
      <c r="E47" s="63" t="e">
        <f t="shared" si="6"/>
        <v>#VALUE!</v>
      </c>
      <c r="F47" s="63" t="e">
        <f t="shared" si="6"/>
        <v>#VALUE!</v>
      </c>
      <c r="G47" s="63" t="e">
        <f t="shared" si="6"/>
        <v>#VALUE!</v>
      </c>
      <c r="H47" s="63" t="e">
        <f t="shared" si="6"/>
        <v>#VALUE!</v>
      </c>
      <c r="I47" s="63" t="e">
        <f t="shared" si="6"/>
        <v>#VALUE!</v>
      </c>
      <c r="J47" s="63" t="e">
        <f t="shared" si="6"/>
        <v>#VALUE!</v>
      </c>
      <c r="K47" s="63" t="e">
        <f t="shared" si="6"/>
        <v>#VALUE!</v>
      </c>
      <c r="L47" s="181" t="e">
        <f t="shared" si="6"/>
        <v>#VALUE!</v>
      </c>
      <c r="M47" s="62" t="e">
        <f t="shared" si="6"/>
        <v>#VALUE!</v>
      </c>
      <c r="N47" s="63" t="e">
        <f t="shared" si="6"/>
        <v>#VALUE!</v>
      </c>
      <c r="O47" s="63" t="e">
        <f t="shared" si="6"/>
        <v>#VALUE!</v>
      </c>
      <c r="P47" s="63" t="e">
        <f t="shared" si="6"/>
        <v>#VALUE!</v>
      </c>
      <c r="Q47" s="63" t="e">
        <f t="shared" si="6"/>
        <v>#VALUE!</v>
      </c>
      <c r="R47" s="63" t="e">
        <f t="shared" si="6"/>
        <v>#VALUE!</v>
      </c>
      <c r="S47" s="64" t="e">
        <f t="shared" si="6"/>
        <v>#VALUE!</v>
      </c>
      <c r="T47" s="272"/>
      <c r="U47" s="290"/>
    </row>
    <row r="48" spans="1:32" ht="21" customHeight="1" x14ac:dyDescent="0.25">
      <c r="A48" s="241" t="s">
        <v>12</v>
      </c>
      <c r="B48" s="71" t="s">
        <v>59</v>
      </c>
      <c r="C48" s="146" t="str">
        <f t="shared" ref="C48:S48" si="7">C18</f>
        <v>版本</v>
      </c>
      <c r="D48" s="147" t="str">
        <f t="shared" si="7"/>
        <v>版本</v>
      </c>
      <c r="E48" s="147" t="str">
        <f t="shared" si="7"/>
        <v>版本</v>
      </c>
      <c r="F48" s="147" t="str">
        <f t="shared" si="7"/>
        <v>版本</v>
      </c>
      <c r="G48" s="147" t="str">
        <f t="shared" si="7"/>
        <v>版本</v>
      </c>
      <c r="H48" s="147" t="str">
        <f t="shared" si="7"/>
        <v>版本</v>
      </c>
      <c r="I48" s="147" t="str">
        <f t="shared" si="7"/>
        <v>版本</v>
      </c>
      <c r="J48" s="147" t="str">
        <f t="shared" si="7"/>
        <v>版本</v>
      </c>
      <c r="K48" s="147" t="str">
        <f t="shared" si="7"/>
        <v>版本</v>
      </c>
      <c r="L48" s="180" t="str">
        <f t="shared" si="7"/>
        <v>版本</v>
      </c>
      <c r="M48" s="146" t="str">
        <f t="shared" si="7"/>
        <v>版本</v>
      </c>
      <c r="N48" s="147" t="str">
        <f t="shared" si="7"/>
        <v>版本</v>
      </c>
      <c r="O48" s="147" t="str">
        <f t="shared" si="7"/>
        <v>版本</v>
      </c>
      <c r="P48" s="147" t="str">
        <f t="shared" si="7"/>
        <v>版本</v>
      </c>
      <c r="Q48" s="147" t="str">
        <f t="shared" si="7"/>
        <v>版本</v>
      </c>
      <c r="R48" s="73" t="str">
        <f t="shared" si="7"/>
        <v>版本</v>
      </c>
      <c r="S48" s="75" t="str">
        <f t="shared" si="7"/>
        <v>版本</v>
      </c>
      <c r="T48" s="258">
        <f>SUM(C52:S52)</f>
        <v>0</v>
      </c>
      <c r="U48" s="262" t="e">
        <f>SUM(C53:S53)</f>
        <v>#VALUE!</v>
      </c>
    </row>
    <row r="49" spans="1:21" ht="21" customHeight="1" thickBot="1" x14ac:dyDescent="0.3">
      <c r="A49" s="242"/>
      <c r="B49" s="71" t="s">
        <v>62</v>
      </c>
      <c r="C49" s="67" t="str">
        <f>VLOOKUP(C48,工作表3!$A$4:$AZ$11,36,FALSE)</f>
        <v>金額</v>
      </c>
      <c r="D49" s="68" t="str">
        <f>VLOOKUP(D48,工作表3!$A$4:$AZ$11,37,FALSE)</f>
        <v>金額</v>
      </c>
      <c r="E49" s="68" t="str">
        <f>VLOOKUP(E48,工作表3!$A$4:$AZ$11,38,FALSE)</f>
        <v>金額</v>
      </c>
      <c r="F49" s="68" t="str">
        <f>VLOOKUP(F48,工作表3!$A$4:$AZ$11,39,FALSE)</f>
        <v>金額</v>
      </c>
      <c r="G49" s="68" t="str">
        <f>VLOOKUP(G48,工作表3!$A$4:$AZ$11,40,FALSE)</f>
        <v>金額</v>
      </c>
      <c r="H49" s="68" t="str">
        <f>VLOOKUP(H48,工作表3!$A$4:$AZ$11,41,FALSE)</f>
        <v>金額</v>
      </c>
      <c r="I49" s="68" t="str">
        <f>VLOOKUP(I48,工作表3!$A$4:$AZ$11,42,FALSE)</f>
        <v>金額</v>
      </c>
      <c r="J49" s="68" t="str">
        <f>VLOOKUP(J48,工作表3!$A$4:$AZ$11,43,FALSE)</f>
        <v>金額</v>
      </c>
      <c r="K49" s="68" t="str">
        <f>VLOOKUP(K48,工作表3!$A$4:$AZ$11,44,FALSE)</f>
        <v>金額</v>
      </c>
      <c r="L49" s="69" t="str">
        <f>VLOOKUP(L48,工作表3!$A$4:$AZ$11,45,FALSE)</f>
        <v>金額</v>
      </c>
      <c r="M49" s="67" t="str">
        <f>VLOOKUP(M48,工作表3!$A$4:$AZ$11,46,FALSE)</f>
        <v>金額</v>
      </c>
      <c r="N49" s="68" t="str">
        <f>VLOOKUP(N48,工作表3!$A$4:$AZ$11,47,FALSE)</f>
        <v>金額</v>
      </c>
      <c r="O49" s="68" t="str">
        <f>VLOOKUP(O48,工作表3!$A$4:$AZ$11,48,FALSE)</f>
        <v>金額</v>
      </c>
      <c r="P49" s="68" t="str">
        <f>VLOOKUP(P48,工作表3!$A$4:$AZ$11,49,FALSE)</f>
        <v>金額</v>
      </c>
      <c r="Q49" s="70" t="str">
        <f>VLOOKUP(Q48,工作表3!$A$4:$AZ$11,50,FALSE)</f>
        <v>金額</v>
      </c>
      <c r="R49" s="68" t="str">
        <f>VLOOKUP(R48,工作表3!$A$4:$AZ$11,51,FALSE)</f>
        <v>金額</v>
      </c>
      <c r="S49" s="69" t="str">
        <f>VLOOKUP(S48,工作表3!$A$4:$AZ$11,52,FALSE)</f>
        <v>金額</v>
      </c>
      <c r="T49" s="259"/>
      <c r="U49" s="263"/>
    </row>
    <row r="50" spans="1:21" ht="21" customHeight="1" x14ac:dyDescent="0.25">
      <c r="A50" s="242"/>
      <c r="B50" s="72" t="s">
        <v>84</v>
      </c>
      <c r="C50" s="143"/>
      <c r="D50" s="144"/>
      <c r="E50" s="144"/>
      <c r="F50" s="144"/>
      <c r="G50" s="144"/>
      <c r="H50" s="144"/>
      <c r="I50" s="144"/>
      <c r="J50" s="144"/>
      <c r="K50" s="144"/>
      <c r="L50" s="182"/>
      <c r="M50" s="143"/>
      <c r="N50" s="144"/>
      <c r="O50" s="144"/>
      <c r="P50" s="144"/>
      <c r="Q50" s="144"/>
      <c r="R50" s="144"/>
      <c r="S50" s="145"/>
      <c r="T50" s="259"/>
      <c r="U50" s="263"/>
    </row>
    <row r="51" spans="1:21" ht="21" customHeight="1" x14ac:dyDescent="0.25">
      <c r="A51" s="242"/>
      <c r="B51" s="72" t="s">
        <v>85</v>
      </c>
      <c r="C51" s="143"/>
      <c r="D51" s="144"/>
      <c r="E51" s="144"/>
      <c r="F51" s="144"/>
      <c r="G51" s="144"/>
      <c r="H51" s="144"/>
      <c r="I51" s="144"/>
      <c r="J51" s="144"/>
      <c r="K51" s="144"/>
      <c r="L51" s="182"/>
      <c r="M51" s="143"/>
      <c r="N51" s="144"/>
      <c r="O51" s="144"/>
      <c r="P51" s="144"/>
      <c r="Q51" s="144"/>
      <c r="R51" s="144"/>
      <c r="S51" s="145"/>
      <c r="T51" s="259"/>
      <c r="U51" s="263"/>
    </row>
    <row r="52" spans="1:21" ht="21" customHeight="1" x14ac:dyDescent="0.25">
      <c r="A52" s="242"/>
      <c r="B52" s="71" t="s">
        <v>86</v>
      </c>
      <c r="C52" s="62">
        <f t="shared" ref="C52:S52" si="8">IF((C50-C51)&lt;0,0,(C50-C51))</f>
        <v>0</v>
      </c>
      <c r="D52" s="63">
        <f t="shared" si="8"/>
        <v>0</v>
      </c>
      <c r="E52" s="63">
        <f t="shared" si="8"/>
        <v>0</v>
      </c>
      <c r="F52" s="63">
        <f t="shared" si="8"/>
        <v>0</v>
      </c>
      <c r="G52" s="63">
        <f t="shared" si="8"/>
        <v>0</v>
      </c>
      <c r="H52" s="63">
        <f t="shared" si="8"/>
        <v>0</v>
      </c>
      <c r="I52" s="63">
        <f t="shared" si="8"/>
        <v>0</v>
      </c>
      <c r="J52" s="63">
        <f t="shared" si="8"/>
        <v>0</v>
      </c>
      <c r="K52" s="63">
        <f t="shared" si="8"/>
        <v>0</v>
      </c>
      <c r="L52" s="181">
        <f t="shared" si="8"/>
        <v>0</v>
      </c>
      <c r="M52" s="62">
        <f t="shared" si="8"/>
        <v>0</v>
      </c>
      <c r="N52" s="63">
        <f t="shared" si="8"/>
        <v>0</v>
      </c>
      <c r="O52" s="63">
        <f t="shared" si="8"/>
        <v>0</v>
      </c>
      <c r="P52" s="63">
        <f t="shared" si="8"/>
        <v>0</v>
      </c>
      <c r="Q52" s="63">
        <f t="shared" si="8"/>
        <v>0</v>
      </c>
      <c r="R52" s="63">
        <f t="shared" si="8"/>
        <v>0</v>
      </c>
      <c r="S52" s="64">
        <f t="shared" si="8"/>
        <v>0</v>
      </c>
      <c r="T52" s="259"/>
      <c r="U52" s="263"/>
    </row>
    <row r="53" spans="1:21" ht="21" customHeight="1" thickBot="1" x14ac:dyDescent="0.3">
      <c r="A53" s="242"/>
      <c r="B53" s="74" t="s">
        <v>87</v>
      </c>
      <c r="C53" s="67" t="e">
        <f t="shared" ref="C53:S53" si="9">C49*C52</f>
        <v>#VALUE!</v>
      </c>
      <c r="D53" s="68" t="e">
        <f t="shared" si="9"/>
        <v>#VALUE!</v>
      </c>
      <c r="E53" s="68" t="e">
        <f t="shared" si="9"/>
        <v>#VALUE!</v>
      </c>
      <c r="F53" s="68" t="e">
        <f t="shared" si="9"/>
        <v>#VALUE!</v>
      </c>
      <c r="G53" s="68" t="e">
        <f t="shared" si="9"/>
        <v>#VALUE!</v>
      </c>
      <c r="H53" s="68" t="e">
        <f t="shared" si="9"/>
        <v>#VALUE!</v>
      </c>
      <c r="I53" s="68" t="e">
        <f t="shared" si="9"/>
        <v>#VALUE!</v>
      </c>
      <c r="J53" s="68" t="e">
        <f t="shared" si="9"/>
        <v>#VALUE!</v>
      </c>
      <c r="K53" s="68" t="e">
        <f t="shared" si="9"/>
        <v>#VALUE!</v>
      </c>
      <c r="L53" s="70" t="e">
        <f t="shared" si="9"/>
        <v>#VALUE!</v>
      </c>
      <c r="M53" s="67" t="e">
        <f t="shared" si="9"/>
        <v>#VALUE!</v>
      </c>
      <c r="N53" s="68" t="e">
        <f t="shared" si="9"/>
        <v>#VALUE!</v>
      </c>
      <c r="O53" s="68" t="e">
        <f t="shared" si="9"/>
        <v>#VALUE!</v>
      </c>
      <c r="P53" s="68" t="e">
        <f t="shared" si="9"/>
        <v>#VALUE!</v>
      </c>
      <c r="Q53" s="68" t="e">
        <f t="shared" si="9"/>
        <v>#VALUE!</v>
      </c>
      <c r="R53" s="68" t="e">
        <f t="shared" si="9"/>
        <v>#VALUE!</v>
      </c>
      <c r="S53" s="69" t="e">
        <f t="shared" si="9"/>
        <v>#VALUE!</v>
      </c>
      <c r="T53" s="259"/>
      <c r="U53" s="263"/>
    </row>
    <row r="54" spans="1:21" ht="28.5" customHeight="1" thickBot="1" x14ac:dyDescent="0.3">
      <c r="A54" s="309" t="s">
        <v>88</v>
      </c>
      <c r="B54" s="310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1"/>
      <c r="T54" s="79" t="s">
        <v>13</v>
      </c>
      <c r="U54" s="80" t="e">
        <f>SUM(U36:U53)</f>
        <v>#VALUE!</v>
      </c>
    </row>
    <row r="55" spans="1:21" ht="16.5" customHeight="1" x14ac:dyDescent="0.25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9"/>
      <c r="S55" s="60"/>
    </row>
  </sheetData>
  <mergeCells count="165">
    <mergeCell ref="Z42:Z44"/>
    <mergeCell ref="B5:E5"/>
    <mergeCell ref="AA40:AA41"/>
    <mergeCell ref="Y20:Y21"/>
    <mergeCell ref="Q8:R8"/>
    <mergeCell ref="Z38:Z39"/>
    <mergeCell ref="AB38:AB39"/>
    <mergeCell ref="AA42:AA44"/>
    <mergeCell ref="AB40:AB41"/>
    <mergeCell ref="U36:U41"/>
    <mergeCell ref="Z22:AA22"/>
    <mergeCell ref="AB22:AC22"/>
    <mergeCell ref="Z14:Z15"/>
    <mergeCell ref="Z12:AA12"/>
    <mergeCell ref="AB12:AC12"/>
    <mergeCell ref="T42:T47"/>
    <mergeCell ref="AC36:AC37"/>
    <mergeCell ref="AA14:AA15"/>
    <mergeCell ref="AA36:AA37"/>
    <mergeCell ref="AI20:AI21"/>
    <mergeCell ref="H6:I6"/>
    <mergeCell ref="J6:K6"/>
    <mergeCell ref="J22:L22"/>
    <mergeCell ref="A33:U33"/>
    <mergeCell ref="A18:A19"/>
    <mergeCell ref="J21:L21"/>
    <mergeCell ref="U18:U19"/>
    <mergeCell ref="AD16:AD17"/>
    <mergeCell ref="I12:J12"/>
    <mergeCell ref="K12:L12"/>
    <mergeCell ref="U14:U15"/>
    <mergeCell ref="H7:I7"/>
    <mergeCell ref="J7:K7"/>
    <mergeCell ref="V16:V17"/>
    <mergeCell ref="J23:L23"/>
    <mergeCell ref="O6:Q6"/>
    <mergeCell ref="AH16:AH17"/>
    <mergeCell ref="AH18:AH19"/>
    <mergeCell ref="B9:E9"/>
    <mergeCell ref="B8:E8"/>
    <mergeCell ref="AE14:AE15"/>
    <mergeCell ref="AH22:AI22"/>
    <mergeCell ref="AH12:AI12"/>
    <mergeCell ref="AF20:AF21"/>
    <mergeCell ref="C12:D12"/>
    <mergeCell ref="P34:S34"/>
    <mergeCell ref="T34:T35"/>
    <mergeCell ref="A54:S54"/>
    <mergeCell ref="A24:I24"/>
    <mergeCell ref="A42:A47"/>
    <mergeCell ref="AB14:AB15"/>
    <mergeCell ref="AF22:AG22"/>
    <mergeCell ref="AE16:AE17"/>
    <mergeCell ref="AF18:AF19"/>
    <mergeCell ref="V14:V15"/>
    <mergeCell ref="Z36:Z37"/>
    <mergeCell ref="AD12:AE12"/>
    <mergeCell ref="I34:J34"/>
    <mergeCell ref="K34:L34"/>
    <mergeCell ref="P12:S12"/>
    <mergeCell ref="AC42:AC44"/>
    <mergeCell ref="U42:U47"/>
    <mergeCell ref="Y42:Y44"/>
    <mergeCell ref="AA20:AA21"/>
    <mergeCell ref="AC20:AC21"/>
    <mergeCell ref="AD40:AD41"/>
    <mergeCell ref="A23:I23"/>
    <mergeCell ref="A14:A15"/>
    <mergeCell ref="A34:B35"/>
    <mergeCell ref="T16:T17"/>
    <mergeCell ref="Z40:Z41"/>
    <mergeCell ref="AB18:AB19"/>
    <mergeCell ref="N1:V2"/>
    <mergeCell ref="Y38:Y39"/>
    <mergeCell ref="O7:S7"/>
    <mergeCell ref="C11:L11"/>
    <mergeCell ref="C34:D34"/>
    <mergeCell ref="U11:U12"/>
    <mergeCell ref="A36:A41"/>
    <mergeCell ref="H8:I8"/>
    <mergeCell ref="T18:T19"/>
    <mergeCell ref="J8:K8"/>
    <mergeCell ref="V18:V19"/>
    <mergeCell ref="AB20:AB21"/>
    <mergeCell ref="AD38:AD39"/>
    <mergeCell ref="AB16:AB17"/>
    <mergeCell ref="O9:P9"/>
    <mergeCell ref="J24:L24"/>
    <mergeCell ref="AD20:AD21"/>
    <mergeCell ref="T36:T41"/>
    <mergeCell ref="N5:N9"/>
    <mergeCell ref="AD14:AD15"/>
    <mergeCell ref="T5:V5"/>
    <mergeCell ref="F7:G7"/>
    <mergeCell ref="B7:E7"/>
    <mergeCell ref="F8:G8"/>
    <mergeCell ref="AI14:AI15"/>
    <mergeCell ref="AD18:AD19"/>
    <mergeCell ref="E12:F12"/>
    <mergeCell ref="A12:B13"/>
    <mergeCell ref="G12:H12"/>
    <mergeCell ref="A5:A9"/>
    <mergeCell ref="A11:B11"/>
    <mergeCell ref="Z11:AG11"/>
    <mergeCell ref="F6:G6"/>
    <mergeCell ref="AF16:AF17"/>
    <mergeCell ref="O5:S5"/>
    <mergeCell ref="AC14:AC15"/>
    <mergeCell ref="AG16:AG17"/>
    <mergeCell ref="V11:V12"/>
    <mergeCell ref="AI16:AI17"/>
    <mergeCell ref="Z18:Z19"/>
    <mergeCell ref="AC16:AC17"/>
    <mergeCell ref="Y14:Y15"/>
    <mergeCell ref="B6:E6"/>
    <mergeCell ref="T14:T15"/>
    <mergeCell ref="Z16:Z17"/>
    <mergeCell ref="AI18:AI19"/>
    <mergeCell ref="A4:V4"/>
    <mergeCell ref="J9:K9"/>
    <mergeCell ref="AF14:AF15"/>
    <mergeCell ref="U48:U53"/>
    <mergeCell ref="R6:S6"/>
    <mergeCell ref="AC38:AC39"/>
    <mergeCell ref="AA16:AA17"/>
    <mergeCell ref="A22:I22"/>
    <mergeCell ref="E34:F34"/>
    <mergeCell ref="G34:H34"/>
    <mergeCell ref="T11:T12"/>
    <mergeCell ref="Y16:Y17"/>
    <mergeCell ref="AF12:AG12"/>
    <mergeCell ref="Q9:R9"/>
    <mergeCell ref="AG18:AG19"/>
    <mergeCell ref="F5:L5"/>
    <mergeCell ref="Y36:Y37"/>
    <mergeCell ref="Y18:Y19"/>
    <mergeCell ref="O8:P8"/>
    <mergeCell ref="AE20:AE21"/>
    <mergeCell ref="AA18:AA19"/>
    <mergeCell ref="AG20:AG21"/>
    <mergeCell ref="AG14:AG15"/>
    <mergeCell ref="A48:A53"/>
    <mergeCell ref="AA38:AA39"/>
    <mergeCell ref="A16:A17"/>
    <mergeCell ref="AH20:AH21"/>
    <mergeCell ref="U16:U17"/>
    <mergeCell ref="H9:I9"/>
    <mergeCell ref="A32:U32"/>
    <mergeCell ref="AB42:AB44"/>
    <mergeCell ref="AD42:AD44"/>
    <mergeCell ref="AB36:AB37"/>
    <mergeCell ref="AD36:AD37"/>
    <mergeCell ref="Y40:Y41"/>
    <mergeCell ref="Z33:AD33"/>
    <mergeCell ref="M11:S11"/>
    <mergeCell ref="AC40:AC41"/>
    <mergeCell ref="F9:G9"/>
    <mergeCell ref="AD22:AE22"/>
    <mergeCell ref="T48:T53"/>
    <mergeCell ref="AH14:AH15"/>
    <mergeCell ref="AC18:AC19"/>
    <mergeCell ref="AE18:AE19"/>
    <mergeCell ref="A21:I21"/>
    <mergeCell ref="Z20:Z21"/>
    <mergeCell ref="U34:U35"/>
  </mergeCells>
  <phoneticPr fontId="2" type="noConversion"/>
  <conditionalFormatting sqref="C14:S14 C16:S16 C36:S36 C42:S42 C48:S48">
    <cfRule type="containsText" dxfId="23" priority="13" operator="containsText" text="全華">
      <formula>NOT(ISERROR(SEARCH("全華",C14)))</formula>
    </cfRule>
    <cfRule type="containsText" dxfId="22" priority="14" operator="containsText" text="奇鼎">
      <formula>NOT(ISERROR(SEARCH("奇鼎",C14)))</formula>
    </cfRule>
    <cfRule type="containsText" dxfId="21" priority="15" operator="containsText" text="佳音">
      <formula>NOT(ISERROR(SEARCH("佳音",C14)))</formula>
    </cfRule>
    <cfRule type="containsText" dxfId="20" priority="16" operator="containsText" text="南一">
      <formula>NOT(ISERROR(SEARCH("南一",C14)))</formula>
    </cfRule>
    <cfRule type="containsText" dxfId="19" priority="18" operator="containsText" text="翰林">
      <formula>NOT(ISERROR(SEARCH("翰林",C14)))</formula>
    </cfRule>
    <cfRule type="containsText" dxfId="18" priority="19" operator="containsText" text="康軒">
      <formula>NOT(ISERROR(SEARCH("康軒",C14)))</formula>
    </cfRule>
  </conditionalFormatting>
  <conditionalFormatting sqref="C18:S18">
    <cfRule type="containsText" dxfId="17" priority="1" operator="containsText" text="全華">
      <formula>NOT(ISERROR(SEARCH("全華",C18)))</formula>
    </cfRule>
    <cfRule type="containsText" dxfId="16" priority="2" operator="containsText" text="奇鼎">
      <formula>NOT(ISERROR(SEARCH("奇鼎",C18)))</formula>
    </cfRule>
    <cfRule type="containsText" dxfId="15" priority="3" operator="containsText" text="佳音">
      <formula>NOT(ISERROR(SEARCH("佳音",C18)))</formula>
    </cfRule>
    <cfRule type="containsText" dxfId="14" priority="4" operator="containsText" text="南一">
      <formula>NOT(ISERROR(SEARCH("南一",C18)))</formula>
    </cfRule>
    <cfRule type="containsText" dxfId="13" priority="5" operator="containsText" text="翰林">
      <formula>NOT(ISERROR(SEARCH("翰林",C18)))</formula>
    </cfRule>
    <cfRule type="containsText" dxfId="12" priority="6" operator="containsText" text="康軒">
      <formula>NOT(ISERROR(SEARCH("康軒",C18)))</formula>
    </cfRule>
  </conditionalFormatting>
  <dataValidations count="1">
    <dataValidation type="list" allowBlank="1" showInputMessage="1" showErrorMessage="1" sqref="C14:S14 C16:S16 C18:S18 C36:S36 C42:S42 C48:S48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94"/>
  <sheetViews>
    <sheetView zoomScale="75" zoomScaleNormal="75" workbookViewId="0">
      <selection activeCell="A4" sqref="A4:T4"/>
    </sheetView>
  </sheetViews>
  <sheetFormatPr defaultColWidth="9" defaultRowHeight="14.25" x14ac:dyDescent="0.25"/>
  <cols>
    <col min="1" max="1" width="9.33203125" style="104" customWidth="1"/>
    <col min="2" max="2" width="13.6640625" style="103" customWidth="1"/>
    <col min="3" max="3" width="12" style="103" customWidth="1"/>
    <col min="4" max="13" width="11.83203125" style="103" customWidth="1"/>
    <col min="14" max="14" width="9.6640625" style="103" customWidth="1"/>
    <col min="15" max="17" width="17.33203125" style="103" customWidth="1"/>
    <col min="18" max="19" width="13.83203125" style="103" customWidth="1"/>
    <col min="20" max="20" width="16.83203125" style="103" customWidth="1"/>
    <col min="21" max="21" width="16.83203125" style="104" customWidth="1"/>
    <col min="22" max="23" width="9" style="104" customWidth="1"/>
    <col min="24" max="41" width="11.83203125" style="104" customWidth="1"/>
    <col min="42" max="42" width="9" style="104" customWidth="1"/>
    <col min="43" max="16384" width="9" style="104"/>
  </cols>
  <sheetData>
    <row r="1" spans="1:41" s="2" customFormat="1" ht="30" customHeight="1" x14ac:dyDescent="0.25">
      <c r="A1" s="339" t="s">
        <v>89</v>
      </c>
      <c r="B1" s="253"/>
      <c r="C1" s="253"/>
      <c r="D1" s="253"/>
      <c r="E1" s="253"/>
      <c r="F1" s="253"/>
      <c r="G1" s="253"/>
      <c r="H1" s="253"/>
      <c r="I1" s="253"/>
      <c r="J1" s="253"/>
      <c r="K1" s="4"/>
      <c r="L1" s="4"/>
      <c r="M1" s="4"/>
      <c r="N1" s="302" t="s">
        <v>1</v>
      </c>
      <c r="O1" s="253"/>
      <c r="P1" s="253"/>
      <c r="Q1" s="253"/>
      <c r="R1" s="253"/>
      <c r="S1" s="253"/>
      <c r="T1" s="253"/>
    </row>
    <row r="2" spans="1:41" s="2" customFormat="1" ht="27.75" customHeight="1" x14ac:dyDescent="0.25">
      <c r="A2" s="339" t="s">
        <v>2</v>
      </c>
      <c r="B2" s="253"/>
      <c r="C2" s="253"/>
      <c r="D2" s="253"/>
      <c r="E2" s="253"/>
      <c r="F2" s="253"/>
      <c r="G2" s="253"/>
      <c r="H2" s="253"/>
      <c r="I2" s="253"/>
      <c r="J2" s="253"/>
      <c r="K2" s="4"/>
      <c r="L2" s="4"/>
      <c r="M2" s="4"/>
      <c r="N2" s="253"/>
      <c r="O2" s="253"/>
      <c r="P2" s="253"/>
      <c r="Q2" s="253"/>
      <c r="R2" s="253"/>
      <c r="S2" s="253"/>
      <c r="T2" s="253"/>
    </row>
    <row r="3" spans="1:41" s="2" customForma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41" s="2" customFormat="1" ht="31.35" customHeight="1" thickBot="1" x14ac:dyDescent="0.3">
      <c r="A4" s="261" t="s">
        <v>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</row>
    <row r="5" spans="1:41" s="2" customFormat="1" ht="24.75" customHeight="1" x14ac:dyDescent="0.25">
      <c r="A5" s="380" t="s">
        <v>4</v>
      </c>
      <c r="B5" s="331" t="s">
        <v>5</v>
      </c>
      <c r="C5" s="255"/>
      <c r="D5" s="255"/>
      <c r="E5" s="270"/>
      <c r="F5" s="392" t="s">
        <v>90</v>
      </c>
      <c r="G5" s="255"/>
      <c r="H5" s="255"/>
      <c r="I5" s="255"/>
      <c r="J5" s="255"/>
      <c r="K5" s="255"/>
      <c r="L5" s="256"/>
      <c r="M5" s="4"/>
      <c r="N5" s="377" t="s">
        <v>6</v>
      </c>
      <c r="O5" s="286" t="s">
        <v>7</v>
      </c>
      <c r="P5" s="255"/>
      <c r="Q5" s="270"/>
      <c r="R5" s="349" t="s">
        <v>8</v>
      </c>
      <c r="S5" s="255"/>
      <c r="T5" s="256"/>
    </row>
    <row r="6" spans="1:41" s="2" customFormat="1" ht="24.75" customHeight="1" x14ac:dyDescent="0.25">
      <c r="A6" s="242"/>
      <c r="B6" s="276" t="s">
        <v>9</v>
      </c>
      <c r="C6" s="278"/>
      <c r="D6" s="278"/>
      <c r="E6" s="265"/>
      <c r="F6" s="276" t="s">
        <v>10</v>
      </c>
      <c r="G6" s="265"/>
      <c r="H6" s="276" t="s">
        <v>11</v>
      </c>
      <c r="I6" s="265"/>
      <c r="J6" s="276" t="s">
        <v>12</v>
      </c>
      <c r="K6" s="265"/>
      <c r="L6" s="32" t="s">
        <v>13</v>
      </c>
      <c r="M6" s="4"/>
      <c r="N6" s="242"/>
      <c r="O6" s="276" t="s">
        <v>14</v>
      </c>
      <c r="P6" s="265"/>
      <c r="Q6" s="126"/>
      <c r="R6" s="121" t="s">
        <v>15</v>
      </c>
      <c r="S6" s="134" t="s">
        <v>16</v>
      </c>
      <c r="T6" s="32" t="s">
        <v>17</v>
      </c>
    </row>
    <row r="7" spans="1:41" s="2" customFormat="1" ht="24.75" customHeight="1" x14ac:dyDescent="0.25">
      <c r="A7" s="242"/>
      <c r="B7" s="276" t="s">
        <v>18</v>
      </c>
      <c r="C7" s="278"/>
      <c r="D7" s="278"/>
      <c r="E7" s="265"/>
      <c r="F7" s="383"/>
      <c r="G7" s="265"/>
      <c r="H7" s="383"/>
      <c r="I7" s="265"/>
      <c r="J7" s="383"/>
      <c r="K7" s="265"/>
      <c r="L7" s="33">
        <f>SUM(F7:K7)</f>
        <v>0</v>
      </c>
      <c r="M7" s="4"/>
      <c r="N7" s="242"/>
      <c r="O7" s="276" t="s">
        <v>19</v>
      </c>
      <c r="P7" s="278"/>
      <c r="Q7" s="265"/>
      <c r="R7" s="140">
        <f>'(必填)花東B表'!F61</f>
        <v>0</v>
      </c>
      <c r="S7" s="54">
        <f>'(必填)花東B表'!G61</f>
        <v>0</v>
      </c>
      <c r="T7" s="33">
        <f>R7+S7</f>
        <v>0</v>
      </c>
    </row>
    <row r="8" spans="1:41" s="2" customFormat="1" ht="24.75" customHeight="1" x14ac:dyDescent="0.25">
      <c r="A8" s="242"/>
      <c r="B8" s="276" t="s">
        <v>20</v>
      </c>
      <c r="C8" s="278"/>
      <c r="D8" s="278"/>
      <c r="E8" s="265"/>
      <c r="F8" s="374"/>
      <c r="G8" s="265"/>
      <c r="H8" s="374"/>
      <c r="I8" s="265"/>
      <c r="J8" s="374"/>
      <c r="K8" s="265"/>
      <c r="L8" s="33">
        <f>SUM(F8:K8)</f>
        <v>0</v>
      </c>
      <c r="M8" s="4"/>
      <c r="N8" s="242"/>
      <c r="O8" s="52" t="s">
        <v>21</v>
      </c>
      <c r="P8" s="121" t="s">
        <v>22</v>
      </c>
      <c r="Q8" s="52" t="s">
        <v>17</v>
      </c>
      <c r="R8" s="121" t="s">
        <v>21</v>
      </c>
      <c r="S8" s="52" t="s">
        <v>22</v>
      </c>
      <c r="T8" s="32" t="s">
        <v>17</v>
      </c>
    </row>
    <row r="9" spans="1:41" s="2" customFormat="1" ht="24.75" customHeight="1" thickBot="1" x14ac:dyDescent="0.3">
      <c r="A9" s="338"/>
      <c r="B9" s="327" t="s">
        <v>25</v>
      </c>
      <c r="C9" s="328"/>
      <c r="D9" s="328"/>
      <c r="E9" s="251"/>
      <c r="F9" s="250">
        <f>F7-F8</f>
        <v>0</v>
      </c>
      <c r="G9" s="251"/>
      <c r="H9" s="250">
        <f>H7-H8</f>
        <v>0</v>
      </c>
      <c r="I9" s="251"/>
      <c r="J9" s="250">
        <f>J7-J8</f>
        <v>0</v>
      </c>
      <c r="K9" s="251"/>
      <c r="L9" s="34">
        <f>SUM(F9:K9)</f>
        <v>0</v>
      </c>
      <c r="M9" s="4"/>
      <c r="N9" s="338"/>
      <c r="O9" s="127"/>
      <c r="P9" s="135"/>
      <c r="Q9" s="78">
        <f>SUM(O9:P9)</f>
        <v>0</v>
      </c>
      <c r="R9" s="141">
        <f>'(必填)花東B表'!D61</f>
        <v>0</v>
      </c>
      <c r="S9" s="36">
        <f>'(必填)花東B表'!E61</f>
        <v>0</v>
      </c>
      <c r="T9" s="34">
        <f>R9+S9</f>
        <v>0</v>
      </c>
    </row>
    <row r="10" spans="1:41" ht="21.75" customHeight="1" thickBot="1" x14ac:dyDescent="0.3">
      <c r="D10" s="105"/>
      <c r="E10" s="106"/>
      <c r="F10" s="106"/>
      <c r="G10" s="106"/>
      <c r="H10" s="107"/>
      <c r="J10" s="39"/>
      <c r="K10" s="39"/>
      <c r="L10" s="39"/>
      <c r="M10" s="38"/>
      <c r="N10" s="38"/>
      <c r="O10" s="38"/>
      <c r="P10" s="38"/>
      <c r="Q10" s="38"/>
      <c r="R10" s="38"/>
      <c r="S10" s="38"/>
      <c r="T10" s="38"/>
    </row>
    <row r="11" spans="1:41" ht="24.75" customHeight="1" x14ac:dyDescent="0.25">
      <c r="A11" s="398" t="s">
        <v>27</v>
      </c>
      <c r="B11" s="342" t="s">
        <v>91</v>
      </c>
      <c r="C11" s="300"/>
      <c r="D11" s="336" t="s">
        <v>34</v>
      </c>
      <c r="E11" s="270"/>
      <c r="F11" s="336" t="s">
        <v>35</v>
      </c>
      <c r="G11" s="270"/>
      <c r="H11" s="336" t="s">
        <v>36</v>
      </c>
      <c r="I11" s="270"/>
      <c r="J11" s="336" t="s">
        <v>37</v>
      </c>
      <c r="K11" s="270"/>
      <c r="L11" s="385" t="s">
        <v>38</v>
      </c>
      <c r="M11" s="256"/>
      <c r="O11" s="384" t="s">
        <v>92</v>
      </c>
      <c r="P11" s="397" t="s">
        <v>93</v>
      </c>
      <c r="Q11" s="394" t="s">
        <v>94</v>
      </c>
      <c r="X11" s="243" t="s">
        <v>32</v>
      </c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</row>
    <row r="12" spans="1:41" ht="24.75" customHeight="1" x14ac:dyDescent="0.25">
      <c r="A12" s="242"/>
      <c r="B12" s="282"/>
      <c r="C12" s="272"/>
      <c r="D12" s="73" t="s">
        <v>48</v>
      </c>
      <c r="E12" s="73" t="s">
        <v>49</v>
      </c>
      <c r="F12" s="73" t="s">
        <v>48</v>
      </c>
      <c r="G12" s="73" t="s">
        <v>49</v>
      </c>
      <c r="H12" s="73" t="s">
        <v>48</v>
      </c>
      <c r="I12" s="73" t="s">
        <v>49</v>
      </c>
      <c r="J12" s="73" t="s">
        <v>48</v>
      </c>
      <c r="K12" s="73" t="s">
        <v>49</v>
      </c>
      <c r="L12" s="73" t="s">
        <v>48</v>
      </c>
      <c r="M12" s="75" t="s">
        <v>49</v>
      </c>
      <c r="O12" s="246"/>
      <c r="P12" s="290"/>
      <c r="Q12" s="288"/>
      <c r="R12" s="100"/>
      <c r="S12" s="101"/>
      <c r="W12" s="84"/>
      <c r="X12" s="332" t="s">
        <v>43</v>
      </c>
      <c r="Y12" s="334"/>
      <c r="Z12" s="334"/>
      <c r="AA12" s="333" t="s">
        <v>44</v>
      </c>
      <c r="AB12" s="334"/>
      <c r="AC12" s="334"/>
      <c r="AD12" s="315" t="s">
        <v>45</v>
      </c>
      <c r="AE12" s="334"/>
      <c r="AF12" s="334"/>
      <c r="AG12" s="273" t="s">
        <v>46</v>
      </c>
      <c r="AH12" s="334"/>
      <c r="AI12" s="334"/>
      <c r="AJ12" s="330" t="s">
        <v>47</v>
      </c>
      <c r="AK12" s="334"/>
      <c r="AL12" s="334"/>
    </row>
    <row r="13" spans="1:41" ht="24.75" customHeight="1" x14ac:dyDescent="0.25">
      <c r="A13" s="242"/>
      <c r="B13" s="245" t="s">
        <v>10</v>
      </c>
      <c r="C13" s="128" t="s">
        <v>59</v>
      </c>
      <c r="D13" s="131" t="s">
        <v>59</v>
      </c>
      <c r="E13" s="131" t="s">
        <v>59</v>
      </c>
      <c r="F13" s="131" t="s">
        <v>59</v>
      </c>
      <c r="G13" s="131" t="s">
        <v>59</v>
      </c>
      <c r="H13" s="131" t="s">
        <v>59</v>
      </c>
      <c r="I13" s="131" t="s">
        <v>59</v>
      </c>
      <c r="J13" s="131" t="s">
        <v>59</v>
      </c>
      <c r="K13" s="131" t="s">
        <v>59</v>
      </c>
      <c r="L13" s="132" t="s">
        <v>59</v>
      </c>
      <c r="M13" s="133" t="s">
        <v>59</v>
      </c>
      <c r="O13" s="345">
        <f>SUM(D14:M14)</f>
        <v>0</v>
      </c>
      <c r="P13" s="353">
        <f>O13*F9</f>
        <v>0</v>
      </c>
      <c r="Q13" s="346">
        <f>O13*F8</f>
        <v>0</v>
      </c>
      <c r="R13" s="101"/>
      <c r="S13" s="101"/>
      <c r="W13" s="1"/>
      <c r="X13" s="84" t="s">
        <v>95</v>
      </c>
      <c r="Y13" s="149" t="s">
        <v>96</v>
      </c>
      <c r="Z13" s="85" t="s">
        <v>58</v>
      </c>
      <c r="AA13" s="84" t="s">
        <v>95</v>
      </c>
      <c r="AB13" s="149" t="s">
        <v>96</v>
      </c>
      <c r="AC13" s="85" t="s">
        <v>58</v>
      </c>
      <c r="AD13" s="84" t="s">
        <v>95</v>
      </c>
      <c r="AE13" s="149" t="s">
        <v>96</v>
      </c>
      <c r="AF13" s="85" t="s">
        <v>58</v>
      </c>
      <c r="AG13" s="84" t="s">
        <v>95</v>
      </c>
      <c r="AH13" s="149" t="s">
        <v>96</v>
      </c>
      <c r="AI13" s="85" t="s">
        <v>58</v>
      </c>
      <c r="AJ13" s="84" t="s">
        <v>95</v>
      </c>
      <c r="AK13" s="149" t="s">
        <v>96</v>
      </c>
      <c r="AL13" s="85" t="s">
        <v>58</v>
      </c>
    </row>
    <row r="14" spans="1:41" ht="24.75" customHeight="1" x14ac:dyDescent="0.25">
      <c r="A14" s="242"/>
      <c r="B14" s="246"/>
      <c r="C14" s="128" t="s">
        <v>62</v>
      </c>
      <c r="D14" s="95" t="str">
        <f>VLOOKUP(D13,工作表3!$A$5:$AZ$11,2,FALSE)</f>
        <v>金額</v>
      </c>
      <c r="E14" s="95" t="str">
        <f>VLOOKUP(E13,工作表3!$A$5:$AZ$11,3,FALSE)</f>
        <v>金額</v>
      </c>
      <c r="F14" s="95" t="str">
        <f>VLOOKUP(F13,工作表3!$A$5:$AZ$11,4,FALSE)</f>
        <v>金額</v>
      </c>
      <c r="G14" s="95" t="str">
        <f>VLOOKUP(G13,工作表3!$A$5:$AZ$11,5,FALSE)</f>
        <v>金額</v>
      </c>
      <c r="H14" s="95" t="str">
        <f>VLOOKUP(H13,工作表3!$A$5:$AZ$11,6,FALSE)</f>
        <v>金額</v>
      </c>
      <c r="I14" s="95" t="str">
        <f>VLOOKUP(I13,工作表3!$A$5:$AZ$11,7,FALSE)</f>
        <v>金額</v>
      </c>
      <c r="J14" s="95" t="str">
        <f>VLOOKUP(J13,工作表3!$A$5:$AZ$11,8,FALSE)</f>
        <v>金額</v>
      </c>
      <c r="K14" s="95" t="str">
        <f>VLOOKUP(K13,工作表3!$A$5:$AZ$11,9,FALSE)</f>
        <v>金額</v>
      </c>
      <c r="L14" s="95" t="str">
        <f>VLOOKUP(L13,工作表3!$A$5:$AZ$11,10,FALSE)</f>
        <v>金額</v>
      </c>
      <c r="M14" s="96" t="str">
        <f>VLOOKUP(M13,工作表3!$A$5:$AZ$11,11,FALSE)</f>
        <v>金額</v>
      </c>
      <c r="O14" s="246"/>
      <c r="P14" s="290"/>
      <c r="Q14" s="288"/>
      <c r="R14" s="100"/>
      <c r="S14" s="100"/>
      <c r="W14" s="254" t="s">
        <v>61</v>
      </c>
      <c r="X14" s="243">
        <f>SUMIF(D13:M13,"康軒",D14:M14)*F9</f>
        <v>0</v>
      </c>
      <c r="Y14" s="335">
        <f>SUMIF(D23:J23,"康軒",D26:J26)</f>
        <v>0</v>
      </c>
      <c r="Z14" s="260">
        <f>SUMIF(D13:M13,"康軒",D14:M14)*F8</f>
        <v>0</v>
      </c>
      <c r="AA14" s="243">
        <f>SUMIF(D13:M13,"翰林",D14:M14)*F9+AN15</f>
        <v>0</v>
      </c>
      <c r="AB14" s="335">
        <f>SUMIF(D23:J23,"翰林",D26:J26)</f>
        <v>0</v>
      </c>
      <c r="AC14" s="260">
        <f>SUMIF(D13:M13,"翰林",D14:M14)*F8+AO15</f>
        <v>0</v>
      </c>
      <c r="AD14" s="243">
        <f>SUMIF(D13:M13,"南一",D14:M14)*F9</f>
        <v>0</v>
      </c>
      <c r="AE14" s="335">
        <f>SUMIF(D23:J23,"南一",D26:J26)</f>
        <v>0</v>
      </c>
      <c r="AF14" s="260">
        <f>SUMIF(D13:M13,"南一",D14:M14)*F8</f>
        <v>0</v>
      </c>
      <c r="AG14" s="243">
        <f>SUMIF(D13:M13,"奇鼎",D14:M14)*F9</f>
        <v>0</v>
      </c>
      <c r="AH14" s="335">
        <f>SUMIF(D23:J23,"奇鼎",D26:J26)</f>
        <v>0</v>
      </c>
      <c r="AI14" s="260">
        <f>SUMIF(D13:M13,"奇鼎",D14:M14)*F8</f>
        <v>0</v>
      </c>
      <c r="AJ14" s="243">
        <f>SUMIF(D13:M13,"全華",D14:M14)*F9</f>
        <v>0</v>
      </c>
      <c r="AK14" s="335">
        <f>SUMIF(D23:J23,"全華",D26:J26)</f>
        <v>0</v>
      </c>
      <c r="AL14" s="260">
        <f>SUMIF(D13:M13,"全華",D14:M14)*F8</f>
        <v>0</v>
      </c>
      <c r="AM14" s="90"/>
      <c r="AN14" s="84" t="s">
        <v>95</v>
      </c>
      <c r="AO14" s="85" t="s">
        <v>58</v>
      </c>
    </row>
    <row r="15" spans="1:41" ht="24.75" customHeight="1" x14ac:dyDescent="0.25">
      <c r="A15" s="242"/>
      <c r="B15" s="245" t="s">
        <v>11</v>
      </c>
      <c r="C15" s="128" t="s">
        <v>59</v>
      </c>
      <c r="D15" s="131" t="s">
        <v>59</v>
      </c>
      <c r="E15" s="131" t="s">
        <v>59</v>
      </c>
      <c r="F15" s="131" t="s">
        <v>59</v>
      </c>
      <c r="G15" s="131" t="s">
        <v>59</v>
      </c>
      <c r="H15" s="131" t="s">
        <v>59</v>
      </c>
      <c r="I15" s="131" t="s">
        <v>59</v>
      </c>
      <c r="J15" s="131" t="s">
        <v>59</v>
      </c>
      <c r="K15" s="131" t="s">
        <v>59</v>
      </c>
      <c r="L15" s="132" t="s">
        <v>59</v>
      </c>
      <c r="M15" s="133" t="s">
        <v>59</v>
      </c>
      <c r="O15" s="345">
        <f>SUM(D16:M16)</f>
        <v>0</v>
      </c>
      <c r="P15" s="353">
        <f>O15*H9</f>
        <v>0</v>
      </c>
      <c r="Q15" s="346">
        <f>O15*H8</f>
        <v>0</v>
      </c>
      <c r="R15" s="100"/>
      <c r="S15" s="100"/>
      <c r="W15" s="253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92" t="s">
        <v>63</v>
      </c>
      <c r="AN15" s="90">
        <f>SUMIF(D13:M13,"佳音",D14:M14)*F9</f>
        <v>0</v>
      </c>
      <c r="AO15" s="91">
        <f>SUMIF(D13:M13,"佳音",D14:M14)*F8</f>
        <v>0</v>
      </c>
    </row>
    <row r="16" spans="1:41" ht="24.75" customHeight="1" x14ac:dyDescent="0.25">
      <c r="A16" s="242"/>
      <c r="B16" s="246"/>
      <c r="C16" s="128" t="s">
        <v>62</v>
      </c>
      <c r="D16" s="95" t="str">
        <f>VLOOKUP(D15,工作表3!$A$4:$AZ$11,19,FALSE)</f>
        <v>金額</v>
      </c>
      <c r="E16" s="95" t="str">
        <f>VLOOKUP(E15,工作表3!$A$4:$AZ$11,20,FALSE)</f>
        <v>金額</v>
      </c>
      <c r="F16" s="95" t="str">
        <f>VLOOKUP(F15,工作表3!$A$4:$AZ$11,21,FALSE)</f>
        <v>金額</v>
      </c>
      <c r="G16" s="95" t="str">
        <f>VLOOKUP(G15,工作表3!$A$4:$AZ$11,22,FALSE)</f>
        <v>金額</v>
      </c>
      <c r="H16" s="95" t="str">
        <f>VLOOKUP(H15,工作表3!$A$4:$AZ$11,23,FALSE)</f>
        <v>金額</v>
      </c>
      <c r="I16" s="95" t="str">
        <f>VLOOKUP(I15,工作表3!$A$4:$AZ$11,24,FALSE)</f>
        <v>金額</v>
      </c>
      <c r="J16" s="95" t="str">
        <f>VLOOKUP(J15,工作表3!$A$4:$AZ$11,25,FALSE)</f>
        <v>金額</v>
      </c>
      <c r="K16" s="95" t="str">
        <f>VLOOKUP(K15,工作表3!$A$4:$AZ$11,26,FALSE)</f>
        <v>金額</v>
      </c>
      <c r="L16" s="95" t="str">
        <f>VLOOKUP(L15,工作表3!$A$4:$AZ$11,27,FALSE)</f>
        <v>金額</v>
      </c>
      <c r="M16" s="96" t="str">
        <f>VLOOKUP(M15,工作表3!$A$4:$AZ$11,28,FALSE)</f>
        <v>金額</v>
      </c>
      <c r="O16" s="246"/>
      <c r="P16" s="290"/>
      <c r="Q16" s="288"/>
      <c r="R16" s="100"/>
      <c r="S16" s="100"/>
      <c r="W16" s="254" t="s">
        <v>64</v>
      </c>
      <c r="X16" s="243">
        <f>SUMIF(D15:M15,"康軒",D16:M16)*H9</f>
        <v>0</v>
      </c>
      <c r="Y16" s="335">
        <f>SUMIF(D27:J27,"康軒",D30:J30)</f>
        <v>0</v>
      </c>
      <c r="Z16" s="260">
        <f>SUMIF(D15:M15,"康軒",D16:M16)*H8</f>
        <v>0</v>
      </c>
      <c r="AA16" s="243">
        <f>SUMIF(D15:M15,"翰林",D16:M16)*H9+AN17</f>
        <v>0</v>
      </c>
      <c r="AB16" s="335">
        <f>SUMIF(D27:J27,"翰林",D30:J30)</f>
        <v>0</v>
      </c>
      <c r="AC16" s="260">
        <f>SUMIF(D15:M15,"翰林",D16:M16)*H8+AO17</f>
        <v>0</v>
      </c>
      <c r="AD16" s="243">
        <f>SUMIF(D15:M15,"南一",D16:M16)*H9</f>
        <v>0</v>
      </c>
      <c r="AE16" s="335">
        <f>SUMIF(D27:J27,"南一",D30:J30)</f>
        <v>0</v>
      </c>
      <c r="AF16" s="260">
        <f>SUMIF(D15:M15,"南一",D16:M16)*H8</f>
        <v>0</v>
      </c>
      <c r="AG16" s="243">
        <f>SUMIF(D15:M15,"奇鼎",D16:M16)*H9</f>
        <v>0</v>
      </c>
      <c r="AH16" s="335">
        <f>SUMIF(D27:J27,"奇鼎",D30:J30)</f>
        <v>0</v>
      </c>
      <c r="AI16" s="260">
        <f>SUMIF(D15:M15,"奇鼎",D16:M16)*H8</f>
        <v>0</v>
      </c>
      <c r="AJ16" s="243">
        <f>SUMIF(D15:M15,"全華",D16:M16)*H9</f>
        <v>0</v>
      </c>
      <c r="AK16" s="335">
        <f>SUMIF(D27:J27,"全華",D30:J30)</f>
        <v>0</v>
      </c>
      <c r="AL16" s="260">
        <f>SUMIF(D15:M15,"全華",D16:M16)*H8</f>
        <v>0</v>
      </c>
      <c r="AM16" s="84"/>
      <c r="AN16" s="84"/>
      <c r="AO16" s="85"/>
    </row>
    <row r="17" spans="1:41" ht="24.75" customHeight="1" x14ac:dyDescent="0.25">
      <c r="A17" s="242"/>
      <c r="B17" s="343" t="s">
        <v>12</v>
      </c>
      <c r="C17" s="128" t="s">
        <v>59</v>
      </c>
      <c r="D17" s="132" t="s">
        <v>59</v>
      </c>
      <c r="E17" s="131" t="s">
        <v>59</v>
      </c>
      <c r="F17" s="132" t="s">
        <v>59</v>
      </c>
      <c r="G17" s="131" t="s">
        <v>59</v>
      </c>
      <c r="H17" s="132" t="s">
        <v>59</v>
      </c>
      <c r="I17" s="131" t="s">
        <v>59</v>
      </c>
      <c r="J17" s="132" t="s">
        <v>59</v>
      </c>
      <c r="K17" s="131" t="s">
        <v>59</v>
      </c>
      <c r="L17" s="132" t="s">
        <v>59</v>
      </c>
      <c r="M17" s="133" t="s">
        <v>59</v>
      </c>
      <c r="O17" s="345">
        <f>SUM(D18:M18)</f>
        <v>0</v>
      </c>
      <c r="P17" s="353">
        <f>O17*J9</f>
        <v>0</v>
      </c>
      <c r="Q17" s="346">
        <f>O17*J8</f>
        <v>0</v>
      </c>
      <c r="R17" s="102"/>
      <c r="S17" s="102"/>
      <c r="W17" s="253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92" t="s">
        <v>63</v>
      </c>
      <c r="AN17" s="90">
        <f>SUMIF(D15:M15,"佳音",D16:M16)*H9</f>
        <v>0</v>
      </c>
      <c r="AO17" s="91">
        <f>SUMIF(D15:M15,"佳音",D16:M16)*H8</f>
        <v>0</v>
      </c>
    </row>
    <row r="18" spans="1:41" ht="24.75" customHeight="1" thickBot="1" x14ac:dyDescent="0.3">
      <c r="A18" s="338"/>
      <c r="B18" s="344"/>
      <c r="C18" s="130" t="s">
        <v>62</v>
      </c>
      <c r="D18" s="115" t="str">
        <f>VLOOKUP(D17,工作表3!$A$4:$AZ$11,36,FALSE)</f>
        <v>金額</v>
      </c>
      <c r="E18" s="115" t="str">
        <f>VLOOKUP(E17,工作表3!$A$4:$AZ$11,37,FALSE)</f>
        <v>金額</v>
      </c>
      <c r="F18" s="115" t="str">
        <f>VLOOKUP(F17,工作表3!$A$4:$AZ$11,38,FALSE)</f>
        <v>金額</v>
      </c>
      <c r="G18" s="115" t="str">
        <f>VLOOKUP(G17,工作表3!$A$4:$AZ$11,39,FALSE)</f>
        <v>金額</v>
      </c>
      <c r="H18" s="115" t="str">
        <f>VLOOKUP(H17,工作表3!$A$4:$AZ$11,40,FALSE)</f>
        <v>金額</v>
      </c>
      <c r="I18" s="115" t="str">
        <f>VLOOKUP(I17,工作表3!$A$4:$AZ$11,41,FALSE)</f>
        <v>金額</v>
      </c>
      <c r="J18" s="115" t="str">
        <f>VLOOKUP(J17,工作表3!$A$4:$AZ$11,42,FALSE)</f>
        <v>金額</v>
      </c>
      <c r="K18" s="115" t="str">
        <f>VLOOKUP(K17,工作表3!$A$4:$AZ$11,43,FALSE)</f>
        <v>金額</v>
      </c>
      <c r="L18" s="115" t="str">
        <f>VLOOKUP(L17,工作表3!$A$4:$AZ$11,44,FALSE)</f>
        <v>金額</v>
      </c>
      <c r="M18" s="138" t="str">
        <f>VLOOKUP(M17,工作表3!$A$4:$AZ$11,45,FALSE)</f>
        <v>金額</v>
      </c>
      <c r="O18" s="246"/>
      <c r="P18" s="290"/>
      <c r="Q18" s="288"/>
      <c r="R18" s="102"/>
      <c r="S18" s="102"/>
      <c r="W18" s="254" t="s">
        <v>65</v>
      </c>
      <c r="X18" s="243">
        <f>SUMIF(D17:M17,"康軒",D18:M18)*J9</f>
        <v>0</v>
      </c>
      <c r="Y18" s="335">
        <f>SUMIF(D31:J31,"康軒",D34:J34)</f>
        <v>0</v>
      </c>
      <c r="Z18" s="260">
        <f>SUMIF(D17:M17,"康軒",D18:M18)*J8</f>
        <v>0</v>
      </c>
      <c r="AA18" s="243">
        <f>SUMIF(D17:M17,"翰林",D18:M18)*J9+AN19</f>
        <v>0</v>
      </c>
      <c r="AB18" s="335">
        <f>SUMIF(D31:J31,"翰林",D34:J34)</f>
        <v>0</v>
      </c>
      <c r="AC18" s="260">
        <f>SUMIF(D17:M17,"翰林",D18:M18)*J8+AO19</f>
        <v>0</v>
      </c>
      <c r="AD18" s="243">
        <f>SUMIF(D17:M17,"南一",D18:M18)*J9</f>
        <v>0</v>
      </c>
      <c r="AE18" s="335">
        <f>SUMIF(D31:J31,"南一",D34:J34)</f>
        <v>0</v>
      </c>
      <c r="AF18" s="260">
        <f>SUMIF(D17:M17,"南一",D18:M18)*J8</f>
        <v>0</v>
      </c>
      <c r="AG18" s="243">
        <f>SUMIF(D17:M17,"奇鼎",D18:M18)*J9</f>
        <v>0</v>
      </c>
      <c r="AH18" s="335">
        <f>SUMIF(D31:J31,"奇鼎",D34:J34)</f>
        <v>0</v>
      </c>
      <c r="AI18" s="260">
        <f>SUMIF(D17:M17,"奇鼎",D18:M18)*J8</f>
        <v>0</v>
      </c>
      <c r="AJ18" s="243">
        <f>SUMIF(D17:M17,"全華",D18:M18)*J9</f>
        <v>0</v>
      </c>
      <c r="AK18" s="335">
        <f>SUMIF(D31:J31,"全華",D34:J34)</f>
        <v>0</v>
      </c>
      <c r="AL18" s="260">
        <f>SUMIF(D17:M17,"全華",D18:M18)*J8</f>
        <v>0</v>
      </c>
      <c r="AM18" s="84"/>
      <c r="AN18" s="84"/>
      <c r="AO18" s="85"/>
    </row>
    <row r="19" spans="1:41" ht="37.5" customHeight="1" thickBot="1" x14ac:dyDescent="0.3">
      <c r="A19" s="109"/>
      <c r="B19" s="110"/>
      <c r="C19" s="110"/>
      <c r="D19" s="97"/>
      <c r="E19" s="97"/>
      <c r="F19" s="97"/>
      <c r="G19" s="97"/>
      <c r="H19" s="97"/>
      <c r="I19" s="97"/>
      <c r="J19" s="97"/>
      <c r="K19" s="97"/>
      <c r="L19" s="111"/>
      <c r="M19" s="111"/>
      <c r="O19" s="139" t="s">
        <v>13</v>
      </c>
      <c r="P19" s="136">
        <f>SUM(P13:P18)</f>
        <v>0</v>
      </c>
      <c r="Q19" s="142">
        <f>SUM(Q13:Q18)</f>
        <v>0</v>
      </c>
      <c r="W19" s="253"/>
      <c r="X19" s="334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92" t="s">
        <v>63</v>
      </c>
      <c r="AN19" s="90">
        <f>SUMIF(D17:M17,"佳音",D18:M18)*J9</f>
        <v>0</v>
      </c>
      <c r="AO19" s="91">
        <f>SUMIF(D17:M17,"佳音",D18:M18)*J8</f>
        <v>0</v>
      </c>
    </row>
    <row r="20" spans="1:41" ht="24.75" customHeight="1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W20" s="317" t="s">
        <v>13</v>
      </c>
      <c r="X20" s="247">
        <f t="shared" ref="X20:AL20" si="0">SUM(X14:X19)</f>
        <v>0</v>
      </c>
      <c r="Y20" s="348">
        <f t="shared" si="0"/>
        <v>0</v>
      </c>
      <c r="Z20" s="277">
        <f t="shared" si="0"/>
        <v>0</v>
      </c>
      <c r="AA20" s="247">
        <f t="shared" si="0"/>
        <v>0</v>
      </c>
      <c r="AB20" s="348">
        <f t="shared" si="0"/>
        <v>0</v>
      </c>
      <c r="AC20" s="277">
        <f t="shared" si="0"/>
        <v>0</v>
      </c>
      <c r="AD20" s="247">
        <f t="shared" si="0"/>
        <v>0</v>
      </c>
      <c r="AE20" s="348">
        <f t="shared" si="0"/>
        <v>0</v>
      </c>
      <c r="AF20" s="277">
        <f t="shared" si="0"/>
        <v>0</v>
      </c>
      <c r="AG20" s="247">
        <f t="shared" si="0"/>
        <v>0</v>
      </c>
      <c r="AH20" s="348">
        <f t="shared" si="0"/>
        <v>0</v>
      </c>
      <c r="AI20" s="277">
        <f t="shared" si="0"/>
        <v>0</v>
      </c>
      <c r="AJ20" s="247">
        <f t="shared" si="0"/>
        <v>0</v>
      </c>
      <c r="AK20" s="348">
        <f t="shared" si="0"/>
        <v>0</v>
      </c>
      <c r="AL20" s="277">
        <f t="shared" si="0"/>
        <v>0</v>
      </c>
      <c r="AM20" s="90"/>
      <c r="AN20" s="90"/>
      <c r="AO20" s="90"/>
    </row>
    <row r="21" spans="1:41" ht="24.75" customHeight="1" x14ac:dyDescent="0.25">
      <c r="A21" s="347" t="s">
        <v>97</v>
      </c>
      <c r="B21" s="350" t="s">
        <v>98</v>
      </c>
      <c r="C21" s="300"/>
      <c r="D21" s="123" t="s">
        <v>39</v>
      </c>
      <c r="E21" s="123" t="s">
        <v>40</v>
      </c>
      <c r="F21" s="122" t="s">
        <v>41</v>
      </c>
      <c r="G21" s="336" t="s">
        <v>99</v>
      </c>
      <c r="H21" s="270"/>
      <c r="I21" s="336" t="s">
        <v>100</v>
      </c>
      <c r="J21" s="270"/>
      <c r="K21" s="399" t="s">
        <v>101</v>
      </c>
      <c r="L21" s="370"/>
      <c r="M21" s="112"/>
      <c r="O21" s="351" t="s">
        <v>102</v>
      </c>
      <c r="P21" s="364"/>
      <c r="Q21" s="281"/>
      <c r="R21" s="104"/>
      <c r="W21" s="253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90"/>
      <c r="AN21" s="90"/>
      <c r="AO21" s="90"/>
    </row>
    <row r="22" spans="1:41" ht="24.75" customHeight="1" x14ac:dyDescent="0.25">
      <c r="A22" s="242"/>
      <c r="B22" s="282"/>
      <c r="C22" s="272"/>
      <c r="D22" s="73" t="s">
        <v>48</v>
      </c>
      <c r="E22" s="73" t="s">
        <v>48</v>
      </c>
      <c r="F22" s="73" t="s">
        <v>48</v>
      </c>
      <c r="G22" s="73" t="s">
        <v>48</v>
      </c>
      <c r="H22" s="73" t="s">
        <v>49</v>
      </c>
      <c r="I22" s="73" t="s">
        <v>48</v>
      </c>
      <c r="J22" s="73" t="s">
        <v>49</v>
      </c>
      <c r="K22" s="282"/>
      <c r="L22" s="371"/>
      <c r="M22" s="112"/>
      <c r="O22" s="341"/>
      <c r="P22" s="360"/>
      <c r="Q22" s="259"/>
      <c r="R22" s="104"/>
      <c r="W22" s="17" t="s">
        <v>70</v>
      </c>
      <c r="X22" s="257">
        <f>SUM(X20:Z21)</f>
        <v>0</v>
      </c>
      <c r="Y22" s="334"/>
      <c r="Z22" s="334"/>
      <c r="AA22" s="257">
        <f>SUM(AA20:AC21)</f>
        <v>0</v>
      </c>
      <c r="AB22" s="334"/>
      <c r="AC22" s="334"/>
      <c r="AD22" s="257">
        <f>SUM(AD20:AF21)</f>
        <v>0</v>
      </c>
      <c r="AE22" s="334"/>
      <c r="AF22" s="334"/>
      <c r="AG22" s="257">
        <f>SUM(AG20:AI21)</f>
        <v>0</v>
      </c>
      <c r="AH22" s="334"/>
      <c r="AI22" s="334"/>
      <c r="AJ22" s="257">
        <f>SUM(AJ20:AL21)</f>
        <v>0</v>
      </c>
      <c r="AK22" s="334"/>
      <c r="AL22" s="334"/>
      <c r="AM22" s="90"/>
      <c r="AN22" s="90"/>
      <c r="AO22" s="90"/>
    </row>
    <row r="23" spans="1:41" ht="24.75" customHeight="1" x14ac:dyDescent="0.25">
      <c r="A23" s="242"/>
      <c r="B23" s="340" t="s">
        <v>10</v>
      </c>
      <c r="C23" s="128" t="s">
        <v>59</v>
      </c>
      <c r="D23" s="132" t="s">
        <v>59</v>
      </c>
      <c r="E23" s="132" t="s">
        <v>59</v>
      </c>
      <c r="F23" s="132" t="s">
        <v>59</v>
      </c>
      <c r="G23" s="132" t="s">
        <v>59</v>
      </c>
      <c r="H23" s="132" t="s">
        <v>59</v>
      </c>
      <c r="I23" s="137" t="str">
        <f>G23</f>
        <v>版本</v>
      </c>
      <c r="J23" s="137" t="str">
        <f>H23</f>
        <v>版本</v>
      </c>
      <c r="K23" s="387">
        <f>SUM(D26:J26)</f>
        <v>0</v>
      </c>
      <c r="L23" s="359"/>
      <c r="M23" s="113"/>
      <c r="O23" s="341"/>
      <c r="P23" s="360"/>
      <c r="Q23" s="259"/>
      <c r="R23" s="104"/>
    </row>
    <row r="24" spans="1:41" ht="24.75" customHeight="1" x14ac:dyDescent="0.25">
      <c r="A24" s="242"/>
      <c r="B24" s="341"/>
      <c r="C24" s="128" t="s">
        <v>62</v>
      </c>
      <c r="D24" s="95" t="str">
        <f>VLOOKUP(D23,工作表3!$A$5:$AZ$11,12,FALSE)</f>
        <v>金額</v>
      </c>
      <c r="E24" s="95" t="str">
        <f>VLOOKUP(E23,工作表3!$A$5:$AZ$11,13,FALSE)</f>
        <v>金額</v>
      </c>
      <c r="F24" s="95" t="str">
        <f>VLOOKUP(F23,工作表3!$A$5:$AZ$11,14,FALSE)</f>
        <v>金額</v>
      </c>
      <c r="G24" s="95" t="str">
        <f>VLOOKUP(G23,工作表3!$A$5:$AZ$11,15,FALSE)</f>
        <v>金額</v>
      </c>
      <c r="H24" s="95" t="str">
        <f>VLOOKUP(H23,工作表3!$A$5:$AZ$11,16,FALSE)</f>
        <v>金額</v>
      </c>
      <c r="I24" s="95" t="str">
        <f>VLOOKUP(I23,工作表3!$A$5:$AZ$11,17,FALSE)</f>
        <v>金額</v>
      </c>
      <c r="J24" s="95" t="str">
        <f>VLOOKUP(J23,工作表3!$A$5:$AZ$11,18,FALSE)</f>
        <v>金額</v>
      </c>
      <c r="K24" s="360"/>
      <c r="L24" s="361"/>
      <c r="M24" s="114"/>
      <c r="O24" s="246"/>
      <c r="P24" s="282"/>
      <c r="Q24" s="272"/>
      <c r="R24" s="104"/>
    </row>
    <row r="25" spans="1:41" ht="24.75" customHeight="1" x14ac:dyDescent="0.25">
      <c r="A25" s="242"/>
      <c r="B25" s="341"/>
      <c r="C25" s="129" t="s">
        <v>103</v>
      </c>
      <c r="D25" s="118"/>
      <c r="E25" s="118"/>
      <c r="F25" s="118"/>
      <c r="G25" s="118"/>
      <c r="H25" s="118"/>
      <c r="I25" s="118"/>
      <c r="J25" s="118"/>
      <c r="K25" s="360"/>
      <c r="L25" s="361"/>
      <c r="M25" s="114"/>
      <c r="O25" s="351" t="s">
        <v>104</v>
      </c>
      <c r="P25" s="388">
        <f>P19</f>
        <v>0</v>
      </c>
      <c r="Q25" s="281"/>
      <c r="R25" s="104"/>
    </row>
    <row r="26" spans="1:41" ht="24.75" customHeight="1" x14ac:dyDescent="0.25">
      <c r="A26" s="242"/>
      <c r="B26" s="246"/>
      <c r="C26" s="128" t="s">
        <v>105</v>
      </c>
      <c r="D26" s="95">
        <f t="shared" ref="D26:J26" si="1">IF(ISERROR(D24*D25),,D24*D25)</f>
        <v>0</v>
      </c>
      <c r="E26" s="95">
        <f t="shared" si="1"/>
        <v>0</v>
      </c>
      <c r="F26" s="95">
        <f t="shared" si="1"/>
        <v>0</v>
      </c>
      <c r="G26" s="95">
        <f t="shared" si="1"/>
        <v>0</v>
      </c>
      <c r="H26" s="95">
        <f t="shared" si="1"/>
        <v>0</v>
      </c>
      <c r="I26" s="95">
        <f t="shared" si="1"/>
        <v>0</v>
      </c>
      <c r="J26" s="95">
        <f t="shared" si="1"/>
        <v>0</v>
      </c>
      <c r="K26" s="282"/>
      <c r="L26" s="371"/>
      <c r="M26" s="114"/>
      <c r="O26" s="341"/>
      <c r="P26" s="360"/>
      <c r="Q26" s="259"/>
      <c r="R26" s="104"/>
    </row>
    <row r="27" spans="1:41" ht="24.75" customHeight="1" x14ac:dyDescent="0.25">
      <c r="A27" s="242"/>
      <c r="B27" s="340" t="s">
        <v>11</v>
      </c>
      <c r="C27" s="128" t="s">
        <v>59</v>
      </c>
      <c r="D27" s="132" t="s">
        <v>59</v>
      </c>
      <c r="E27" s="132" t="s">
        <v>59</v>
      </c>
      <c r="F27" s="132" t="s">
        <v>59</v>
      </c>
      <c r="G27" s="132" t="s">
        <v>59</v>
      </c>
      <c r="H27" s="132" t="s">
        <v>59</v>
      </c>
      <c r="I27" s="137" t="s">
        <v>59</v>
      </c>
      <c r="J27" s="137" t="str">
        <f>H27</f>
        <v>版本</v>
      </c>
      <c r="K27" s="387">
        <f>SUM(D30:J30)</f>
        <v>0</v>
      </c>
      <c r="L27" s="359"/>
      <c r="M27" s="113"/>
      <c r="O27" s="246"/>
      <c r="P27" s="282"/>
      <c r="Q27" s="272"/>
      <c r="R27" s="104"/>
    </row>
    <row r="28" spans="1:41" ht="24.75" customHeight="1" x14ac:dyDescent="0.25">
      <c r="A28" s="242"/>
      <c r="B28" s="341"/>
      <c r="C28" s="128" t="s">
        <v>62</v>
      </c>
      <c r="D28" s="95" t="str">
        <f>VLOOKUP(D27,工作表3!$A$4:$AZ$11,29,FALSE)</f>
        <v>金額</v>
      </c>
      <c r="E28" s="95" t="str">
        <f>VLOOKUP(E27,工作表3!$A$4:$AZ$11,30,FALSE)</f>
        <v>金額</v>
      </c>
      <c r="F28" s="95" t="str">
        <f>VLOOKUP(F27,工作表3!$A$4:$AZ$11,31,FALSE)</f>
        <v>金額</v>
      </c>
      <c r="G28" s="95" t="str">
        <f>VLOOKUP(G27,工作表3!$A$4:$AZ$11,32,FALSE)</f>
        <v>金額</v>
      </c>
      <c r="H28" s="95" t="str">
        <f>VLOOKUP(H27,工作表3!$A$4:$AZ$11,33,FALSE)</f>
        <v>金額</v>
      </c>
      <c r="I28" s="95" t="str">
        <f>VLOOKUP(I27,工作表3!$A$4:$AZ$11,34,FALSE)</f>
        <v>金額</v>
      </c>
      <c r="J28" s="95" t="str">
        <f>VLOOKUP(J27,工作表3!$A$4:$AZ$11,35,FALSE)</f>
        <v>金額</v>
      </c>
      <c r="K28" s="360"/>
      <c r="L28" s="361"/>
      <c r="M28" s="114"/>
      <c r="O28" s="351" t="s">
        <v>106</v>
      </c>
      <c r="P28" s="388">
        <f>SUM(K23:L34)</f>
        <v>0</v>
      </c>
      <c r="Q28" s="281"/>
      <c r="R28" s="104"/>
    </row>
    <row r="29" spans="1:41" ht="24.75" customHeight="1" x14ac:dyDescent="0.25">
      <c r="A29" s="242"/>
      <c r="B29" s="341"/>
      <c r="C29" s="129" t="s">
        <v>103</v>
      </c>
      <c r="D29" s="118"/>
      <c r="E29" s="118"/>
      <c r="F29" s="118"/>
      <c r="G29" s="118"/>
      <c r="H29" s="118"/>
      <c r="I29" s="118"/>
      <c r="J29" s="118"/>
      <c r="K29" s="360"/>
      <c r="L29" s="361"/>
      <c r="M29" s="114"/>
      <c r="O29" s="341"/>
      <c r="P29" s="360"/>
      <c r="Q29" s="259"/>
      <c r="R29" s="104"/>
    </row>
    <row r="30" spans="1:41" ht="24.75" customHeight="1" thickBot="1" x14ac:dyDescent="0.3">
      <c r="A30" s="242"/>
      <c r="B30" s="246"/>
      <c r="C30" s="128" t="s">
        <v>105</v>
      </c>
      <c r="D30" s="95">
        <f t="shared" ref="D30:J30" si="2">IF(ISERROR(D28*D29),,D28*D29)</f>
        <v>0</v>
      </c>
      <c r="E30" s="95">
        <f t="shared" si="2"/>
        <v>0</v>
      </c>
      <c r="F30" s="95">
        <f t="shared" si="2"/>
        <v>0</v>
      </c>
      <c r="G30" s="95">
        <f t="shared" si="2"/>
        <v>0</v>
      </c>
      <c r="H30" s="95">
        <f t="shared" si="2"/>
        <v>0</v>
      </c>
      <c r="I30" s="95">
        <f t="shared" si="2"/>
        <v>0</v>
      </c>
      <c r="J30" s="95">
        <f t="shared" si="2"/>
        <v>0</v>
      </c>
      <c r="K30" s="282"/>
      <c r="L30" s="371"/>
      <c r="M30" s="114"/>
      <c r="O30" s="246"/>
      <c r="P30" s="282"/>
      <c r="Q30" s="272"/>
      <c r="R30" s="104"/>
    </row>
    <row r="31" spans="1:41" ht="24.75" customHeight="1" x14ac:dyDescent="0.25">
      <c r="A31" s="242"/>
      <c r="B31" s="382" t="s">
        <v>12</v>
      </c>
      <c r="C31" s="128" t="s">
        <v>59</v>
      </c>
      <c r="D31" s="132" t="s">
        <v>59</v>
      </c>
      <c r="E31" s="132" t="s">
        <v>59</v>
      </c>
      <c r="F31" s="132" t="s">
        <v>59</v>
      </c>
      <c r="G31" s="132" t="s">
        <v>59</v>
      </c>
      <c r="H31" s="132" t="s">
        <v>59</v>
      </c>
      <c r="I31" s="137" t="str">
        <f>G31</f>
        <v>版本</v>
      </c>
      <c r="J31" s="137" t="str">
        <f>H31</f>
        <v>版本</v>
      </c>
      <c r="K31" s="375">
        <f>SUM(D34:J34)</f>
        <v>0</v>
      </c>
      <c r="L31" s="359"/>
      <c r="M31" s="113"/>
      <c r="O31" s="337" t="s">
        <v>107</v>
      </c>
      <c r="P31" s="396">
        <f>SUM(P21:Q30)</f>
        <v>0</v>
      </c>
      <c r="Q31" s="370"/>
      <c r="R31" s="104"/>
    </row>
    <row r="32" spans="1:41" ht="24.75" customHeight="1" x14ac:dyDescent="0.25">
      <c r="A32" s="242"/>
      <c r="B32" s="341"/>
      <c r="C32" s="128" t="s">
        <v>62</v>
      </c>
      <c r="D32" s="95" t="str">
        <f>VLOOKUP(D31,工作表3!$A$4:$AZ$11,46,FALSE)</f>
        <v>金額</v>
      </c>
      <c r="E32" s="95" t="str">
        <f>VLOOKUP(E31,工作表3!$A$4:$AZ$11,47,FALSE)</f>
        <v>金額</v>
      </c>
      <c r="F32" s="95" t="str">
        <f>VLOOKUP(F31,工作表3!$A$4:$AZ$11,48,FALSE)</f>
        <v>金額</v>
      </c>
      <c r="G32" s="95" t="str">
        <f>VLOOKUP(G31,工作表3!$A$4:$AZ$11,49,FALSE)</f>
        <v>金額</v>
      </c>
      <c r="H32" s="95" t="str">
        <f>VLOOKUP(H31,工作表3!$A$4:$AZ$11,50,FALSE)</f>
        <v>金額</v>
      </c>
      <c r="I32" s="95" t="str">
        <f>VLOOKUP(I31,工作表3!$A$4:$AZ$11,51,FALSE)</f>
        <v>金額</v>
      </c>
      <c r="J32" s="95" t="str">
        <f>VLOOKUP(J31,工作表3!$A$4:$AZ$11,52,FALSE)</f>
        <v>金額</v>
      </c>
      <c r="K32" s="360"/>
      <c r="L32" s="361"/>
      <c r="M32" s="114"/>
      <c r="O32" s="242"/>
      <c r="P32" s="360"/>
      <c r="Q32" s="361"/>
      <c r="R32" s="104"/>
    </row>
    <row r="33" spans="1:31" ht="24.75" customHeight="1" x14ac:dyDescent="0.25">
      <c r="A33" s="242"/>
      <c r="B33" s="341"/>
      <c r="C33" s="129" t="s">
        <v>103</v>
      </c>
      <c r="D33" s="119"/>
      <c r="E33" s="119"/>
      <c r="F33" s="119"/>
      <c r="G33" s="120"/>
      <c r="H33" s="119"/>
      <c r="I33" s="119"/>
      <c r="J33" s="119"/>
      <c r="K33" s="360"/>
      <c r="L33" s="361"/>
      <c r="M33" s="114"/>
      <c r="O33" s="242"/>
      <c r="P33" s="360"/>
      <c r="Q33" s="361"/>
      <c r="R33" s="104"/>
    </row>
    <row r="34" spans="1:31" ht="24.75" customHeight="1" thickBot="1" x14ac:dyDescent="0.3">
      <c r="A34" s="338"/>
      <c r="B34" s="344"/>
      <c r="C34" s="130" t="s">
        <v>105</v>
      </c>
      <c r="D34" s="108">
        <f t="shared" ref="D34:J34" si="3">IF(ISERROR(D32*D33),,D32*D33)</f>
        <v>0</v>
      </c>
      <c r="E34" s="108">
        <f t="shared" si="3"/>
        <v>0</v>
      </c>
      <c r="F34" s="108">
        <f t="shared" si="3"/>
        <v>0</v>
      </c>
      <c r="G34" s="108">
        <f t="shared" si="3"/>
        <v>0</v>
      </c>
      <c r="H34" s="108">
        <f t="shared" si="3"/>
        <v>0</v>
      </c>
      <c r="I34" s="108">
        <f t="shared" si="3"/>
        <v>0</v>
      </c>
      <c r="J34" s="108">
        <f t="shared" si="3"/>
        <v>0</v>
      </c>
      <c r="K34" s="362"/>
      <c r="L34" s="363"/>
      <c r="M34" s="114"/>
      <c r="O34" s="338"/>
      <c r="P34" s="362"/>
      <c r="Q34" s="363"/>
      <c r="R34" s="104"/>
    </row>
    <row r="35" spans="1:31" ht="6.7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104"/>
    </row>
    <row r="36" spans="1:31" ht="16.5" customHeight="1" x14ac:dyDescent="0.25">
      <c r="A36" s="3" t="s">
        <v>67</v>
      </c>
      <c r="D36" s="3"/>
      <c r="E36" s="3"/>
      <c r="F36" s="3"/>
      <c r="G36" s="3"/>
      <c r="H36" s="3"/>
      <c r="I36" s="3"/>
      <c r="J36" s="3"/>
      <c r="K36" s="3" t="s">
        <v>108</v>
      </c>
      <c r="L36" s="3"/>
      <c r="N36" s="3"/>
      <c r="O36" s="3"/>
      <c r="P36" s="3"/>
      <c r="Q36" s="3"/>
      <c r="R36" s="3"/>
      <c r="S36" s="3"/>
      <c r="T36" s="3"/>
    </row>
    <row r="37" spans="1:31" ht="16.5" customHeight="1" x14ac:dyDescent="0.25">
      <c r="A37" s="3" t="s">
        <v>109</v>
      </c>
      <c r="D37" s="3"/>
      <c r="E37" s="3"/>
      <c r="F37" s="3"/>
      <c r="G37" s="3"/>
      <c r="H37" s="3"/>
      <c r="I37" s="3"/>
      <c r="J37" s="3"/>
      <c r="K37" s="3" t="s">
        <v>73</v>
      </c>
      <c r="L37" s="3"/>
      <c r="N37" s="3"/>
      <c r="O37" s="3"/>
      <c r="P37" s="3"/>
      <c r="Q37" s="3"/>
      <c r="R37" s="3"/>
      <c r="S37" s="3"/>
      <c r="T37" s="3"/>
    </row>
    <row r="38" spans="1:31" ht="16.5" customHeight="1" x14ac:dyDescent="0.25">
      <c r="D38" s="3"/>
      <c r="E38" s="3"/>
      <c r="F38" s="3"/>
      <c r="G38" s="3"/>
      <c r="H38" s="3"/>
      <c r="I38" s="3"/>
      <c r="J38" s="3"/>
      <c r="K38" s="3" t="s">
        <v>110</v>
      </c>
      <c r="L38" s="3"/>
      <c r="N38" s="3"/>
      <c r="O38" s="3"/>
      <c r="P38" s="3"/>
      <c r="Q38" s="3"/>
      <c r="R38" s="3"/>
      <c r="S38" s="3"/>
      <c r="T38" s="3"/>
    </row>
    <row r="39" spans="1:31" ht="22.5" customHeight="1" x14ac:dyDescent="0.25">
      <c r="A39" s="116" t="s">
        <v>74</v>
      </c>
      <c r="B39" s="116"/>
      <c r="C39" s="116"/>
      <c r="D39" s="116"/>
      <c r="E39" s="116"/>
      <c r="F39" s="116"/>
      <c r="G39" s="116" t="s">
        <v>75</v>
      </c>
      <c r="H39" s="116"/>
      <c r="I39" s="117"/>
      <c r="J39" s="116"/>
      <c r="K39" s="116"/>
      <c r="L39" s="117"/>
      <c r="M39" s="116" t="s">
        <v>76</v>
      </c>
      <c r="N39" s="116"/>
      <c r="O39" s="117"/>
      <c r="P39" s="116"/>
      <c r="R39" s="116" t="s">
        <v>77</v>
      </c>
      <c r="S39" s="117"/>
    </row>
    <row r="40" spans="1:31" ht="16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5" spans="1:31" ht="45.75" customHeight="1" thickBot="1" x14ac:dyDescent="0.3">
      <c r="A45" s="252" t="s">
        <v>78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</row>
    <row r="46" spans="1:31" ht="28.5" customHeight="1" thickBot="1" x14ac:dyDescent="0.3">
      <c r="A46" s="322" t="s">
        <v>79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4"/>
      <c r="X46" s="243" t="s">
        <v>32</v>
      </c>
      <c r="Y46" s="334"/>
      <c r="Z46" s="334"/>
      <c r="AA46" s="334"/>
      <c r="AB46" s="334"/>
    </row>
    <row r="47" spans="1:31" ht="21" customHeight="1" x14ac:dyDescent="0.25">
      <c r="A47" s="299" t="s">
        <v>80</v>
      </c>
      <c r="B47" s="300"/>
      <c r="C47" s="304" t="s">
        <v>34</v>
      </c>
      <c r="D47" s="270"/>
      <c r="E47" s="269" t="s">
        <v>35</v>
      </c>
      <c r="F47" s="270"/>
      <c r="G47" s="269" t="s">
        <v>36</v>
      </c>
      <c r="H47" s="270"/>
      <c r="I47" s="269" t="s">
        <v>37</v>
      </c>
      <c r="J47" s="270"/>
      <c r="K47" s="269" t="s">
        <v>38</v>
      </c>
      <c r="L47" s="270"/>
      <c r="M47" s="82" t="s">
        <v>39</v>
      </c>
      <c r="N47" s="83" t="s">
        <v>40</v>
      </c>
      <c r="O47" s="83" t="s">
        <v>41</v>
      </c>
      <c r="P47" s="269" t="s">
        <v>42</v>
      </c>
      <c r="Q47" s="255"/>
      <c r="R47" s="255"/>
      <c r="S47" s="270"/>
      <c r="T47" s="308" t="s">
        <v>81</v>
      </c>
      <c r="U47" s="289" t="s">
        <v>82</v>
      </c>
      <c r="W47" s="84"/>
      <c r="X47" s="86" t="s">
        <v>43</v>
      </c>
      <c r="Y47" s="87" t="s">
        <v>44</v>
      </c>
      <c r="Z47" s="88" t="s">
        <v>45</v>
      </c>
      <c r="AA47" s="89" t="s">
        <v>46</v>
      </c>
      <c r="AB47" s="93" t="s">
        <v>47</v>
      </c>
    </row>
    <row r="48" spans="1:31" ht="21" customHeight="1" x14ac:dyDescent="0.25">
      <c r="A48" s="301"/>
      <c r="B48" s="272"/>
      <c r="C48" s="44" t="s">
        <v>48</v>
      </c>
      <c r="D48" s="37" t="s">
        <v>49</v>
      </c>
      <c r="E48" s="37" t="s">
        <v>48</v>
      </c>
      <c r="F48" s="37" t="s">
        <v>49</v>
      </c>
      <c r="G48" s="37" t="s">
        <v>48</v>
      </c>
      <c r="H48" s="37" t="s">
        <v>49</v>
      </c>
      <c r="I48" s="37" t="s">
        <v>48</v>
      </c>
      <c r="J48" s="37" t="s">
        <v>49</v>
      </c>
      <c r="K48" s="37" t="s">
        <v>48</v>
      </c>
      <c r="L48" s="179" t="s">
        <v>49</v>
      </c>
      <c r="M48" s="44" t="s">
        <v>48</v>
      </c>
      <c r="N48" s="37" t="s">
        <v>48</v>
      </c>
      <c r="O48" s="37" t="s">
        <v>48</v>
      </c>
      <c r="P48" s="37" t="s">
        <v>50</v>
      </c>
      <c r="Q48" s="37" t="s">
        <v>51</v>
      </c>
      <c r="R48" s="37" t="s">
        <v>52</v>
      </c>
      <c r="S48" s="45" t="s">
        <v>53</v>
      </c>
      <c r="T48" s="272"/>
      <c r="U48" s="290"/>
      <c r="W48" s="1"/>
      <c r="X48" s="84" t="s">
        <v>83</v>
      </c>
      <c r="Y48" s="84" t="s">
        <v>83</v>
      </c>
      <c r="Z48" s="84" t="s">
        <v>83</v>
      </c>
      <c r="AA48" s="84" t="s">
        <v>83</v>
      </c>
      <c r="AB48" s="84" t="s">
        <v>83</v>
      </c>
      <c r="AE48" s="84"/>
    </row>
    <row r="49" spans="1:31" ht="21" customHeight="1" x14ac:dyDescent="0.25">
      <c r="A49" s="306" t="s">
        <v>10</v>
      </c>
      <c r="B49" s="71" t="s">
        <v>59</v>
      </c>
      <c r="C49" s="146" t="str">
        <f t="shared" ref="C49:L49" si="4">D13</f>
        <v>版本</v>
      </c>
      <c r="D49" s="147" t="str">
        <f t="shared" si="4"/>
        <v>版本</v>
      </c>
      <c r="E49" s="147" t="str">
        <f t="shared" si="4"/>
        <v>版本</v>
      </c>
      <c r="F49" s="147" t="str">
        <f t="shared" si="4"/>
        <v>版本</v>
      </c>
      <c r="G49" s="147" t="str">
        <f t="shared" si="4"/>
        <v>版本</v>
      </c>
      <c r="H49" s="147" t="str">
        <f t="shared" si="4"/>
        <v>版本</v>
      </c>
      <c r="I49" s="147" t="str">
        <f t="shared" si="4"/>
        <v>版本</v>
      </c>
      <c r="J49" s="147" t="str">
        <f t="shared" si="4"/>
        <v>版本</v>
      </c>
      <c r="K49" s="147" t="str">
        <f t="shared" si="4"/>
        <v>版本</v>
      </c>
      <c r="L49" s="180" t="str">
        <f t="shared" si="4"/>
        <v>版本</v>
      </c>
      <c r="M49" s="146" t="s">
        <v>59</v>
      </c>
      <c r="N49" s="147" t="str">
        <f t="shared" ref="N49:S49" si="5">E23</f>
        <v>版本</v>
      </c>
      <c r="O49" s="147" t="str">
        <f t="shared" si="5"/>
        <v>版本</v>
      </c>
      <c r="P49" s="147" t="str">
        <f t="shared" si="5"/>
        <v>版本</v>
      </c>
      <c r="Q49" s="147" t="str">
        <f t="shared" si="5"/>
        <v>版本</v>
      </c>
      <c r="R49" s="147" t="str">
        <f t="shared" si="5"/>
        <v>版本</v>
      </c>
      <c r="S49" s="148" t="str">
        <f t="shared" si="5"/>
        <v>版本</v>
      </c>
      <c r="T49" s="291">
        <f>SUM(C53:S53)</f>
        <v>0</v>
      </c>
      <c r="U49" s="353" t="e">
        <f>SUM(C54:S54)</f>
        <v>#VALUE!</v>
      </c>
      <c r="W49" s="254" t="s">
        <v>61</v>
      </c>
      <c r="X49" s="243">
        <f>SUMIF(C49:S49,"康軒",C54:S54)</f>
        <v>0</v>
      </c>
      <c r="Y49" s="243">
        <f>SUMIF(C49:S49,"翰林",C54:S54)+AD50</f>
        <v>0</v>
      </c>
      <c r="Z49" s="243">
        <f>SUMIF(C49:S49,"南一",C54:S54)</f>
        <v>0</v>
      </c>
      <c r="AA49" s="243">
        <f>SUMIF(C49:S49,"奇鼎",C54:S54)</f>
        <v>0</v>
      </c>
      <c r="AB49" s="243">
        <f>SUMIF(C49:S49,"全華",C54:S54)</f>
        <v>0</v>
      </c>
      <c r="AC49" s="90"/>
      <c r="AD49" s="84" t="s">
        <v>83</v>
      </c>
      <c r="AE49" s="90"/>
    </row>
    <row r="50" spans="1:31" ht="21" customHeight="1" x14ac:dyDescent="0.25">
      <c r="A50" s="242"/>
      <c r="B50" s="71" t="s">
        <v>62</v>
      </c>
      <c r="C50" s="62" t="str">
        <f>VLOOKUP(C49,工作表3!$A$20:$AZ$26,2,FALSE)</f>
        <v>金額</v>
      </c>
      <c r="D50" s="63" t="str">
        <f>VLOOKUP(D49,工作表3!$A$20:$AZ$26,3,FALSE)</f>
        <v>金額</v>
      </c>
      <c r="E50" s="63" t="str">
        <f>VLOOKUP(E49,工作表3!$A$20:$AZ$26,4,FALSE)</f>
        <v>金額</v>
      </c>
      <c r="F50" s="63" t="str">
        <f>VLOOKUP(F49,工作表3!$A$20:$AZ$26,5,FALSE)</f>
        <v>金額</v>
      </c>
      <c r="G50" s="63" t="str">
        <f>VLOOKUP(G49,工作表3!$A$20:$AZ$26,6,FALSE)</f>
        <v>金額</v>
      </c>
      <c r="H50" s="63" t="str">
        <f>VLOOKUP(H49,工作表3!$A$20:$AZ$26,7,FALSE)</f>
        <v>金額</v>
      </c>
      <c r="I50" s="63" t="str">
        <f>VLOOKUP(I49,工作表3!$A$20:$AZ$26,8,FALSE)</f>
        <v>金額</v>
      </c>
      <c r="J50" s="63" t="str">
        <f>VLOOKUP(J49,工作表3!$A$20:$AZ$26,9,FALSE)</f>
        <v>金額</v>
      </c>
      <c r="K50" s="63" t="str">
        <f>VLOOKUP(K49,工作表3!$A$20:$AZ$26,10,FALSE)</f>
        <v>金額</v>
      </c>
      <c r="L50" s="181" t="str">
        <f>VLOOKUP(L49,工作表3!$A$20:$AZ$26,11,FALSE)</f>
        <v>金額</v>
      </c>
      <c r="M50" s="62" t="str">
        <f>VLOOKUP(M49,工作表3!$A$20:$AZ$26,12,FALSE)</f>
        <v>金額</v>
      </c>
      <c r="N50" s="63" t="str">
        <f>VLOOKUP(N49,工作表3!$A$20:$AZ$26,13,FALSE)</f>
        <v>金額</v>
      </c>
      <c r="O50" s="63" t="str">
        <f>VLOOKUP(O49,工作表3!$A$20:$AZ$26,14,FALSE)</f>
        <v>金額</v>
      </c>
      <c r="P50" s="63" t="str">
        <f>VLOOKUP(P49,工作表3!$A$20:$AZ$26,15,FALSE)</f>
        <v>金額</v>
      </c>
      <c r="Q50" s="63" t="str">
        <f>VLOOKUP(Q49,工作表3!$A$20:$AZ$26,16,FALSE)</f>
        <v>金額</v>
      </c>
      <c r="R50" s="63" t="str">
        <f>VLOOKUP(R49,工作表3!$A$20:$AZ$26,17,FALSE)</f>
        <v>金額</v>
      </c>
      <c r="S50" s="64" t="str">
        <f>VLOOKUP(S49,工作表3!$A$20:$AZ$26,18,FALSE)</f>
        <v>金額</v>
      </c>
      <c r="T50" s="259"/>
      <c r="U50" s="263"/>
      <c r="W50" s="253"/>
      <c r="X50" s="334"/>
      <c r="Y50" s="334"/>
      <c r="Z50" s="334"/>
      <c r="AA50" s="334"/>
      <c r="AB50" s="334"/>
      <c r="AC50" s="92" t="s">
        <v>63</v>
      </c>
      <c r="AD50" s="90">
        <f>SUMIF(C49:S49,"佳音",C54:S54)</f>
        <v>0</v>
      </c>
      <c r="AE50" s="84"/>
    </row>
    <row r="51" spans="1:31" ht="21" customHeight="1" x14ac:dyDescent="0.25">
      <c r="A51" s="242"/>
      <c r="B51" s="72" t="s">
        <v>84</v>
      </c>
      <c r="C51" s="143"/>
      <c r="D51" s="144"/>
      <c r="E51" s="144"/>
      <c r="F51" s="144"/>
      <c r="G51" s="144"/>
      <c r="H51" s="144"/>
      <c r="I51" s="144"/>
      <c r="J51" s="144"/>
      <c r="K51" s="144"/>
      <c r="L51" s="182"/>
      <c r="M51" s="143"/>
      <c r="N51" s="144"/>
      <c r="O51" s="144"/>
      <c r="P51" s="144"/>
      <c r="Q51" s="144"/>
      <c r="R51" s="144"/>
      <c r="S51" s="145"/>
      <c r="T51" s="259"/>
      <c r="U51" s="263"/>
      <c r="W51" s="254" t="s">
        <v>64</v>
      </c>
      <c r="X51" s="243">
        <f>SUMIF(C55:S55,"康軒",C60:S60)</f>
        <v>0</v>
      </c>
      <c r="Y51" s="243">
        <f>SUMIF(C55:S55,"翰林",C60:S60)+AD52</f>
        <v>0</v>
      </c>
      <c r="Z51" s="243">
        <f>SUMIF(C55:S55,"南一",C60:S60)</f>
        <v>0</v>
      </c>
      <c r="AA51" s="243">
        <f>SUMIF(C55:S55,"奇鼎",C60:S60)</f>
        <v>0</v>
      </c>
      <c r="AB51" s="243">
        <f>SUMIF(C55:S55,"全華",C60:S60)</f>
        <v>0</v>
      </c>
      <c r="AC51" s="84"/>
      <c r="AD51" s="84"/>
      <c r="AE51" s="90"/>
    </row>
    <row r="52" spans="1:31" ht="21" customHeight="1" x14ac:dyDescent="0.25">
      <c r="A52" s="242"/>
      <c r="B52" s="72" t="s">
        <v>85</v>
      </c>
      <c r="C52" s="143"/>
      <c r="D52" s="144"/>
      <c r="E52" s="144"/>
      <c r="F52" s="144"/>
      <c r="G52" s="144"/>
      <c r="H52" s="144"/>
      <c r="I52" s="144"/>
      <c r="J52" s="144"/>
      <c r="K52" s="144"/>
      <c r="L52" s="182"/>
      <c r="M52" s="143"/>
      <c r="N52" s="144"/>
      <c r="O52" s="144"/>
      <c r="P52" s="144"/>
      <c r="Q52" s="144"/>
      <c r="R52" s="144"/>
      <c r="S52" s="145"/>
      <c r="T52" s="259"/>
      <c r="U52" s="263"/>
      <c r="W52" s="253"/>
      <c r="X52" s="334"/>
      <c r="Y52" s="334"/>
      <c r="Z52" s="334"/>
      <c r="AA52" s="334"/>
      <c r="AB52" s="334"/>
      <c r="AC52" s="92" t="s">
        <v>63</v>
      </c>
      <c r="AD52" s="90">
        <f>SUMIF(C55:S55,"佳音",C60:S60)</f>
        <v>0</v>
      </c>
      <c r="AE52" s="90"/>
    </row>
    <row r="53" spans="1:31" ht="21" customHeight="1" x14ac:dyDescent="0.25">
      <c r="A53" s="242"/>
      <c r="B53" s="71" t="s">
        <v>86</v>
      </c>
      <c r="C53" s="62">
        <f t="shared" ref="C53:S53" si="6">IF((C51-C52)&lt;0,0,(C51-C52))</f>
        <v>0</v>
      </c>
      <c r="D53" s="63">
        <f t="shared" si="6"/>
        <v>0</v>
      </c>
      <c r="E53" s="63">
        <f t="shared" si="6"/>
        <v>0</v>
      </c>
      <c r="F53" s="63">
        <f t="shared" si="6"/>
        <v>0</v>
      </c>
      <c r="G53" s="63">
        <f t="shared" si="6"/>
        <v>0</v>
      </c>
      <c r="H53" s="63">
        <f t="shared" si="6"/>
        <v>0</v>
      </c>
      <c r="I53" s="63">
        <f t="shared" si="6"/>
        <v>0</v>
      </c>
      <c r="J53" s="63">
        <f t="shared" si="6"/>
        <v>0</v>
      </c>
      <c r="K53" s="63">
        <f t="shared" si="6"/>
        <v>0</v>
      </c>
      <c r="L53" s="181">
        <f t="shared" si="6"/>
        <v>0</v>
      </c>
      <c r="M53" s="62">
        <f t="shared" si="6"/>
        <v>0</v>
      </c>
      <c r="N53" s="63">
        <f t="shared" si="6"/>
        <v>0</v>
      </c>
      <c r="O53" s="63">
        <f t="shared" si="6"/>
        <v>0</v>
      </c>
      <c r="P53" s="63">
        <f t="shared" si="6"/>
        <v>0</v>
      </c>
      <c r="Q53" s="63">
        <f t="shared" si="6"/>
        <v>0</v>
      </c>
      <c r="R53" s="63">
        <f t="shared" si="6"/>
        <v>0</v>
      </c>
      <c r="S53" s="64">
        <f t="shared" si="6"/>
        <v>0</v>
      </c>
      <c r="T53" s="259"/>
      <c r="U53" s="263"/>
      <c r="W53" s="254" t="s">
        <v>65</v>
      </c>
      <c r="X53" s="243">
        <f>SUMIF(C61:S61,"康軒",C66:S66)</f>
        <v>0</v>
      </c>
      <c r="Y53" s="243">
        <f>SUMIF(C61:S61,"翰林",C66:S66)+AD54</f>
        <v>0</v>
      </c>
      <c r="Z53" s="243">
        <f>SUMIF(C61:S61,"南一",C66:S66)</f>
        <v>0</v>
      </c>
      <c r="AA53" s="243">
        <f>SUMIF(C61:S61,"奇鼎",C66:S66)</f>
        <v>0</v>
      </c>
      <c r="AB53" s="243">
        <f>SUMIF(C61:S61,"全華",C66:S66)</f>
        <v>0</v>
      </c>
      <c r="AC53" s="84"/>
      <c r="AD53" s="84"/>
      <c r="AE53" s="90"/>
    </row>
    <row r="54" spans="1:31" ht="21" customHeight="1" x14ac:dyDescent="0.25">
      <c r="A54" s="284"/>
      <c r="B54" s="71" t="s">
        <v>87</v>
      </c>
      <c r="C54" s="62" t="e">
        <f t="shared" ref="C54:S54" si="7">C50*C53</f>
        <v>#VALUE!</v>
      </c>
      <c r="D54" s="63" t="e">
        <f t="shared" si="7"/>
        <v>#VALUE!</v>
      </c>
      <c r="E54" s="63" t="e">
        <f t="shared" si="7"/>
        <v>#VALUE!</v>
      </c>
      <c r="F54" s="63" t="e">
        <f t="shared" si="7"/>
        <v>#VALUE!</v>
      </c>
      <c r="G54" s="63" t="e">
        <f t="shared" si="7"/>
        <v>#VALUE!</v>
      </c>
      <c r="H54" s="63" t="e">
        <f t="shared" si="7"/>
        <v>#VALUE!</v>
      </c>
      <c r="I54" s="63" t="e">
        <f t="shared" si="7"/>
        <v>#VALUE!</v>
      </c>
      <c r="J54" s="63" t="e">
        <f t="shared" si="7"/>
        <v>#VALUE!</v>
      </c>
      <c r="K54" s="63" t="e">
        <f t="shared" si="7"/>
        <v>#VALUE!</v>
      </c>
      <c r="L54" s="181" t="e">
        <f t="shared" si="7"/>
        <v>#VALUE!</v>
      </c>
      <c r="M54" s="62" t="e">
        <f t="shared" si="7"/>
        <v>#VALUE!</v>
      </c>
      <c r="N54" s="63" t="e">
        <f t="shared" si="7"/>
        <v>#VALUE!</v>
      </c>
      <c r="O54" s="63" t="e">
        <f t="shared" si="7"/>
        <v>#VALUE!</v>
      </c>
      <c r="P54" s="63" t="e">
        <f t="shared" si="7"/>
        <v>#VALUE!</v>
      </c>
      <c r="Q54" s="63" t="e">
        <f t="shared" si="7"/>
        <v>#VALUE!</v>
      </c>
      <c r="R54" s="63" t="e">
        <f t="shared" si="7"/>
        <v>#VALUE!</v>
      </c>
      <c r="S54" s="64" t="e">
        <f t="shared" si="7"/>
        <v>#VALUE!</v>
      </c>
      <c r="T54" s="272"/>
      <c r="U54" s="290"/>
      <c r="W54" s="253"/>
      <c r="X54" s="334"/>
      <c r="Y54" s="334"/>
      <c r="Z54" s="334"/>
      <c r="AA54" s="334"/>
      <c r="AB54" s="334"/>
      <c r="AC54" s="92" t="s">
        <v>63</v>
      </c>
      <c r="AD54" s="90">
        <f>SUMIF(C61:S61,"佳音",C66:S66)</f>
        <v>0</v>
      </c>
    </row>
    <row r="55" spans="1:31" ht="21" customHeight="1" x14ac:dyDescent="0.25">
      <c r="A55" s="307" t="s">
        <v>11</v>
      </c>
      <c r="B55" s="71" t="s">
        <v>59</v>
      </c>
      <c r="C55" s="146" t="str">
        <f t="shared" ref="C55:L55" si="8">D15</f>
        <v>版本</v>
      </c>
      <c r="D55" s="147" t="str">
        <f t="shared" si="8"/>
        <v>版本</v>
      </c>
      <c r="E55" s="147" t="str">
        <f t="shared" si="8"/>
        <v>版本</v>
      </c>
      <c r="F55" s="147" t="str">
        <f t="shared" si="8"/>
        <v>版本</v>
      </c>
      <c r="G55" s="147" t="str">
        <f t="shared" si="8"/>
        <v>版本</v>
      </c>
      <c r="H55" s="147" t="str">
        <f t="shared" si="8"/>
        <v>版本</v>
      </c>
      <c r="I55" s="147" t="str">
        <f t="shared" si="8"/>
        <v>版本</v>
      </c>
      <c r="J55" s="147" t="str">
        <f t="shared" si="8"/>
        <v>版本</v>
      </c>
      <c r="K55" s="147" t="str">
        <f t="shared" si="8"/>
        <v>版本</v>
      </c>
      <c r="L55" s="180" t="str">
        <f t="shared" si="8"/>
        <v>版本</v>
      </c>
      <c r="M55" s="146" t="str">
        <f t="shared" ref="M55:S55" si="9">D27</f>
        <v>版本</v>
      </c>
      <c r="N55" s="147" t="str">
        <f t="shared" si="9"/>
        <v>版本</v>
      </c>
      <c r="O55" s="147" t="str">
        <f t="shared" si="9"/>
        <v>版本</v>
      </c>
      <c r="P55" s="147" t="str">
        <f t="shared" si="9"/>
        <v>版本</v>
      </c>
      <c r="Q55" s="147" t="str">
        <f t="shared" si="9"/>
        <v>版本</v>
      </c>
      <c r="R55" s="147" t="str">
        <f t="shared" si="9"/>
        <v>版本</v>
      </c>
      <c r="S55" s="148" t="str">
        <f t="shared" si="9"/>
        <v>版本</v>
      </c>
      <c r="T55" s="291">
        <f>SUM(C59:S59)</f>
        <v>0</v>
      </c>
      <c r="U55" s="353" t="e">
        <f>SUM(C60:S60)</f>
        <v>#VALUE!</v>
      </c>
      <c r="W55" s="317" t="s">
        <v>13</v>
      </c>
      <c r="X55" s="247">
        <f>SUM(X49:X54)</f>
        <v>0</v>
      </c>
      <c r="Y55" s="247">
        <f>SUM(Y49:Y54)</f>
        <v>0</v>
      </c>
      <c r="Z55" s="247">
        <f>SUM(Z49:Z54)</f>
        <v>0</v>
      </c>
      <c r="AA55" s="247">
        <f>SUM(AA49:AA54)</f>
        <v>0</v>
      </c>
      <c r="AB55" s="247">
        <f>SUM(AB49:AB54)</f>
        <v>0</v>
      </c>
    </row>
    <row r="56" spans="1:31" ht="21" customHeight="1" x14ac:dyDescent="0.25">
      <c r="A56" s="242"/>
      <c r="B56" s="71" t="s">
        <v>62</v>
      </c>
      <c r="C56" s="62" t="str">
        <f>VLOOKUP(C55,工作表3!$A$20:$AZ$26,19,FALSE)</f>
        <v>金額</v>
      </c>
      <c r="D56" s="63" t="str">
        <f>VLOOKUP(D55,工作表3!$A$20:$AZ$26,20,FALSE)</f>
        <v>金額</v>
      </c>
      <c r="E56" s="63" t="str">
        <f>VLOOKUP(E55,工作表3!$A$20:$AZ$26,21,FALSE)</f>
        <v>金額</v>
      </c>
      <c r="F56" s="63" t="str">
        <f>VLOOKUP(F55,工作表3!$A$20:$AZ$26,22,FALSE)</f>
        <v>金額</v>
      </c>
      <c r="G56" s="63" t="str">
        <f>VLOOKUP(G55,工作表3!$A$20:$AZ$26,23,FALSE)</f>
        <v>金額</v>
      </c>
      <c r="H56" s="63" t="str">
        <f>VLOOKUP(H55,工作表3!$A$20:$AZ$26,24,FALSE)</f>
        <v>金額</v>
      </c>
      <c r="I56" s="63" t="str">
        <f>VLOOKUP(I55,工作表3!$A$20:$AZ$26,25,FALSE)</f>
        <v>金額</v>
      </c>
      <c r="J56" s="63" t="str">
        <f>VLOOKUP(J55,工作表3!$A$20:$AZ$26,26,FALSE)</f>
        <v>金額</v>
      </c>
      <c r="K56" s="63" t="str">
        <f>VLOOKUP(K55,工作表3!$A$20:$AZ$26,27,FALSE)</f>
        <v>金額</v>
      </c>
      <c r="L56" s="181" t="str">
        <f>VLOOKUP(L55,工作表3!$A$20:$AZ$26,28,FALSE)</f>
        <v>金額</v>
      </c>
      <c r="M56" s="62" t="str">
        <f>VLOOKUP(M55,工作表3!$A$20:$AZ$26,29,FALSE)</f>
        <v>金額</v>
      </c>
      <c r="N56" s="63" t="str">
        <f>VLOOKUP(N55,工作表3!$A$20:$AZ$26,30,FALSE)</f>
        <v>金額</v>
      </c>
      <c r="O56" s="63" t="str">
        <f>VLOOKUP(O55,工作表3!$A$20:$AZ$26,31,FALSE)</f>
        <v>金額</v>
      </c>
      <c r="P56" s="63" t="str">
        <f>VLOOKUP(P55,工作表3!$A$20:$AZ$26,32,FALSE)</f>
        <v>金額</v>
      </c>
      <c r="Q56" s="63" t="str">
        <f>VLOOKUP(Q55,工作表3!$A$20:$AZ$26,33,FALSE)</f>
        <v>金額</v>
      </c>
      <c r="R56" s="63" t="str">
        <f>VLOOKUP(R55,工作表3!$A$20:$AZ$26,34,FALSE)</f>
        <v>金額</v>
      </c>
      <c r="S56" s="64" t="str">
        <f>VLOOKUP(S55,工作表3!$A$20:$AZ$26,35,FALSE)</f>
        <v>金額</v>
      </c>
      <c r="T56" s="259"/>
      <c r="U56" s="263"/>
      <c r="W56" s="253"/>
      <c r="X56" s="334"/>
      <c r="Y56" s="334"/>
      <c r="Z56" s="334"/>
      <c r="AA56" s="334"/>
      <c r="AB56" s="334"/>
    </row>
    <row r="57" spans="1:31" ht="21" customHeight="1" x14ac:dyDescent="0.25">
      <c r="A57" s="242"/>
      <c r="B57" s="72" t="s">
        <v>84</v>
      </c>
      <c r="C57" s="143"/>
      <c r="D57" s="144"/>
      <c r="E57" s="144"/>
      <c r="F57" s="144"/>
      <c r="G57" s="144"/>
      <c r="H57" s="144"/>
      <c r="I57" s="144"/>
      <c r="J57" s="144"/>
      <c r="K57" s="144"/>
      <c r="L57" s="182"/>
      <c r="M57" s="143"/>
      <c r="N57" s="144"/>
      <c r="O57" s="144"/>
      <c r="P57" s="144"/>
      <c r="Q57" s="144"/>
      <c r="R57" s="144"/>
      <c r="S57" s="145"/>
      <c r="T57" s="259"/>
      <c r="U57" s="263"/>
    </row>
    <row r="58" spans="1:31" ht="21" customHeight="1" x14ac:dyDescent="0.25">
      <c r="A58" s="242"/>
      <c r="B58" s="72" t="s">
        <v>85</v>
      </c>
      <c r="C58" s="143"/>
      <c r="D58" s="144"/>
      <c r="E58" s="144"/>
      <c r="F58" s="144"/>
      <c r="G58" s="144"/>
      <c r="H58" s="144"/>
      <c r="I58" s="144"/>
      <c r="J58" s="144"/>
      <c r="K58" s="144"/>
      <c r="L58" s="182"/>
      <c r="M58" s="143"/>
      <c r="N58" s="144"/>
      <c r="O58" s="144"/>
      <c r="P58" s="144"/>
      <c r="Q58" s="144"/>
      <c r="R58" s="144"/>
      <c r="S58" s="145"/>
      <c r="T58" s="259"/>
      <c r="U58" s="263"/>
    </row>
    <row r="59" spans="1:31" ht="21" customHeight="1" x14ac:dyDescent="0.25">
      <c r="A59" s="242"/>
      <c r="B59" s="71" t="s">
        <v>86</v>
      </c>
      <c r="C59" s="62">
        <f t="shared" ref="C59:S59" si="10">IF((C57-C58)&lt;0,0,(C57-C58))</f>
        <v>0</v>
      </c>
      <c r="D59" s="63">
        <f t="shared" si="10"/>
        <v>0</v>
      </c>
      <c r="E59" s="63">
        <f t="shared" si="10"/>
        <v>0</v>
      </c>
      <c r="F59" s="63">
        <f t="shared" si="10"/>
        <v>0</v>
      </c>
      <c r="G59" s="63">
        <f t="shared" si="10"/>
        <v>0</v>
      </c>
      <c r="H59" s="63">
        <f t="shared" si="10"/>
        <v>0</v>
      </c>
      <c r="I59" s="63">
        <f t="shared" si="10"/>
        <v>0</v>
      </c>
      <c r="J59" s="63">
        <f t="shared" si="10"/>
        <v>0</v>
      </c>
      <c r="K59" s="63">
        <f t="shared" si="10"/>
        <v>0</v>
      </c>
      <c r="L59" s="181">
        <f t="shared" si="10"/>
        <v>0</v>
      </c>
      <c r="M59" s="62">
        <f t="shared" si="10"/>
        <v>0</v>
      </c>
      <c r="N59" s="63">
        <f t="shared" si="10"/>
        <v>0</v>
      </c>
      <c r="O59" s="63">
        <f t="shared" si="10"/>
        <v>0</v>
      </c>
      <c r="P59" s="63">
        <f t="shared" si="10"/>
        <v>0</v>
      </c>
      <c r="Q59" s="63">
        <f t="shared" si="10"/>
        <v>0</v>
      </c>
      <c r="R59" s="63">
        <f t="shared" si="10"/>
        <v>0</v>
      </c>
      <c r="S59" s="64">
        <f t="shared" si="10"/>
        <v>0</v>
      </c>
      <c r="T59" s="259"/>
      <c r="U59" s="263"/>
    </row>
    <row r="60" spans="1:31" ht="21" customHeight="1" x14ac:dyDescent="0.25">
      <c r="A60" s="284"/>
      <c r="B60" s="71" t="s">
        <v>87</v>
      </c>
      <c r="C60" s="62" t="e">
        <f t="shared" ref="C60:S60" si="11">C56*C59</f>
        <v>#VALUE!</v>
      </c>
      <c r="D60" s="63" t="e">
        <f t="shared" si="11"/>
        <v>#VALUE!</v>
      </c>
      <c r="E60" s="63" t="e">
        <f t="shared" si="11"/>
        <v>#VALUE!</v>
      </c>
      <c r="F60" s="63" t="e">
        <f t="shared" si="11"/>
        <v>#VALUE!</v>
      </c>
      <c r="G60" s="63" t="e">
        <f t="shared" si="11"/>
        <v>#VALUE!</v>
      </c>
      <c r="H60" s="63" t="e">
        <f t="shared" si="11"/>
        <v>#VALUE!</v>
      </c>
      <c r="I60" s="63" t="e">
        <f t="shared" si="11"/>
        <v>#VALUE!</v>
      </c>
      <c r="J60" s="63" t="e">
        <f t="shared" si="11"/>
        <v>#VALUE!</v>
      </c>
      <c r="K60" s="63" t="e">
        <f t="shared" si="11"/>
        <v>#VALUE!</v>
      </c>
      <c r="L60" s="181" t="e">
        <f t="shared" si="11"/>
        <v>#VALUE!</v>
      </c>
      <c r="M60" s="62" t="e">
        <f t="shared" si="11"/>
        <v>#VALUE!</v>
      </c>
      <c r="N60" s="63" t="e">
        <f t="shared" si="11"/>
        <v>#VALUE!</v>
      </c>
      <c r="O60" s="63" t="e">
        <f t="shared" si="11"/>
        <v>#VALUE!</v>
      </c>
      <c r="P60" s="63" t="e">
        <f t="shared" si="11"/>
        <v>#VALUE!</v>
      </c>
      <c r="Q60" s="63" t="e">
        <f t="shared" si="11"/>
        <v>#VALUE!</v>
      </c>
      <c r="R60" s="63" t="e">
        <f t="shared" si="11"/>
        <v>#VALUE!</v>
      </c>
      <c r="S60" s="64" t="e">
        <f t="shared" si="11"/>
        <v>#VALUE!</v>
      </c>
      <c r="T60" s="272"/>
      <c r="U60" s="290"/>
    </row>
    <row r="61" spans="1:31" ht="21" customHeight="1" x14ac:dyDescent="0.25">
      <c r="A61" s="241" t="s">
        <v>12</v>
      </c>
      <c r="B61" s="71" t="s">
        <v>59</v>
      </c>
      <c r="C61" s="146" t="str">
        <f t="shared" ref="C61:L61" si="12">D17</f>
        <v>版本</v>
      </c>
      <c r="D61" s="147" t="str">
        <f t="shared" si="12"/>
        <v>版本</v>
      </c>
      <c r="E61" s="147" t="str">
        <f t="shared" si="12"/>
        <v>版本</v>
      </c>
      <c r="F61" s="147" t="str">
        <f t="shared" si="12"/>
        <v>版本</v>
      </c>
      <c r="G61" s="147" t="str">
        <f t="shared" si="12"/>
        <v>版本</v>
      </c>
      <c r="H61" s="147" t="str">
        <f t="shared" si="12"/>
        <v>版本</v>
      </c>
      <c r="I61" s="147" t="str">
        <f t="shared" si="12"/>
        <v>版本</v>
      </c>
      <c r="J61" s="147" t="str">
        <f t="shared" si="12"/>
        <v>版本</v>
      </c>
      <c r="K61" s="147" t="str">
        <f t="shared" si="12"/>
        <v>版本</v>
      </c>
      <c r="L61" s="180" t="str">
        <f t="shared" si="12"/>
        <v>版本</v>
      </c>
      <c r="M61" s="146" t="str">
        <f t="shared" ref="M61:S61" si="13">D31</f>
        <v>版本</v>
      </c>
      <c r="N61" s="147" t="str">
        <f t="shared" si="13"/>
        <v>版本</v>
      </c>
      <c r="O61" s="147" t="str">
        <f t="shared" si="13"/>
        <v>版本</v>
      </c>
      <c r="P61" s="147" t="str">
        <f t="shared" si="13"/>
        <v>版本</v>
      </c>
      <c r="Q61" s="147" t="str">
        <f t="shared" si="13"/>
        <v>版本</v>
      </c>
      <c r="R61" s="147" t="str">
        <f t="shared" si="13"/>
        <v>版本</v>
      </c>
      <c r="S61" s="148" t="str">
        <f t="shared" si="13"/>
        <v>版本</v>
      </c>
      <c r="T61" s="390">
        <f>SUM(C65:S65)</f>
        <v>0</v>
      </c>
      <c r="U61" s="391" t="e">
        <f>SUM(C66:S66)</f>
        <v>#VALUE!</v>
      </c>
    </row>
    <row r="62" spans="1:31" ht="21" customHeight="1" x14ac:dyDescent="0.25">
      <c r="A62" s="242"/>
      <c r="B62" s="71" t="s">
        <v>62</v>
      </c>
      <c r="C62" s="62" t="str">
        <f>VLOOKUP(C61,工作表3!$A$20:$AZ$26,36,FALSE)</f>
        <v>金額</v>
      </c>
      <c r="D62" s="63" t="str">
        <f>VLOOKUP(D61,工作表3!$A$20:$AZ$26,37,FALSE)</f>
        <v>金額</v>
      </c>
      <c r="E62" s="63" t="str">
        <f>VLOOKUP(E61,工作表3!$A$20:$AZ$26,38,FALSE)</f>
        <v>金額</v>
      </c>
      <c r="F62" s="63" t="str">
        <f>VLOOKUP(F61,工作表3!$A$20:$AZ$26,39,FALSE)</f>
        <v>金額</v>
      </c>
      <c r="G62" s="63" t="str">
        <f>VLOOKUP(G61,工作表3!$A$20:$AZ$26,40,FALSE)</f>
        <v>金額</v>
      </c>
      <c r="H62" s="63" t="str">
        <f>VLOOKUP(H61,工作表3!$A$20:$AZ$26,41,FALSE)</f>
        <v>金額</v>
      </c>
      <c r="I62" s="63" t="str">
        <f>VLOOKUP(I61,工作表3!$A$20:$AZ$26,42,FALSE)</f>
        <v>金額</v>
      </c>
      <c r="J62" s="63" t="str">
        <f>VLOOKUP(J61,工作表3!$A$20:$AZ$26,43,FALSE)</f>
        <v>金額</v>
      </c>
      <c r="K62" s="63" t="str">
        <f>VLOOKUP(K61,工作表3!$A$20:$AZ$26,44,FALSE)</f>
        <v>金額</v>
      </c>
      <c r="L62" s="181" t="str">
        <f>VLOOKUP(L61,工作表3!$A$20:$AZ$26,45,FALSE)</f>
        <v>金額</v>
      </c>
      <c r="M62" s="62" t="str">
        <f>VLOOKUP(M61,工作表3!$A$20:$AZ$26,46,FALSE)</f>
        <v>金額</v>
      </c>
      <c r="N62" s="63" t="str">
        <f>VLOOKUP(N61,工作表3!$A$20:$AZ$26,47,FALSE)</f>
        <v>金額</v>
      </c>
      <c r="O62" s="63" t="str">
        <f>VLOOKUP(O61,工作表3!$A$20:$AZ$26,48,FALSE)</f>
        <v>金額</v>
      </c>
      <c r="P62" s="63" t="str">
        <f>VLOOKUP(P61,工作表3!$A$20:$AZ$26,49,FALSE)</f>
        <v>金額</v>
      </c>
      <c r="Q62" s="63" t="str">
        <f>VLOOKUP(Q61,工作表3!$A$20:$AZ$26,50,FALSE)</f>
        <v>金額</v>
      </c>
      <c r="R62" s="63" t="str">
        <f>VLOOKUP(R61,工作表3!$A$20:$AZ$26,51,FALSE)</f>
        <v>金額</v>
      </c>
      <c r="S62" s="64" t="str">
        <f>VLOOKUP(S61,工作表3!$A$20:$AZ$26,52,FALSE)</f>
        <v>金額</v>
      </c>
      <c r="T62" s="259"/>
      <c r="U62" s="263"/>
    </row>
    <row r="63" spans="1:31" ht="21" customHeight="1" x14ac:dyDescent="0.25">
      <c r="A63" s="242"/>
      <c r="B63" s="72" t="s">
        <v>84</v>
      </c>
      <c r="C63" s="143"/>
      <c r="D63" s="144"/>
      <c r="E63" s="144"/>
      <c r="F63" s="144"/>
      <c r="G63" s="144"/>
      <c r="H63" s="144"/>
      <c r="I63" s="144"/>
      <c r="J63" s="144"/>
      <c r="K63" s="144"/>
      <c r="L63" s="182"/>
      <c r="M63" s="143"/>
      <c r="N63" s="144"/>
      <c r="O63" s="144"/>
      <c r="P63" s="144"/>
      <c r="Q63" s="144"/>
      <c r="R63" s="144"/>
      <c r="S63" s="145"/>
      <c r="T63" s="259"/>
      <c r="U63" s="263"/>
    </row>
    <row r="64" spans="1:31" ht="21" customHeight="1" x14ac:dyDescent="0.25">
      <c r="A64" s="242"/>
      <c r="B64" s="72" t="s">
        <v>85</v>
      </c>
      <c r="C64" s="143"/>
      <c r="D64" s="144"/>
      <c r="E64" s="144"/>
      <c r="F64" s="144"/>
      <c r="G64" s="144"/>
      <c r="H64" s="144"/>
      <c r="I64" s="144"/>
      <c r="J64" s="144"/>
      <c r="K64" s="144"/>
      <c r="L64" s="182"/>
      <c r="M64" s="143"/>
      <c r="N64" s="144"/>
      <c r="O64" s="144"/>
      <c r="P64" s="144"/>
      <c r="Q64" s="144"/>
      <c r="R64" s="144"/>
      <c r="S64" s="145"/>
      <c r="T64" s="259"/>
      <c r="U64" s="263"/>
    </row>
    <row r="65" spans="1:41" ht="21" customHeight="1" x14ac:dyDescent="0.25">
      <c r="A65" s="242"/>
      <c r="B65" s="71" t="s">
        <v>86</v>
      </c>
      <c r="C65" s="62">
        <f t="shared" ref="C65:S65" si="14">IF((C63-C64)&lt;0,0,(C63-C64))</f>
        <v>0</v>
      </c>
      <c r="D65" s="63">
        <f t="shared" si="14"/>
        <v>0</v>
      </c>
      <c r="E65" s="63">
        <f t="shared" si="14"/>
        <v>0</v>
      </c>
      <c r="F65" s="63">
        <f t="shared" si="14"/>
        <v>0</v>
      </c>
      <c r="G65" s="63">
        <f t="shared" si="14"/>
        <v>0</v>
      </c>
      <c r="H65" s="63">
        <f t="shared" si="14"/>
        <v>0</v>
      </c>
      <c r="I65" s="63">
        <f t="shared" si="14"/>
        <v>0</v>
      </c>
      <c r="J65" s="63">
        <f t="shared" si="14"/>
        <v>0</v>
      </c>
      <c r="K65" s="63">
        <f t="shared" si="14"/>
        <v>0</v>
      </c>
      <c r="L65" s="181">
        <f t="shared" si="14"/>
        <v>0</v>
      </c>
      <c r="M65" s="62">
        <f t="shared" si="14"/>
        <v>0</v>
      </c>
      <c r="N65" s="63">
        <f t="shared" si="14"/>
        <v>0</v>
      </c>
      <c r="O65" s="63">
        <f t="shared" si="14"/>
        <v>0</v>
      </c>
      <c r="P65" s="63">
        <f t="shared" si="14"/>
        <v>0</v>
      </c>
      <c r="Q65" s="63">
        <f t="shared" si="14"/>
        <v>0</v>
      </c>
      <c r="R65" s="63">
        <f t="shared" si="14"/>
        <v>0</v>
      </c>
      <c r="S65" s="64">
        <f t="shared" si="14"/>
        <v>0</v>
      </c>
      <c r="T65" s="259"/>
      <c r="U65" s="263"/>
    </row>
    <row r="66" spans="1:41" ht="21" customHeight="1" thickBot="1" x14ac:dyDescent="0.3">
      <c r="A66" s="242"/>
      <c r="B66" s="74" t="s">
        <v>87</v>
      </c>
      <c r="C66" s="67" t="e">
        <f t="shared" ref="C66:S66" si="15">C62*C65</f>
        <v>#VALUE!</v>
      </c>
      <c r="D66" s="68" t="e">
        <f t="shared" si="15"/>
        <v>#VALUE!</v>
      </c>
      <c r="E66" s="68" t="e">
        <f t="shared" si="15"/>
        <v>#VALUE!</v>
      </c>
      <c r="F66" s="68" t="e">
        <f t="shared" si="15"/>
        <v>#VALUE!</v>
      </c>
      <c r="G66" s="68" t="e">
        <f t="shared" si="15"/>
        <v>#VALUE!</v>
      </c>
      <c r="H66" s="68" t="e">
        <f t="shared" si="15"/>
        <v>#VALUE!</v>
      </c>
      <c r="I66" s="68" t="e">
        <f t="shared" si="15"/>
        <v>#VALUE!</v>
      </c>
      <c r="J66" s="68" t="e">
        <f t="shared" si="15"/>
        <v>#VALUE!</v>
      </c>
      <c r="K66" s="68" t="e">
        <f t="shared" si="15"/>
        <v>#VALUE!</v>
      </c>
      <c r="L66" s="70" t="e">
        <f t="shared" si="15"/>
        <v>#VALUE!</v>
      </c>
      <c r="M66" s="67" t="e">
        <f t="shared" si="15"/>
        <v>#VALUE!</v>
      </c>
      <c r="N66" s="68" t="e">
        <f t="shared" si="15"/>
        <v>#VALUE!</v>
      </c>
      <c r="O66" s="68" t="e">
        <f t="shared" si="15"/>
        <v>#VALUE!</v>
      </c>
      <c r="P66" s="68" t="e">
        <f t="shared" si="15"/>
        <v>#VALUE!</v>
      </c>
      <c r="Q66" s="68" t="e">
        <f t="shared" si="15"/>
        <v>#VALUE!</v>
      </c>
      <c r="R66" s="68" t="e">
        <f t="shared" si="15"/>
        <v>#VALUE!</v>
      </c>
      <c r="S66" s="69" t="e">
        <f t="shared" si="15"/>
        <v>#VALUE!</v>
      </c>
      <c r="T66" s="259"/>
      <c r="U66" s="263"/>
    </row>
    <row r="67" spans="1:41" ht="28.5" customHeight="1" thickBot="1" x14ac:dyDescent="0.3">
      <c r="A67" s="309" t="s">
        <v>88</v>
      </c>
      <c r="B67" s="310"/>
      <c r="C67" s="310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1"/>
      <c r="T67" s="177" t="s">
        <v>13</v>
      </c>
      <c r="U67" s="178" t="e">
        <f>SUM(U49:U66)</f>
        <v>#VALUE!</v>
      </c>
    </row>
    <row r="70" spans="1:41" ht="20.25" customHeight="1" thickBot="1" x14ac:dyDescent="0.3">
      <c r="A70" s="354" t="s">
        <v>111</v>
      </c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150"/>
      <c r="S70" s="150"/>
      <c r="T70" s="150"/>
      <c r="U70" s="150"/>
      <c r="X70" s="243" t="s">
        <v>32</v>
      </c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</row>
    <row r="71" spans="1:41" ht="24.75" customHeight="1" x14ac:dyDescent="0.25">
      <c r="A71" s="400" t="s">
        <v>27</v>
      </c>
      <c r="B71" s="368" t="s">
        <v>91</v>
      </c>
      <c r="C71" s="300"/>
      <c r="D71" s="352" t="s">
        <v>34</v>
      </c>
      <c r="E71" s="270"/>
      <c r="F71" s="352" t="s">
        <v>35</v>
      </c>
      <c r="G71" s="270"/>
      <c r="H71" s="352" t="s">
        <v>36</v>
      </c>
      <c r="I71" s="270"/>
      <c r="J71" s="352" t="s">
        <v>37</v>
      </c>
      <c r="K71" s="270"/>
      <c r="L71" s="352" t="s">
        <v>38</v>
      </c>
      <c r="M71" s="270"/>
      <c r="N71" s="151"/>
      <c r="O71" s="389" t="s">
        <v>92</v>
      </c>
      <c r="P71" s="379" t="s">
        <v>93</v>
      </c>
      <c r="Q71" s="376" t="s">
        <v>94</v>
      </c>
      <c r="W71" s="84"/>
      <c r="X71" s="332" t="s">
        <v>43</v>
      </c>
      <c r="Y71" s="334"/>
      <c r="Z71" s="334"/>
      <c r="AA71" s="333" t="s">
        <v>44</v>
      </c>
      <c r="AB71" s="334"/>
      <c r="AC71" s="334"/>
      <c r="AD71" s="315" t="s">
        <v>45</v>
      </c>
      <c r="AE71" s="334"/>
      <c r="AF71" s="334"/>
      <c r="AG71" s="273" t="s">
        <v>46</v>
      </c>
      <c r="AH71" s="334"/>
      <c r="AI71" s="334"/>
      <c r="AJ71" s="330" t="s">
        <v>47</v>
      </c>
      <c r="AK71" s="334"/>
      <c r="AL71" s="334"/>
    </row>
    <row r="72" spans="1:41" ht="24.75" customHeight="1" x14ac:dyDescent="0.25">
      <c r="A72" s="242"/>
      <c r="B72" s="282"/>
      <c r="C72" s="272"/>
      <c r="D72" s="76" t="s">
        <v>48</v>
      </c>
      <c r="E72" s="76" t="s">
        <v>49</v>
      </c>
      <c r="F72" s="76" t="s">
        <v>48</v>
      </c>
      <c r="G72" s="76" t="s">
        <v>49</v>
      </c>
      <c r="H72" s="76" t="s">
        <v>48</v>
      </c>
      <c r="I72" s="76" t="s">
        <v>49</v>
      </c>
      <c r="J72" s="76" t="s">
        <v>48</v>
      </c>
      <c r="K72" s="76" t="s">
        <v>49</v>
      </c>
      <c r="L72" s="76" t="s">
        <v>48</v>
      </c>
      <c r="M72" s="77" t="s">
        <v>49</v>
      </c>
      <c r="N72" s="151"/>
      <c r="O72" s="246"/>
      <c r="P72" s="282"/>
      <c r="Q72" s="288"/>
      <c r="R72" s="100"/>
      <c r="S72" s="101"/>
      <c r="W72" s="1"/>
      <c r="X72" s="84" t="s">
        <v>95</v>
      </c>
      <c r="Y72" s="149" t="s">
        <v>96</v>
      </c>
      <c r="Z72" s="85" t="s">
        <v>58</v>
      </c>
      <c r="AA72" s="84" t="s">
        <v>95</v>
      </c>
      <c r="AB72" s="149" t="s">
        <v>96</v>
      </c>
      <c r="AC72" s="85" t="s">
        <v>58</v>
      </c>
      <c r="AD72" s="84" t="s">
        <v>95</v>
      </c>
      <c r="AE72" s="149" t="s">
        <v>96</v>
      </c>
      <c r="AF72" s="85" t="s">
        <v>58</v>
      </c>
      <c r="AG72" s="84" t="s">
        <v>95</v>
      </c>
      <c r="AH72" s="149" t="s">
        <v>96</v>
      </c>
      <c r="AI72" s="85" t="s">
        <v>58</v>
      </c>
      <c r="AJ72" s="84" t="s">
        <v>95</v>
      </c>
      <c r="AK72" s="149" t="s">
        <v>96</v>
      </c>
      <c r="AL72" s="85" t="s">
        <v>58</v>
      </c>
    </row>
    <row r="73" spans="1:41" ht="24.75" customHeight="1" x14ac:dyDescent="0.25">
      <c r="A73" s="242"/>
      <c r="B73" s="357" t="s">
        <v>10</v>
      </c>
      <c r="C73" s="152" t="s">
        <v>59</v>
      </c>
      <c r="D73" s="153" t="str">
        <f t="shared" ref="D73:M73" si="16">D13</f>
        <v>版本</v>
      </c>
      <c r="E73" s="153" t="str">
        <f t="shared" si="16"/>
        <v>版本</v>
      </c>
      <c r="F73" s="153" t="str">
        <f t="shared" si="16"/>
        <v>版本</v>
      </c>
      <c r="G73" s="153" t="str">
        <f t="shared" si="16"/>
        <v>版本</v>
      </c>
      <c r="H73" s="153" t="str">
        <f t="shared" si="16"/>
        <v>版本</v>
      </c>
      <c r="I73" s="153" t="str">
        <f t="shared" si="16"/>
        <v>版本</v>
      </c>
      <c r="J73" s="153" t="str">
        <f t="shared" si="16"/>
        <v>版本</v>
      </c>
      <c r="K73" s="153" t="str">
        <f t="shared" si="16"/>
        <v>版本</v>
      </c>
      <c r="L73" s="153" t="str">
        <f t="shared" si="16"/>
        <v>版本</v>
      </c>
      <c r="M73" s="154" t="str">
        <f t="shared" si="16"/>
        <v>版本</v>
      </c>
      <c r="N73" s="151"/>
      <c r="O73" s="356" t="e">
        <f>SUM(D74:M74)</f>
        <v>#REF!</v>
      </c>
      <c r="P73" s="386" t="e">
        <f>O73*F9</f>
        <v>#REF!</v>
      </c>
      <c r="Q73" s="378" t="e">
        <f>O73*F8</f>
        <v>#REF!</v>
      </c>
      <c r="R73" s="101"/>
      <c r="S73" s="101"/>
      <c r="W73" s="254" t="s">
        <v>61</v>
      </c>
      <c r="X73" s="243">
        <f>SUMIF(D73:M73,"康軒",D74:M74)*F9</f>
        <v>0</v>
      </c>
      <c r="Y73" s="335">
        <f>SUMIF(D83:J83,"康軒",D86:J86)</f>
        <v>0</v>
      </c>
      <c r="Z73" s="260">
        <f>SUMIF(D73:M73,"康軒",D74:M74)*F8</f>
        <v>0</v>
      </c>
      <c r="AA73" s="243">
        <f>SUMIF(D73:M73,"翰林",D74:M74)*F9+AN74</f>
        <v>0</v>
      </c>
      <c r="AB73" s="335">
        <f>SUMIF(D83:J83,"翰林",D86:J86)</f>
        <v>0</v>
      </c>
      <c r="AC73" s="260">
        <f>SUMIF(D73:M73,"翰林",D74:M74)*F8+AO74</f>
        <v>0</v>
      </c>
      <c r="AD73" s="243">
        <f>SUMIF(D73:M73,"南一",D74:M74)*F9</f>
        <v>0</v>
      </c>
      <c r="AE73" s="335">
        <f>SUMIF(D83:J83,"南一",D86:J86)</f>
        <v>0</v>
      </c>
      <c r="AF73" s="260">
        <f>SUMIF(D73:M73,"南一",D74:M74)*F8</f>
        <v>0</v>
      </c>
      <c r="AG73" s="243">
        <f>SUMIF(D73:M73,"奇鼎",D74:M74)*F9</f>
        <v>0</v>
      </c>
      <c r="AH73" s="335">
        <f>SUMIF(D83:J83,"奇鼎",D86:J86)</f>
        <v>0</v>
      </c>
      <c r="AI73" s="260">
        <f>SUMIF(D73:M73,"奇鼎",D74:M74)*F8</f>
        <v>0</v>
      </c>
      <c r="AJ73" s="243">
        <f>SUMIF(D73:M73,"全華",D74:M74)*F9</f>
        <v>0</v>
      </c>
      <c r="AK73" s="335">
        <f>SUMIF(D83:J83,"全華",D86:J86)</f>
        <v>0</v>
      </c>
      <c r="AL73" s="260">
        <f>SUMIF(D73:M73,"全華",D74:M74)*F8</f>
        <v>0</v>
      </c>
      <c r="AM73" s="90"/>
      <c r="AN73" s="84" t="s">
        <v>95</v>
      </c>
      <c r="AO73" s="85" t="s">
        <v>58</v>
      </c>
    </row>
    <row r="74" spans="1:41" ht="24.75" customHeight="1" x14ac:dyDescent="0.25">
      <c r="A74" s="242"/>
      <c r="B74" s="246"/>
      <c r="C74" s="152" t="s">
        <v>62</v>
      </c>
      <c r="D74" s="155" t="e">
        <f>VLOOKUP(D73,工作表3!#REF!,2,FALSE)</f>
        <v>#REF!</v>
      </c>
      <c r="E74" s="155" t="e">
        <f>VLOOKUP(E73,工作表3!#REF!,3,FALSE)</f>
        <v>#REF!</v>
      </c>
      <c r="F74" s="155" t="e">
        <f>VLOOKUP(F73,工作表3!#REF!,4,FALSE)</f>
        <v>#REF!</v>
      </c>
      <c r="G74" s="155" t="e">
        <f>VLOOKUP(G73,工作表3!#REF!,5,FALSE)</f>
        <v>#REF!</v>
      </c>
      <c r="H74" s="155" t="e">
        <f>VLOOKUP(H73,工作表3!#REF!,6,FALSE)</f>
        <v>#REF!</v>
      </c>
      <c r="I74" s="155" t="e">
        <f>VLOOKUP(I73,工作表3!#REF!,7,FALSE)</f>
        <v>#REF!</v>
      </c>
      <c r="J74" s="155" t="e">
        <f>VLOOKUP(J73,工作表3!#REF!,8,FALSE)</f>
        <v>#REF!</v>
      </c>
      <c r="K74" s="155" t="e">
        <f>VLOOKUP(K73,工作表3!#REF!,9,FALSE)</f>
        <v>#REF!</v>
      </c>
      <c r="L74" s="155" t="e">
        <f>VLOOKUP(L73,工作表3!#REF!,10,FALSE)</f>
        <v>#REF!</v>
      </c>
      <c r="M74" s="156" t="e">
        <f>VLOOKUP(M73,工作表3!#REF!,11,FALSE)</f>
        <v>#REF!</v>
      </c>
      <c r="N74" s="151"/>
      <c r="O74" s="246"/>
      <c r="P74" s="282"/>
      <c r="Q74" s="288"/>
      <c r="R74" s="100"/>
      <c r="S74" s="100"/>
      <c r="W74" s="253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M74" s="92" t="s">
        <v>63</v>
      </c>
      <c r="AN74" s="90">
        <f>SUMIF(D73:M73,"佳音",D74:M74)*F9</f>
        <v>0</v>
      </c>
      <c r="AO74" s="91">
        <f>SUMIF(D73:M73,"佳音",D74:M74)*F8</f>
        <v>0</v>
      </c>
    </row>
    <row r="75" spans="1:41" ht="24.75" customHeight="1" x14ac:dyDescent="0.25">
      <c r="A75" s="242"/>
      <c r="B75" s="357" t="s">
        <v>11</v>
      </c>
      <c r="C75" s="152" t="s">
        <v>59</v>
      </c>
      <c r="D75" s="153" t="str">
        <f t="shared" ref="D75:M75" si="17">D15</f>
        <v>版本</v>
      </c>
      <c r="E75" s="153" t="str">
        <f t="shared" si="17"/>
        <v>版本</v>
      </c>
      <c r="F75" s="153" t="str">
        <f t="shared" si="17"/>
        <v>版本</v>
      </c>
      <c r="G75" s="153" t="str">
        <f t="shared" si="17"/>
        <v>版本</v>
      </c>
      <c r="H75" s="153" t="str">
        <f t="shared" si="17"/>
        <v>版本</v>
      </c>
      <c r="I75" s="153" t="str">
        <f t="shared" si="17"/>
        <v>版本</v>
      </c>
      <c r="J75" s="153" t="str">
        <f t="shared" si="17"/>
        <v>版本</v>
      </c>
      <c r="K75" s="153" t="str">
        <f t="shared" si="17"/>
        <v>版本</v>
      </c>
      <c r="L75" s="153" t="str">
        <f t="shared" si="17"/>
        <v>版本</v>
      </c>
      <c r="M75" s="154" t="str">
        <f t="shared" si="17"/>
        <v>版本</v>
      </c>
      <c r="N75" s="151"/>
      <c r="O75" s="356" t="e">
        <f>SUM(D76:M76)</f>
        <v>#REF!</v>
      </c>
      <c r="P75" s="386" t="e">
        <f>O75*H9</f>
        <v>#REF!</v>
      </c>
      <c r="Q75" s="378" t="e">
        <f>O75*H8</f>
        <v>#REF!</v>
      </c>
      <c r="R75" s="100"/>
      <c r="S75" s="100"/>
      <c r="W75" s="254" t="s">
        <v>64</v>
      </c>
      <c r="X75" s="243">
        <f>SUMIF(D75:M75,"康軒",D76:M76)*H9</f>
        <v>0</v>
      </c>
      <c r="Y75" s="335">
        <f>SUMIF(D87:J87,"康軒",D90:J90)</f>
        <v>0</v>
      </c>
      <c r="Z75" s="260">
        <f>SUMIF(D75:M75,"康軒",D76:M76)*H8</f>
        <v>0</v>
      </c>
      <c r="AA75" s="243">
        <f>SUMIF(D75:M75,"翰林",D76:M76)*H9+AN76</f>
        <v>0</v>
      </c>
      <c r="AB75" s="335">
        <f>SUMIF(D87:J87,"翰林",D90:J90)</f>
        <v>0</v>
      </c>
      <c r="AC75" s="260">
        <f>SUMIF(D75:M75,"翰林",D76:M76)*H8+AO76</f>
        <v>0</v>
      </c>
      <c r="AD75" s="243">
        <f>SUMIF(D75:M75,"南一",D76:M76)*H9</f>
        <v>0</v>
      </c>
      <c r="AE75" s="335">
        <f>SUMIF(D87:J87,"南一",D90:J90)</f>
        <v>0</v>
      </c>
      <c r="AF75" s="260">
        <f>SUMIF(D75:M75,"南一",D76:M76)*H8</f>
        <v>0</v>
      </c>
      <c r="AG75" s="243">
        <f>SUMIF(D75:M75,"奇鼎",D76:M76)*H9</f>
        <v>0</v>
      </c>
      <c r="AH75" s="335">
        <f>SUMIF(D87:J87,"奇鼎",D90:J90)</f>
        <v>0</v>
      </c>
      <c r="AI75" s="260">
        <f>SUMIF(D75:M75,"奇鼎",D76:M76)*H8</f>
        <v>0</v>
      </c>
      <c r="AJ75" s="243">
        <f>SUMIF(D75:M75,"全華",D76:M76)*H9</f>
        <v>0</v>
      </c>
      <c r="AK75" s="335">
        <f>SUMIF(D87:J87,"全華",D90:J90)</f>
        <v>0</v>
      </c>
      <c r="AL75" s="260">
        <f>SUMIF(D75:M75,"全華",D76:M76)*H8</f>
        <v>0</v>
      </c>
      <c r="AM75" s="84"/>
      <c r="AN75" s="84"/>
      <c r="AO75" s="85"/>
    </row>
    <row r="76" spans="1:41" ht="24.75" customHeight="1" x14ac:dyDescent="0.25">
      <c r="A76" s="242"/>
      <c r="B76" s="246"/>
      <c r="C76" s="152" t="s">
        <v>62</v>
      </c>
      <c r="D76" s="155" t="e">
        <f>VLOOKUP(D75,工作表3!#REF!,19,FALSE)</f>
        <v>#REF!</v>
      </c>
      <c r="E76" s="155" t="e">
        <f>VLOOKUP(E75,工作表3!#REF!,20,FALSE)</f>
        <v>#REF!</v>
      </c>
      <c r="F76" s="155" t="e">
        <f>VLOOKUP(F75,工作表3!#REF!,21,FALSE)</f>
        <v>#REF!</v>
      </c>
      <c r="G76" s="155" t="e">
        <f>VLOOKUP(G75,工作表3!#REF!,22,FALSE)</f>
        <v>#REF!</v>
      </c>
      <c r="H76" s="155" t="e">
        <f>VLOOKUP(H75,工作表3!#REF!,23,FALSE)</f>
        <v>#REF!</v>
      </c>
      <c r="I76" s="155" t="e">
        <f>VLOOKUP(I75,工作表3!#REF!,24,FALSE)</f>
        <v>#REF!</v>
      </c>
      <c r="J76" s="155" t="e">
        <f>VLOOKUP(J75,工作表3!#REF!,25,FALSE)</f>
        <v>#REF!</v>
      </c>
      <c r="K76" s="155" t="e">
        <f>VLOOKUP(K75,工作表3!#REF!,26,FALSE)</f>
        <v>#REF!</v>
      </c>
      <c r="L76" s="155" t="e">
        <f>VLOOKUP(L75,工作表3!#REF!,27,FALSE)</f>
        <v>#REF!</v>
      </c>
      <c r="M76" s="156" t="e">
        <f>VLOOKUP(M75,工作表3!#REF!,28,FALSE)</f>
        <v>#REF!</v>
      </c>
      <c r="N76" s="151"/>
      <c r="O76" s="246"/>
      <c r="P76" s="282"/>
      <c r="Q76" s="288"/>
      <c r="R76" s="100"/>
      <c r="S76" s="100"/>
      <c r="W76" s="253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92" t="s">
        <v>63</v>
      </c>
      <c r="AN76" s="90">
        <f>SUMIF(D75:M75,"佳音",D76:M76)*H9</f>
        <v>0</v>
      </c>
      <c r="AO76" s="91">
        <f>SUMIF(D75:M75,"佳音",D76:M76)*H8</f>
        <v>0</v>
      </c>
    </row>
    <row r="77" spans="1:41" ht="24.75" customHeight="1" x14ac:dyDescent="0.25">
      <c r="A77" s="242"/>
      <c r="B77" s="357" t="s">
        <v>12</v>
      </c>
      <c r="C77" s="152" t="s">
        <v>59</v>
      </c>
      <c r="D77" s="153" t="str">
        <f t="shared" ref="D77:M77" si="18">D17</f>
        <v>版本</v>
      </c>
      <c r="E77" s="153" t="str">
        <f t="shared" si="18"/>
        <v>版本</v>
      </c>
      <c r="F77" s="153" t="str">
        <f t="shared" si="18"/>
        <v>版本</v>
      </c>
      <c r="G77" s="153" t="str">
        <f t="shared" si="18"/>
        <v>版本</v>
      </c>
      <c r="H77" s="153" t="str">
        <f t="shared" si="18"/>
        <v>版本</v>
      </c>
      <c r="I77" s="153" t="str">
        <f t="shared" si="18"/>
        <v>版本</v>
      </c>
      <c r="J77" s="153" t="str">
        <f t="shared" si="18"/>
        <v>版本</v>
      </c>
      <c r="K77" s="153" t="str">
        <f t="shared" si="18"/>
        <v>版本</v>
      </c>
      <c r="L77" s="153" t="str">
        <f t="shared" si="18"/>
        <v>版本</v>
      </c>
      <c r="M77" s="154" t="str">
        <f t="shared" si="18"/>
        <v>版本</v>
      </c>
      <c r="N77" s="151"/>
      <c r="O77" s="356" t="e">
        <f>SUM(D78:M78)</f>
        <v>#REF!</v>
      </c>
      <c r="P77" s="386" t="e">
        <f>O77*J9</f>
        <v>#REF!</v>
      </c>
      <c r="Q77" s="378" t="e">
        <f>O77*J8</f>
        <v>#REF!</v>
      </c>
      <c r="R77" s="102"/>
      <c r="S77" s="102"/>
      <c r="W77" s="254" t="s">
        <v>65</v>
      </c>
      <c r="X77" s="243">
        <f>SUMIF(D77:M77,"康軒",D78:M78)*J9</f>
        <v>0</v>
      </c>
      <c r="Y77" s="335">
        <f>SUMIF(D91:J91,"康軒",D94:J94)</f>
        <v>0</v>
      </c>
      <c r="Z77" s="260">
        <f>SUMIF(D77:M77,"康軒",D78:M78)*J8</f>
        <v>0</v>
      </c>
      <c r="AA77" s="243">
        <f>SUMIF(D77:M77,"翰林",D78:M78)*J9+AN78</f>
        <v>0</v>
      </c>
      <c r="AB77" s="335">
        <f>SUMIF(D91:J91,"翰林",D94:J94)</f>
        <v>0</v>
      </c>
      <c r="AC77" s="260">
        <f>SUMIF(D77:M77,"翰林",D78:M78)*J8+AO78</f>
        <v>0</v>
      </c>
      <c r="AD77" s="243">
        <f>SUMIF(D77:M77,"南一",D78:M78)*J9</f>
        <v>0</v>
      </c>
      <c r="AE77" s="335">
        <f>SUMIF(D91:J91,"南一",D94:J94)</f>
        <v>0</v>
      </c>
      <c r="AF77" s="260">
        <f>SUMIF(D77:M77,"南一",D78:M78)*J8</f>
        <v>0</v>
      </c>
      <c r="AG77" s="243">
        <f>SUMIF(D77:M77,"奇鼎",D78:M78)*J9</f>
        <v>0</v>
      </c>
      <c r="AH77" s="335">
        <f>SUMIF(D91:J91,"奇鼎",D94:J94)</f>
        <v>0</v>
      </c>
      <c r="AI77" s="260">
        <f>SUMIF(D77:M77,"奇鼎",D78:M78)*J8</f>
        <v>0</v>
      </c>
      <c r="AJ77" s="243">
        <f>SUMIF(D77:M77,"全華",D78:M78)*J9</f>
        <v>0</v>
      </c>
      <c r="AK77" s="335">
        <f>SUMIF(D91:J91,"全華",D94:J94)</f>
        <v>0</v>
      </c>
      <c r="AL77" s="260">
        <f>SUMIF(D77:M77,"全華",D78:M78)*J8</f>
        <v>0</v>
      </c>
      <c r="AM77" s="84"/>
      <c r="AN77" s="84"/>
      <c r="AO77" s="85"/>
    </row>
    <row r="78" spans="1:41" ht="24.75" customHeight="1" thickBot="1" x14ac:dyDescent="0.3">
      <c r="A78" s="284"/>
      <c r="B78" s="246"/>
      <c r="C78" s="157" t="s">
        <v>62</v>
      </c>
      <c r="D78" s="158" t="e">
        <f>VLOOKUP(D77,工作表3!#REF!,36,FALSE)</f>
        <v>#REF!</v>
      </c>
      <c r="E78" s="158" t="e">
        <f>VLOOKUP(E77,工作表3!#REF!,37,FALSE)</f>
        <v>#REF!</v>
      </c>
      <c r="F78" s="158" t="e">
        <f>VLOOKUP(F77,工作表3!#REF!,38,FALSE)</f>
        <v>#REF!</v>
      </c>
      <c r="G78" s="158" t="e">
        <f>VLOOKUP(G77,工作表3!#REF!,39,FALSE)</f>
        <v>#REF!</v>
      </c>
      <c r="H78" s="158" t="e">
        <f>VLOOKUP(H77,工作表3!#REF!,40,FALSE)</f>
        <v>#REF!</v>
      </c>
      <c r="I78" s="158" t="e">
        <f>VLOOKUP(I77,工作表3!#REF!,41,FALSE)</f>
        <v>#REF!</v>
      </c>
      <c r="J78" s="158" t="e">
        <f>VLOOKUP(J77,工作表3!#REF!,42,FALSE)</f>
        <v>#REF!</v>
      </c>
      <c r="K78" s="158" t="e">
        <f>VLOOKUP(K77,工作表3!#REF!,43,FALSE)</f>
        <v>#REF!</v>
      </c>
      <c r="L78" s="158" t="e">
        <f>VLOOKUP(L77,工作表3!#REF!,44,FALSE)</f>
        <v>#REF!</v>
      </c>
      <c r="M78" s="159" t="e">
        <f>VLOOKUP(M77,工作表3!#REF!,45,FALSE)</f>
        <v>#REF!</v>
      </c>
      <c r="N78" s="151"/>
      <c r="O78" s="246"/>
      <c r="P78" s="282"/>
      <c r="Q78" s="288"/>
      <c r="R78" s="102"/>
      <c r="S78" s="102"/>
      <c r="W78" s="253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92" t="s">
        <v>63</v>
      </c>
      <c r="AN78" s="90">
        <f>SUMIF(D77:M77,"佳音",D78:M78)*J9</f>
        <v>0</v>
      </c>
      <c r="AO78" s="91">
        <f>SUMIF(D77:M77,"佳音",D78:M78)*J8</f>
        <v>0</v>
      </c>
    </row>
    <row r="79" spans="1:41" ht="37.5" customHeight="1" thickBot="1" x14ac:dyDescent="0.3">
      <c r="A79" s="160"/>
      <c r="B79" s="161"/>
      <c r="C79" s="161"/>
      <c r="D79" s="162"/>
      <c r="E79" s="162"/>
      <c r="F79" s="162"/>
      <c r="G79" s="162"/>
      <c r="H79" s="162"/>
      <c r="I79" s="162"/>
      <c r="J79" s="162"/>
      <c r="K79" s="162"/>
      <c r="L79" s="163"/>
      <c r="M79" s="163"/>
      <c r="N79" s="151"/>
      <c r="O79" s="164" t="s">
        <v>13</v>
      </c>
      <c r="P79" s="165" t="e">
        <f>SUM(P73:P78)</f>
        <v>#REF!</v>
      </c>
      <c r="Q79" s="166" t="e">
        <f>SUM(Q73:Q78)</f>
        <v>#REF!</v>
      </c>
      <c r="W79" s="317" t="s">
        <v>13</v>
      </c>
      <c r="X79" s="247">
        <f t="shared" ref="X79:AL79" si="19">SUM(X73:X78)</f>
        <v>0</v>
      </c>
      <c r="Y79" s="348">
        <f t="shared" si="19"/>
        <v>0</v>
      </c>
      <c r="Z79" s="277">
        <f t="shared" si="19"/>
        <v>0</v>
      </c>
      <c r="AA79" s="247">
        <f t="shared" si="19"/>
        <v>0</v>
      </c>
      <c r="AB79" s="348">
        <f t="shared" si="19"/>
        <v>0</v>
      </c>
      <c r="AC79" s="277">
        <f t="shared" si="19"/>
        <v>0</v>
      </c>
      <c r="AD79" s="247">
        <f t="shared" si="19"/>
        <v>0</v>
      </c>
      <c r="AE79" s="348">
        <f t="shared" si="19"/>
        <v>0</v>
      </c>
      <c r="AF79" s="277">
        <f t="shared" si="19"/>
        <v>0</v>
      </c>
      <c r="AG79" s="247">
        <f t="shared" si="19"/>
        <v>0</v>
      </c>
      <c r="AH79" s="348">
        <f t="shared" si="19"/>
        <v>0</v>
      </c>
      <c r="AI79" s="277">
        <f t="shared" si="19"/>
        <v>0</v>
      </c>
      <c r="AJ79" s="247">
        <f t="shared" si="19"/>
        <v>0</v>
      </c>
      <c r="AK79" s="348">
        <f t="shared" si="19"/>
        <v>0</v>
      </c>
      <c r="AL79" s="277">
        <f t="shared" si="19"/>
        <v>0</v>
      </c>
      <c r="AM79" s="90"/>
      <c r="AN79" s="90"/>
      <c r="AO79" s="90"/>
    </row>
    <row r="80" spans="1:41" ht="24.75" customHeight="1" thickBot="1" x14ac:dyDescent="0.3">
      <c r="A80" s="167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3"/>
      <c r="S80" s="3"/>
      <c r="T80" s="3"/>
      <c r="W80" s="253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90"/>
      <c r="AN80" s="90"/>
      <c r="AO80" s="90"/>
    </row>
    <row r="81" spans="1:41" ht="24.75" customHeight="1" x14ac:dyDescent="0.25">
      <c r="A81" s="365" t="s">
        <v>97</v>
      </c>
      <c r="B81" s="368" t="s">
        <v>98</v>
      </c>
      <c r="C81" s="300"/>
      <c r="D81" s="169" t="s">
        <v>39</v>
      </c>
      <c r="E81" s="169" t="s">
        <v>40</v>
      </c>
      <c r="F81" s="170" t="s">
        <v>41</v>
      </c>
      <c r="G81" s="352" t="s">
        <v>99</v>
      </c>
      <c r="H81" s="270"/>
      <c r="I81" s="352" t="s">
        <v>100</v>
      </c>
      <c r="J81" s="270"/>
      <c r="K81" s="369" t="s">
        <v>101</v>
      </c>
      <c r="L81" s="370"/>
      <c r="M81" s="171"/>
      <c r="N81" s="151"/>
      <c r="O81" s="367" t="s">
        <v>112</v>
      </c>
      <c r="P81" s="393" t="e">
        <f>P79</f>
        <v>#REF!</v>
      </c>
      <c r="Q81" s="281"/>
      <c r="R81" s="104"/>
      <c r="W81" s="17" t="s">
        <v>70</v>
      </c>
      <c r="X81" s="257">
        <f>SUM(X79:Z80)</f>
        <v>0</v>
      </c>
      <c r="Y81" s="334"/>
      <c r="Z81" s="334"/>
      <c r="AA81" s="257">
        <f>SUM(AA79:AC80)</f>
        <v>0</v>
      </c>
      <c r="AB81" s="334"/>
      <c r="AC81" s="334"/>
      <c r="AD81" s="257">
        <f>SUM(AD79:AF80)</f>
        <v>0</v>
      </c>
      <c r="AE81" s="334"/>
      <c r="AF81" s="334"/>
      <c r="AG81" s="257">
        <f>SUM(AG79:AI80)</f>
        <v>0</v>
      </c>
      <c r="AH81" s="334"/>
      <c r="AI81" s="334"/>
      <c r="AJ81" s="257">
        <f>SUM(AJ79:AL80)</f>
        <v>0</v>
      </c>
      <c r="AK81" s="334"/>
      <c r="AL81" s="334"/>
      <c r="AM81" s="90"/>
      <c r="AN81" s="90"/>
      <c r="AO81" s="90"/>
    </row>
    <row r="82" spans="1:41" ht="24.75" customHeight="1" x14ac:dyDescent="0.25">
      <c r="A82" s="242"/>
      <c r="B82" s="282"/>
      <c r="C82" s="272"/>
      <c r="D82" s="76" t="s">
        <v>48</v>
      </c>
      <c r="E82" s="76" t="s">
        <v>48</v>
      </c>
      <c r="F82" s="76" t="s">
        <v>48</v>
      </c>
      <c r="G82" s="76" t="s">
        <v>48</v>
      </c>
      <c r="H82" s="76" t="s">
        <v>49</v>
      </c>
      <c r="I82" s="76" t="s">
        <v>48</v>
      </c>
      <c r="J82" s="76" t="s">
        <v>49</v>
      </c>
      <c r="K82" s="282"/>
      <c r="L82" s="371"/>
      <c r="M82" s="171"/>
      <c r="N82" s="151"/>
      <c r="O82" s="341"/>
      <c r="P82" s="360"/>
      <c r="Q82" s="259"/>
      <c r="R82" s="104"/>
    </row>
    <row r="83" spans="1:41" ht="24.75" customHeight="1" x14ac:dyDescent="0.25">
      <c r="A83" s="242"/>
      <c r="B83" s="357" t="s">
        <v>10</v>
      </c>
      <c r="C83" s="152" t="s">
        <v>59</v>
      </c>
      <c r="D83" s="153" t="str">
        <f t="shared" ref="D83:J83" si="20">D23</f>
        <v>版本</v>
      </c>
      <c r="E83" s="153" t="str">
        <f t="shared" si="20"/>
        <v>版本</v>
      </c>
      <c r="F83" s="153" t="str">
        <f t="shared" si="20"/>
        <v>版本</v>
      </c>
      <c r="G83" s="153" t="str">
        <f t="shared" si="20"/>
        <v>版本</v>
      </c>
      <c r="H83" s="153" t="str">
        <f t="shared" si="20"/>
        <v>版本</v>
      </c>
      <c r="I83" s="153" t="str">
        <f t="shared" si="20"/>
        <v>版本</v>
      </c>
      <c r="J83" s="153" t="str">
        <f t="shared" si="20"/>
        <v>版本</v>
      </c>
      <c r="K83" s="372">
        <f>SUM(D86:J86)</f>
        <v>0</v>
      </c>
      <c r="L83" s="359"/>
      <c r="M83" s="172"/>
      <c r="N83" s="151"/>
      <c r="O83" s="341"/>
      <c r="P83" s="360"/>
      <c r="Q83" s="259"/>
      <c r="R83" s="104"/>
    </row>
    <row r="84" spans="1:41" ht="24.75" customHeight="1" x14ac:dyDescent="0.25">
      <c r="A84" s="242"/>
      <c r="B84" s="341"/>
      <c r="C84" s="152" t="s">
        <v>62</v>
      </c>
      <c r="D84" s="155" t="e">
        <f>VLOOKUP(D83,工作表3!#REF!,12,FALSE)</f>
        <v>#REF!</v>
      </c>
      <c r="E84" s="155" t="e">
        <f>VLOOKUP(E83,工作表3!#REF!,13,FALSE)</f>
        <v>#REF!</v>
      </c>
      <c r="F84" s="155" t="e">
        <f>VLOOKUP(F83,工作表3!#REF!,14,FALSE)</f>
        <v>#REF!</v>
      </c>
      <c r="G84" s="155" t="e">
        <f>VLOOKUP(G83,工作表3!#REF!,15,FALSE)</f>
        <v>#REF!</v>
      </c>
      <c r="H84" s="155" t="e">
        <f>VLOOKUP(H83,工作表3!#REF!,16,FALSE)</f>
        <v>#REF!</v>
      </c>
      <c r="I84" s="155" t="e">
        <f>VLOOKUP(I83,工作表3!#REF!,17,FALSE)</f>
        <v>#REF!</v>
      </c>
      <c r="J84" s="155" t="e">
        <f>VLOOKUP(J83,工作表3!#REF!,18,FALSE)</f>
        <v>#REF!</v>
      </c>
      <c r="K84" s="360"/>
      <c r="L84" s="361"/>
      <c r="M84" s="173"/>
      <c r="N84" s="151"/>
      <c r="O84" s="246"/>
      <c r="P84" s="282"/>
      <c r="Q84" s="272"/>
      <c r="R84" s="104"/>
    </row>
    <row r="85" spans="1:41" ht="24.75" customHeight="1" x14ac:dyDescent="0.25">
      <c r="A85" s="242"/>
      <c r="B85" s="341"/>
      <c r="C85" s="176" t="s">
        <v>103</v>
      </c>
      <c r="D85" s="155">
        <f t="shared" ref="D85:J85" si="21">D25</f>
        <v>0</v>
      </c>
      <c r="E85" s="155">
        <f t="shared" si="21"/>
        <v>0</v>
      </c>
      <c r="F85" s="155">
        <f t="shared" si="21"/>
        <v>0</v>
      </c>
      <c r="G85" s="155">
        <f t="shared" si="21"/>
        <v>0</v>
      </c>
      <c r="H85" s="155">
        <f t="shared" si="21"/>
        <v>0</v>
      </c>
      <c r="I85" s="155">
        <f t="shared" si="21"/>
        <v>0</v>
      </c>
      <c r="J85" s="155">
        <f t="shared" si="21"/>
        <v>0</v>
      </c>
      <c r="K85" s="360"/>
      <c r="L85" s="361"/>
      <c r="M85" s="173"/>
      <c r="N85" s="151"/>
      <c r="O85" s="367" t="s">
        <v>113</v>
      </c>
      <c r="P85" s="366">
        <f>SUM(K83:L94)</f>
        <v>0</v>
      </c>
      <c r="Q85" s="281"/>
      <c r="R85" s="104"/>
    </row>
    <row r="86" spans="1:41" ht="24.75" customHeight="1" x14ac:dyDescent="0.25">
      <c r="A86" s="242"/>
      <c r="B86" s="246"/>
      <c r="C86" s="176" t="s">
        <v>105</v>
      </c>
      <c r="D86" s="155">
        <f t="shared" ref="D86:J86" si="22">IF(ISERROR(D84*D85),,D84*D85)</f>
        <v>0</v>
      </c>
      <c r="E86" s="155">
        <f t="shared" si="22"/>
        <v>0</v>
      </c>
      <c r="F86" s="155">
        <f t="shared" si="22"/>
        <v>0</v>
      </c>
      <c r="G86" s="155">
        <f t="shared" si="22"/>
        <v>0</v>
      </c>
      <c r="H86" s="155">
        <f t="shared" si="22"/>
        <v>0</v>
      </c>
      <c r="I86" s="155">
        <f t="shared" si="22"/>
        <v>0</v>
      </c>
      <c r="J86" s="155">
        <f t="shared" si="22"/>
        <v>0</v>
      </c>
      <c r="K86" s="282"/>
      <c r="L86" s="371"/>
      <c r="M86" s="173"/>
      <c r="N86" s="151"/>
      <c r="O86" s="341"/>
      <c r="P86" s="360"/>
      <c r="Q86" s="259"/>
      <c r="R86" s="104"/>
    </row>
    <row r="87" spans="1:41" ht="24.75" customHeight="1" x14ac:dyDescent="0.25">
      <c r="A87" s="242"/>
      <c r="B87" s="357" t="s">
        <v>11</v>
      </c>
      <c r="C87" s="176" t="s">
        <v>59</v>
      </c>
      <c r="D87" s="153" t="str">
        <f t="shared" ref="D87:J87" si="23">D27</f>
        <v>版本</v>
      </c>
      <c r="E87" s="153" t="str">
        <f t="shared" si="23"/>
        <v>版本</v>
      </c>
      <c r="F87" s="153" t="str">
        <f t="shared" si="23"/>
        <v>版本</v>
      </c>
      <c r="G87" s="153" t="str">
        <f t="shared" si="23"/>
        <v>版本</v>
      </c>
      <c r="H87" s="153" t="str">
        <f t="shared" si="23"/>
        <v>版本</v>
      </c>
      <c r="I87" s="153" t="str">
        <f t="shared" si="23"/>
        <v>版本</v>
      </c>
      <c r="J87" s="153" t="str">
        <f t="shared" si="23"/>
        <v>版本</v>
      </c>
      <c r="K87" s="372">
        <f>SUM(D90:J90)</f>
        <v>0</v>
      </c>
      <c r="L87" s="359"/>
      <c r="M87" s="172"/>
      <c r="N87" s="151"/>
      <c r="O87" s="246"/>
      <c r="P87" s="282"/>
      <c r="Q87" s="272"/>
      <c r="R87" s="104"/>
    </row>
    <row r="88" spans="1:41" ht="24.75" customHeight="1" x14ac:dyDescent="0.25">
      <c r="A88" s="242"/>
      <c r="B88" s="341"/>
      <c r="C88" s="176" t="s">
        <v>62</v>
      </c>
      <c r="D88" s="155" t="e">
        <f>VLOOKUP(D87,工作表3!#REF!,29,FALSE)</f>
        <v>#REF!</v>
      </c>
      <c r="E88" s="155" t="e">
        <f>VLOOKUP(E87,工作表3!#REF!,30,FALSE)</f>
        <v>#REF!</v>
      </c>
      <c r="F88" s="155" t="e">
        <f>VLOOKUP(F87,工作表3!#REF!,31,FALSE)</f>
        <v>#REF!</v>
      </c>
      <c r="G88" s="155" t="e">
        <f>VLOOKUP(G87,工作表3!#REF!,32,FALSE)</f>
        <v>#REF!</v>
      </c>
      <c r="H88" s="155" t="e">
        <f>VLOOKUP(H87,工作表3!#REF!,33,FALSE)</f>
        <v>#REF!</v>
      </c>
      <c r="I88" s="155" t="e">
        <f>VLOOKUP(I87,工作表3!#REF!,34,FALSE)</f>
        <v>#REF!</v>
      </c>
      <c r="J88" s="155" t="e">
        <f>VLOOKUP(J87,工作表3!#REF!,35,FALSE)</f>
        <v>#REF!</v>
      </c>
      <c r="K88" s="360"/>
      <c r="L88" s="361"/>
      <c r="M88" s="173"/>
      <c r="N88" s="151"/>
      <c r="O88" s="367" t="s">
        <v>114</v>
      </c>
      <c r="P88" s="366" t="e">
        <f>Q79</f>
        <v>#REF!</v>
      </c>
      <c r="Q88" s="281"/>
      <c r="R88" s="104"/>
    </row>
    <row r="89" spans="1:41" ht="24.75" customHeight="1" x14ac:dyDescent="0.25">
      <c r="A89" s="242"/>
      <c r="B89" s="341"/>
      <c r="C89" s="176" t="s">
        <v>103</v>
      </c>
      <c r="D89" s="155">
        <f t="shared" ref="D89:J89" si="24">D29</f>
        <v>0</v>
      </c>
      <c r="E89" s="155">
        <f t="shared" si="24"/>
        <v>0</v>
      </c>
      <c r="F89" s="155">
        <f t="shared" si="24"/>
        <v>0</v>
      </c>
      <c r="G89" s="155">
        <f t="shared" si="24"/>
        <v>0</v>
      </c>
      <c r="H89" s="155">
        <f t="shared" si="24"/>
        <v>0</v>
      </c>
      <c r="I89" s="155">
        <f t="shared" si="24"/>
        <v>0</v>
      </c>
      <c r="J89" s="155">
        <f t="shared" si="24"/>
        <v>0</v>
      </c>
      <c r="K89" s="360"/>
      <c r="L89" s="361"/>
      <c r="M89" s="173"/>
      <c r="N89" s="151"/>
      <c r="O89" s="341"/>
      <c r="P89" s="360"/>
      <c r="Q89" s="259"/>
      <c r="R89" s="104"/>
    </row>
    <row r="90" spans="1:41" ht="24.75" customHeight="1" thickBot="1" x14ac:dyDescent="0.3">
      <c r="A90" s="242"/>
      <c r="B90" s="246"/>
      <c r="C90" s="176" t="s">
        <v>105</v>
      </c>
      <c r="D90" s="155">
        <f t="shared" ref="D90:J90" si="25">IF(ISERROR(D88*D89),,D88*D89)</f>
        <v>0</v>
      </c>
      <c r="E90" s="155">
        <f t="shared" si="25"/>
        <v>0</v>
      </c>
      <c r="F90" s="155">
        <f t="shared" si="25"/>
        <v>0</v>
      </c>
      <c r="G90" s="155">
        <f t="shared" si="25"/>
        <v>0</v>
      </c>
      <c r="H90" s="155">
        <f t="shared" si="25"/>
        <v>0</v>
      </c>
      <c r="I90" s="155">
        <f t="shared" si="25"/>
        <v>0</v>
      </c>
      <c r="J90" s="155">
        <f t="shared" si="25"/>
        <v>0</v>
      </c>
      <c r="K90" s="282"/>
      <c r="L90" s="371"/>
      <c r="M90" s="173"/>
      <c r="N90" s="151"/>
      <c r="O90" s="246"/>
      <c r="P90" s="282"/>
      <c r="Q90" s="272"/>
      <c r="R90" s="104"/>
    </row>
    <row r="91" spans="1:41" ht="24.75" customHeight="1" x14ac:dyDescent="0.25">
      <c r="A91" s="242"/>
      <c r="B91" s="373" t="s">
        <v>12</v>
      </c>
      <c r="C91" s="176" t="s">
        <v>59</v>
      </c>
      <c r="D91" s="153" t="str">
        <f t="shared" ref="D91:J91" si="26">D31</f>
        <v>版本</v>
      </c>
      <c r="E91" s="153" t="str">
        <f t="shared" si="26"/>
        <v>版本</v>
      </c>
      <c r="F91" s="153" t="str">
        <f t="shared" si="26"/>
        <v>版本</v>
      </c>
      <c r="G91" s="153" t="str">
        <f t="shared" si="26"/>
        <v>版本</v>
      </c>
      <c r="H91" s="153" t="str">
        <f t="shared" si="26"/>
        <v>版本</v>
      </c>
      <c r="I91" s="153" t="str">
        <f t="shared" si="26"/>
        <v>版本</v>
      </c>
      <c r="J91" s="153" t="str">
        <f t="shared" si="26"/>
        <v>版本</v>
      </c>
      <c r="K91" s="358">
        <f>SUM(D94:J94)</f>
        <v>0</v>
      </c>
      <c r="L91" s="359"/>
      <c r="M91" s="172"/>
      <c r="N91" s="151"/>
      <c r="O91" s="395" t="s">
        <v>115</v>
      </c>
      <c r="P91" s="381" t="e">
        <f>SUM(P81:Q90)</f>
        <v>#REF!</v>
      </c>
      <c r="Q91" s="370"/>
      <c r="R91" s="104"/>
    </row>
    <row r="92" spans="1:41" ht="24.75" customHeight="1" x14ac:dyDescent="0.25">
      <c r="A92" s="242"/>
      <c r="B92" s="341"/>
      <c r="C92" s="176" t="s">
        <v>62</v>
      </c>
      <c r="D92" s="155" t="e">
        <f>VLOOKUP(D91,工作表3!#REF!,46,FALSE)</f>
        <v>#REF!</v>
      </c>
      <c r="E92" s="155" t="e">
        <f>VLOOKUP(E91,工作表3!#REF!,47,FALSE)</f>
        <v>#REF!</v>
      </c>
      <c r="F92" s="155" t="e">
        <f>VLOOKUP(F91,工作表3!#REF!,48,FALSE)</f>
        <v>#REF!</v>
      </c>
      <c r="G92" s="155" t="e">
        <f>VLOOKUP(G91,工作表3!#REF!,49,FALSE)</f>
        <v>#REF!</v>
      </c>
      <c r="H92" s="155" t="e">
        <f>VLOOKUP(H91,工作表3!#REF!,50,FALSE)</f>
        <v>#REF!</v>
      </c>
      <c r="I92" s="155" t="e">
        <f>VLOOKUP(I91,工作表3!#REF!,51,FALSE)</f>
        <v>#REF!</v>
      </c>
      <c r="J92" s="155" t="e">
        <f>VLOOKUP(J91,工作表3!#REF!,52,FALSE)</f>
        <v>#REF!</v>
      </c>
      <c r="K92" s="360"/>
      <c r="L92" s="361"/>
      <c r="M92" s="173"/>
      <c r="N92" s="151"/>
      <c r="O92" s="242"/>
      <c r="P92" s="360"/>
      <c r="Q92" s="361"/>
      <c r="R92" s="104"/>
    </row>
    <row r="93" spans="1:41" ht="24.75" customHeight="1" x14ac:dyDescent="0.25">
      <c r="A93" s="242"/>
      <c r="B93" s="341"/>
      <c r="C93" s="176" t="s">
        <v>103</v>
      </c>
      <c r="D93" s="174">
        <f t="shared" ref="D93:J93" si="27">D33</f>
        <v>0</v>
      </c>
      <c r="E93" s="174">
        <f t="shared" si="27"/>
        <v>0</v>
      </c>
      <c r="F93" s="174">
        <f t="shared" si="27"/>
        <v>0</v>
      </c>
      <c r="G93" s="174">
        <f t="shared" si="27"/>
        <v>0</v>
      </c>
      <c r="H93" s="174">
        <f t="shared" si="27"/>
        <v>0</v>
      </c>
      <c r="I93" s="174">
        <f t="shared" si="27"/>
        <v>0</v>
      </c>
      <c r="J93" s="174">
        <f t="shared" si="27"/>
        <v>0</v>
      </c>
      <c r="K93" s="360"/>
      <c r="L93" s="361"/>
      <c r="M93" s="173"/>
      <c r="N93" s="151"/>
      <c r="O93" s="242"/>
      <c r="P93" s="360"/>
      <c r="Q93" s="361"/>
      <c r="R93" s="104"/>
    </row>
    <row r="94" spans="1:41" ht="24.75" customHeight="1" thickBot="1" x14ac:dyDescent="0.3">
      <c r="A94" s="338"/>
      <c r="B94" s="344"/>
      <c r="C94" s="157" t="s">
        <v>105</v>
      </c>
      <c r="D94" s="175">
        <f t="shared" ref="D94:J94" si="28">IF(ISERROR(D92*D93),,D92*D93)</f>
        <v>0</v>
      </c>
      <c r="E94" s="175">
        <f t="shared" si="28"/>
        <v>0</v>
      </c>
      <c r="F94" s="175">
        <f t="shared" si="28"/>
        <v>0</v>
      </c>
      <c r="G94" s="175">
        <f t="shared" si="28"/>
        <v>0</v>
      </c>
      <c r="H94" s="175">
        <f t="shared" si="28"/>
        <v>0</v>
      </c>
      <c r="I94" s="175">
        <f t="shared" si="28"/>
        <v>0</v>
      </c>
      <c r="J94" s="175">
        <f t="shared" si="28"/>
        <v>0</v>
      </c>
      <c r="K94" s="362"/>
      <c r="L94" s="363"/>
      <c r="M94" s="173"/>
      <c r="N94" s="151"/>
      <c r="O94" s="338"/>
      <c r="P94" s="362"/>
      <c r="Q94" s="363"/>
      <c r="R94" s="104"/>
    </row>
  </sheetData>
  <mergeCells count="307">
    <mergeCell ref="A71:A78"/>
    <mergeCell ref="AD12:AF12"/>
    <mergeCell ref="K21:L22"/>
    <mergeCell ref="AG81:AI81"/>
    <mergeCell ref="AK75:AK76"/>
    <mergeCell ref="W53:W54"/>
    <mergeCell ref="Y53:Y54"/>
    <mergeCell ref="AE77:AE78"/>
    <mergeCell ref="W55:W56"/>
    <mergeCell ref="AG77:AG78"/>
    <mergeCell ref="AD81:AF81"/>
    <mergeCell ref="Q11:Q12"/>
    <mergeCell ref="O91:O94"/>
    <mergeCell ref="AG18:AG19"/>
    <mergeCell ref="B71:C72"/>
    <mergeCell ref="Y18:Y19"/>
    <mergeCell ref="AA18:AA19"/>
    <mergeCell ref="P31:Q34"/>
    <mergeCell ref="Q75:Q76"/>
    <mergeCell ref="X46:AB46"/>
    <mergeCell ref="P17:P18"/>
    <mergeCell ref="AA75:AA76"/>
    <mergeCell ref="X18:X19"/>
    <mergeCell ref="Q15:Q16"/>
    <mergeCell ref="P75:P76"/>
    <mergeCell ref="X51:X52"/>
    <mergeCell ref="AA79:AA80"/>
    <mergeCell ref="Z51:Z52"/>
    <mergeCell ref="X71:Z71"/>
    <mergeCell ref="P88:Q90"/>
    <mergeCell ref="P11:P12"/>
    <mergeCell ref="A47:B48"/>
    <mergeCell ref="U47:U48"/>
    <mergeCell ref="A11:A18"/>
    <mergeCell ref="AG16:AG17"/>
    <mergeCell ref="X14:X15"/>
    <mergeCell ref="AJ16:AJ17"/>
    <mergeCell ref="AJ71:AL71"/>
    <mergeCell ref="P81:Q84"/>
    <mergeCell ref="AE79:AE80"/>
    <mergeCell ref="B87:B90"/>
    <mergeCell ref="Y16:Y17"/>
    <mergeCell ref="O17:O18"/>
    <mergeCell ref="T55:T60"/>
    <mergeCell ref="Y77:Y78"/>
    <mergeCell ref="Q17:Q18"/>
    <mergeCell ref="AI16:AI17"/>
    <mergeCell ref="AL14:AL15"/>
    <mergeCell ref="AF79:AF80"/>
    <mergeCell ref="B83:B86"/>
    <mergeCell ref="AI18:AI19"/>
    <mergeCell ref="AH79:AH80"/>
    <mergeCell ref="B73:B74"/>
    <mergeCell ref="G81:H81"/>
    <mergeCell ref="K87:L90"/>
    <mergeCell ref="O73:O74"/>
    <mergeCell ref="O77:O78"/>
    <mergeCell ref="Q77:Q78"/>
    <mergeCell ref="X81:Z81"/>
    <mergeCell ref="H71:I71"/>
    <mergeCell ref="Y55:Y56"/>
    <mergeCell ref="W79:W80"/>
    <mergeCell ref="Y79:Y80"/>
    <mergeCell ref="Y73:Y74"/>
    <mergeCell ref="I81:J81"/>
    <mergeCell ref="U61:U66"/>
    <mergeCell ref="X55:X56"/>
    <mergeCell ref="AK20:AK21"/>
    <mergeCell ref="AA20:AA21"/>
    <mergeCell ref="AC20:AC21"/>
    <mergeCell ref="K47:L47"/>
    <mergeCell ref="AJ77:AJ78"/>
    <mergeCell ref="O28:O30"/>
    <mergeCell ref="T61:T66"/>
    <mergeCell ref="AD75:AD76"/>
    <mergeCell ref="AF75:AF76"/>
    <mergeCell ref="AA51:AA52"/>
    <mergeCell ref="X77:X78"/>
    <mergeCell ref="U55:U60"/>
    <mergeCell ref="Z77:Z78"/>
    <mergeCell ref="P28:Q30"/>
    <mergeCell ref="AK77:AK78"/>
    <mergeCell ref="AE75:AE76"/>
    <mergeCell ref="J71:K71"/>
    <mergeCell ref="O25:O27"/>
    <mergeCell ref="AB51:AB52"/>
    <mergeCell ref="AB20:AB21"/>
    <mergeCell ref="AD20:AD21"/>
    <mergeCell ref="AA73:AA74"/>
    <mergeCell ref="X53:X54"/>
    <mergeCell ref="Z53:Z54"/>
    <mergeCell ref="AH73:AH74"/>
    <mergeCell ref="X49:X50"/>
    <mergeCell ref="P25:Q27"/>
    <mergeCell ref="O71:O72"/>
    <mergeCell ref="K27:L30"/>
    <mergeCell ref="W77:W78"/>
    <mergeCell ref="AJ81:AL81"/>
    <mergeCell ref="X70:AI70"/>
    <mergeCell ref="AG22:AI22"/>
    <mergeCell ref="AC75:AC76"/>
    <mergeCell ref="AL79:AL80"/>
    <mergeCell ref="AI77:AI78"/>
    <mergeCell ref="AJ22:AL22"/>
    <mergeCell ref="AK79:AK80"/>
    <mergeCell ref="AJ75:AJ76"/>
    <mergeCell ref="AJ73:AJ74"/>
    <mergeCell ref="AG79:AG80"/>
    <mergeCell ref="AG71:AI71"/>
    <mergeCell ref="AL75:AL76"/>
    <mergeCell ref="AA22:AC22"/>
    <mergeCell ref="AF77:AF78"/>
    <mergeCell ref="AH77:AH78"/>
    <mergeCell ref="W51:W52"/>
    <mergeCell ref="Y51:Y52"/>
    <mergeCell ref="AL20:AL21"/>
    <mergeCell ref="T47:T48"/>
    <mergeCell ref="AI20:AI21"/>
    <mergeCell ref="AL77:AL78"/>
    <mergeCell ref="F11:G11"/>
    <mergeCell ref="AL73:AL74"/>
    <mergeCell ref="AG20:AG21"/>
    <mergeCell ref="AG14:AG15"/>
    <mergeCell ref="AD18:AD19"/>
    <mergeCell ref="AI14:AI15"/>
    <mergeCell ref="P47:S47"/>
    <mergeCell ref="AB77:AB78"/>
    <mergeCell ref="AD77:AD78"/>
    <mergeCell ref="AJ18:AJ19"/>
    <mergeCell ref="AL18:AL19"/>
    <mergeCell ref="Y49:Y50"/>
    <mergeCell ref="P13:P14"/>
    <mergeCell ref="X75:X76"/>
    <mergeCell ref="AG73:AG74"/>
    <mergeCell ref="AI73:AI74"/>
    <mergeCell ref="X16:X17"/>
    <mergeCell ref="P77:P78"/>
    <mergeCell ref="K23:L26"/>
    <mergeCell ref="AA16:AA17"/>
    <mergeCell ref="AK18:AK19"/>
    <mergeCell ref="W75:W76"/>
    <mergeCell ref="Z73:Z74"/>
    <mergeCell ref="H7:I7"/>
    <mergeCell ref="W14:W15"/>
    <mergeCell ref="J7:K7"/>
    <mergeCell ref="O11:O12"/>
    <mergeCell ref="L11:M11"/>
    <mergeCell ref="B7:E7"/>
    <mergeCell ref="F8:G8"/>
    <mergeCell ref="AK14:AK15"/>
    <mergeCell ref="AC73:AC74"/>
    <mergeCell ref="Z75:Z76"/>
    <mergeCell ref="AB75:AB76"/>
    <mergeCell ref="AK73:AK74"/>
    <mergeCell ref="H9:I9"/>
    <mergeCell ref="W16:W17"/>
    <mergeCell ref="J9:K9"/>
    <mergeCell ref="AE73:AE74"/>
    <mergeCell ref="AE20:AE21"/>
    <mergeCell ref="AJ12:AL12"/>
    <mergeCell ref="AH18:AH19"/>
    <mergeCell ref="W49:W50"/>
    <mergeCell ref="AJ20:AJ21"/>
    <mergeCell ref="AL16:AL17"/>
    <mergeCell ref="AI79:AI80"/>
    <mergeCell ref="B91:B94"/>
    <mergeCell ref="H8:I8"/>
    <mergeCell ref="O81:O84"/>
    <mergeCell ref="AB18:AB19"/>
    <mergeCell ref="J8:K8"/>
    <mergeCell ref="O15:O16"/>
    <mergeCell ref="E47:F47"/>
    <mergeCell ref="K31:L34"/>
    <mergeCell ref="Q71:Q72"/>
    <mergeCell ref="N5:N9"/>
    <mergeCell ref="O6:P6"/>
    <mergeCell ref="A46:U46"/>
    <mergeCell ref="Q73:Q74"/>
    <mergeCell ref="X22:Z22"/>
    <mergeCell ref="P71:P72"/>
    <mergeCell ref="A5:A9"/>
    <mergeCell ref="F6:G6"/>
    <mergeCell ref="P91:Q94"/>
    <mergeCell ref="C47:D47"/>
    <mergeCell ref="O7:Q7"/>
    <mergeCell ref="F9:G9"/>
    <mergeCell ref="O85:O87"/>
    <mergeCell ref="AH75:AH76"/>
    <mergeCell ref="AB73:AB74"/>
    <mergeCell ref="AD73:AD74"/>
    <mergeCell ref="AF73:AF74"/>
    <mergeCell ref="B75:B76"/>
    <mergeCell ref="A49:A54"/>
    <mergeCell ref="I21:J21"/>
    <mergeCell ref="K91:L94"/>
    <mergeCell ref="P21:Q24"/>
    <mergeCell ref="A81:A94"/>
    <mergeCell ref="P85:Q87"/>
    <mergeCell ref="O88:O90"/>
    <mergeCell ref="B81:C82"/>
    <mergeCell ref="AA81:AC81"/>
    <mergeCell ref="K81:L82"/>
    <mergeCell ref="K83:L86"/>
    <mergeCell ref="B77:B78"/>
    <mergeCell ref="AC79:AC80"/>
    <mergeCell ref="B31:B34"/>
    <mergeCell ref="T49:T54"/>
    <mergeCell ref="W73:W74"/>
    <mergeCell ref="AD22:AF22"/>
    <mergeCell ref="AA71:AC71"/>
    <mergeCell ref="X79:X80"/>
    <mergeCell ref="O75:O76"/>
    <mergeCell ref="AG75:AG76"/>
    <mergeCell ref="AE16:AE17"/>
    <mergeCell ref="AB79:AB80"/>
    <mergeCell ref="AD79:AD80"/>
    <mergeCell ref="W20:W21"/>
    <mergeCell ref="Y20:Y21"/>
    <mergeCell ref="AA49:AA50"/>
    <mergeCell ref="L71:M71"/>
    <mergeCell ref="AA53:AA54"/>
    <mergeCell ref="AD16:AD17"/>
    <mergeCell ref="AA55:AA56"/>
    <mergeCell ref="Y75:Y76"/>
    <mergeCell ref="Z55:Z56"/>
    <mergeCell ref="AB55:AB56"/>
    <mergeCell ref="AC16:AC17"/>
    <mergeCell ref="AC18:AC19"/>
    <mergeCell ref="Z79:Z80"/>
    <mergeCell ref="P15:P16"/>
    <mergeCell ref="P73:P74"/>
    <mergeCell ref="AA77:AA78"/>
    <mergeCell ref="AC77:AC78"/>
    <mergeCell ref="Z16:Z17"/>
    <mergeCell ref="AB16:AB17"/>
    <mergeCell ref="AH20:AH21"/>
    <mergeCell ref="AG12:AI12"/>
    <mergeCell ref="R5:T5"/>
    <mergeCell ref="B21:C22"/>
    <mergeCell ref="X12:Z12"/>
    <mergeCell ref="B27:B30"/>
    <mergeCell ref="A55:A60"/>
    <mergeCell ref="O21:O24"/>
    <mergeCell ref="A61:A66"/>
    <mergeCell ref="AH14:AH15"/>
    <mergeCell ref="AE18:AE19"/>
    <mergeCell ref="U49:U54"/>
    <mergeCell ref="Y14:Y15"/>
    <mergeCell ref="B6:E6"/>
    <mergeCell ref="B9:E9"/>
    <mergeCell ref="B13:B14"/>
    <mergeCell ref="B15:B16"/>
    <mergeCell ref="AE14:AE15"/>
    <mergeCell ref="I47:J47"/>
    <mergeCell ref="AB14:AB15"/>
    <mergeCell ref="AH16:AH17"/>
    <mergeCell ref="AF18:AF19"/>
    <mergeCell ref="G21:H21"/>
    <mergeCell ref="AD14:AD15"/>
    <mergeCell ref="AF16:AF17"/>
    <mergeCell ref="AA12:AC12"/>
    <mergeCell ref="X20:X21"/>
    <mergeCell ref="Z20:Z21"/>
    <mergeCell ref="Z14:Z15"/>
    <mergeCell ref="W18:W19"/>
    <mergeCell ref="A4:T4"/>
    <mergeCell ref="AD71:AF71"/>
    <mergeCell ref="Z49:Z50"/>
    <mergeCell ref="O13:O14"/>
    <mergeCell ref="AB49:AB50"/>
    <mergeCell ref="Q13:Q14"/>
    <mergeCell ref="A45:U45"/>
    <mergeCell ref="A21:A34"/>
    <mergeCell ref="D71:E71"/>
    <mergeCell ref="F71:G71"/>
    <mergeCell ref="A67:S67"/>
    <mergeCell ref="A70:Q70"/>
    <mergeCell ref="F5:L5"/>
    <mergeCell ref="O5:Q5"/>
    <mergeCell ref="F7:G7"/>
    <mergeCell ref="AA14:AA15"/>
    <mergeCell ref="G47:H47"/>
    <mergeCell ref="AF14:AF15"/>
    <mergeCell ref="AJ14:AJ15"/>
    <mergeCell ref="AI75:AI76"/>
    <mergeCell ref="AK16:AK17"/>
    <mergeCell ref="AJ79:AJ80"/>
    <mergeCell ref="AF20:AF21"/>
    <mergeCell ref="X73:X74"/>
    <mergeCell ref="N1:T2"/>
    <mergeCell ref="J11:K11"/>
    <mergeCell ref="O31:O34"/>
    <mergeCell ref="AB53:AB54"/>
    <mergeCell ref="A1:J1"/>
    <mergeCell ref="A2:J2"/>
    <mergeCell ref="D11:E11"/>
    <mergeCell ref="AC14:AC15"/>
    <mergeCell ref="Z18:Z19"/>
    <mergeCell ref="B5:E5"/>
    <mergeCell ref="B23:B26"/>
    <mergeCell ref="H6:I6"/>
    <mergeCell ref="J6:K6"/>
    <mergeCell ref="B8:E8"/>
    <mergeCell ref="B11:C12"/>
    <mergeCell ref="H11:I11"/>
    <mergeCell ref="X11:AI11"/>
    <mergeCell ref="B17:B18"/>
  </mergeCells>
  <phoneticPr fontId="2" type="noConversion"/>
  <conditionalFormatting sqref="C49:S49 C55:S55 C61:S61">
    <cfRule type="containsText" dxfId="11" priority="7" operator="containsText" text="全華">
      <formula>NOT(ISERROR(SEARCH("全華",C49)))</formula>
    </cfRule>
    <cfRule type="containsText" dxfId="10" priority="8" operator="containsText" text="奇鼎">
      <formula>NOT(ISERROR(SEARCH("奇鼎",C49)))</formula>
    </cfRule>
    <cfRule type="containsText" dxfId="9" priority="9" operator="containsText" text="佳音">
      <formula>NOT(ISERROR(SEARCH("佳音",C49)))</formula>
    </cfRule>
    <cfRule type="containsText" dxfId="8" priority="10" operator="containsText" text="南一">
      <formula>NOT(ISERROR(SEARCH("南一",C49)))</formula>
    </cfRule>
    <cfRule type="containsText" dxfId="7" priority="11" operator="containsText" text="翰林">
      <formula>NOT(ISERROR(SEARCH("翰林",C49)))</formula>
    </cfRule>
    <cfRule type="containsText" dxfId="6" priority="12" operator="containsText" text="康軒">
      <formula>NOT(ISERROR(SEARCH("康軒",C49)))</formula>
    </cfRule>
  </conditionalFormatting>
  <conditionalFormatting sqref="D13:M13 D15:M15 D17:M17 D23:J23 D27:J27 D31:J31 C49:S49 C55:S55 C61:S61 D73:M73 D75:M75 D77:M77 D83:J83 D87:J87 D91:J91">
    <cfRule type="containsText" dxfId="5" priority="1" operator="containsText" text="佳音">
      <formula>NOT(ISERROR(SEARCH("佳音",C13)))</formula>
    </cfRule>
    <cfRule type="containsText" dxfId="4" priority="2" operator="containsText" text="全華">
      <formula>NOT(ISERROR(SEARCH("全華",C13)))</formula>
    </cfRule>
    <cfRule type="containsText" dxfId="3" priority="3" operator="containsText" text="奇鼎">
      <formula>NOT(ISERROR(SEARCH("奇鼎",C13)))</formula>
    </cfRule>
    <cfRule type="containsText" dxfId="2" priority="4" operator="containsText" text="南一">
      <formula>NOT(ISERROR(SEARCH("南一",C13)))</formula>
    </cfRule>
    <cfRule type="containsText" dxfId="1" priority="5" operator="containsText" text="翰林">
      <formula>NOT(ISERROR(SEARCH("翰林",C13)))</formula>
    </cfRule>
    <cfRule type="containsText" dxfId="0" priority="6" operator="containsText" text="康軒">
      <formula>NOT(ISERROR(SEARCH("康軒",C13)))</formula>
    </cfRule>
  </conditionalFormatting>
  <dataValidations count="1">
    <dataValidation type="list" allowBlank="1" showInputMessage="1" showErrorMessage="1" sqref="C49:S49 C55:S55 C61:S61 D13:M13 D15:M15 D17:M17 D23:J23 D27:J27 D31:J31 D73:M73 D75:M75 D77:M77 D83:J83 D87:J87 D91:J91" xr:uid="{00000000-0002-0000-0100-000000000000}">
      <formula1>版本</formula1>
    </dataValidation>
  </dataValidations>
  <printOptions horizontalCentered="1"/>
  <pageMargins left="0.11811023622047249" right="0.11811023622047249" top="0.15748031496062989" bottom="0" header="0.31496062992125978" footer="0.31496062992125978"/>
  <pageSetup paperSize="9" scale="67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5"/>
  <sheetViews>
    <sheetView zoomScale="90" zoomScaleNormal="90" workbookViewId="0">
      <selection activeCell="K18" sqref="K18"/>
    </sheetView>
  </sheetViews>
  <sheetFormatPr defaultColWidth="10.1640625" defaultRowHeight="16.5" x14ac:dyDescent="0.25"/>
  <cols>
    <col min="1" max="1" width="15" style="10" customWidth="1"/>
    <col min="2" max="2" width="18.83203125" style="10" customWidth="1"/>
    <col min="3" max="3" width="17.83203125" style="16" customWidth="1"/>
    <col min="4" max="4" width="11" style="10" customWidth="1"/>
    <col min="5" max="5" width="10" style="10" customWidth="1"/>
    <col min="6" max="6" width="11.33203125" style="10" customWidth="1"/>
    <col min="7" max="7" width="10.83203125" style="10" customWidth="1"/>
    <col min="8" max="8" width="12" style="10" customWidth="1"/>
    <col min="9" max="9" width="5.6640625" style="10" customWidth="1"/>
    <col min="10" max="10" width="5.5" style="10" customWidth="1"/>
    <col min="11" max="11" width="6.6640625" style="10" customWidth="1"/>
    <col min="12" max="12" width="14" style="10" customWidth="1"/>
    <col min="13" max="13" width="10.1640625" style="10" customWidth="1"/>
    <col min="14" max="16384" width="10.1640625" style="10"/>
  </cols>
  <sheetData>
    <row r="1" spans="1:17" ht="21" customHeight="1" x14ac:dyDescent="0.25">
      <c r="A1" s="402" t="s">
        <v>148</v>
      </c>
      <c r="B1" s="253"/>
      <c r="C1" s="253"/>
      <c r="D1" s="253"/>
      <c r="E1" s="253"/>
      <c r="F1" s="253"/>
      <c r="G1" s="253"/>
      <c r="H1" s="23"/>
      <c r="I1" s="23"/>
      <c r="J1" s="23"/>
      <c r="K1" s="23"/>
      <c r="L1" s="23"/>
    </row>
    <row r="2" spans="1:17" ht="27.75" customHeight="1" x14ac:dyDescent="0.4">
      <c r="A2" s="408" t="s">
        <v>116</v>
      </c>
      <c r="B2" s="409"/>
      <c r="C2" s="409"/>
      <c r="D2" s="409"/>
      <c r="E2" s="409"/>
      <c r="F2" s="409"/>
      <c r="G2" s="409"/>
      <c r="H2" s="11"/>
      <c r="I2" s="11"/>
      <c r="J2" s="11"/>
      <c r="K2" s="11"/>
      <c r="L2" s="11"/>
    </row>
    <row r="3" spans="1:17" ht="32.65" customHeight="1" x14ac:dyDescent="0.3">
      <c r="A3" s="401" t="s">
        <v>117</v>
      </c>
      <c r="B3" s="404" t="s">
        <v>118</v>
      </c>
      <c r="C3" s="404" t="s">
        <v>119</v>
      </c>
      <c r="D3" s="410" t="s">
        <v>120</v>
      </c>
      <c r="E3" s="265"/>
      <c r="F3" s="401" t="s">
        <v>121</v>
      </c>
      <c r="G3" s="265"/>
      <c r="Q3" s="12"/>
    </row>
    <row r="4" spans="1:17" ht="22.5" customHeight="1" x14ac:dyDescent="0.25">
      <c r="A4" s="246"/>
      <c r="B4" s="341"/>
      <c r="C4" s="341"/>
      <c r="D4" s="24" t="s">
        <v>21</v>
      </c>
      <c r="E4" s="24" t="s">
        <v>22</v>
      </c>
      <c r="F4" s="25" t="s">
        <v>122</v>
      </c>
      <c r="G4" s="25" t="s">
        <v>123</v>
      </c>
    </row>
    <row r="5" spans="1:17" ht="15.6" customHeight="1" x14ac:dyDescent="0.25">
      <c r="A5" s="184"/>
      <c r="B5" s="184"/>
      <c r="C5" s="185"/>
      <c r="D5" s="186"/>
      <c r="E5" s="186"/>
      <c r="F5" s="186"/>
      <c r="G5" s="186"/>
    </row>
    <row r="6" spans="1:17" ht="15.6" customHeight="1" x14ac:dyDescent="0.25">
      <c r="A6" s="184"/>
      <c r="B6" s="184"/>
      <c r="C6" s="185"/>
      <c r="D6" s="187"/>
      <c r="E6" s="187"/>
      <c r="F6" s="187"/>
      <c r="G6" s="187"/>
    </row>
    <row r="7" spans="1:17" ht="15.6" customHeight="1" x14ac:dyDescent="0.25">
      <c r="A7" s="184"/>
      <c r="B7" s="184"/>
      <c r="C7" s="185"/>
      <c r="D7" s="187"/>
      <c r="E7" s="187"/>
      <c r="F7" s="187"/>
      <c r="G7" s="187"/>
    </row>
    <row r="8" spans="1:17" ht="15.6" customHeight="1" x14ac:dyDescent="0.25">
      <c r="A8" s="184"/>
      <c r="B8" s="184"/>
      <c r="C8" s="185"/>
      <c r="D8" s="187"/>
      <c r="E8" s="187"/>
      <c r="F8" s="187"/>
      <c r="G8" s="187"/>
    </row>
    <row r="9" spans="1:17" ht="15.6" customHeight="1" x14ac:dyDescent="0.25">
      <c r="A9" s="184"/>
      <c r="B9" s="184"/>
      <c r="C9" s="185"/>
      <c r="D9" s="187"/>
      <c r="E9" s="187"/>
      <c r="F9" s="186"/>
      <c r="G9" s="187"/>
    </row>
    <row r="10" spans="1:17" ht="15.6" customHeight="1" x14ac:dyDescent="0.25">
      <c r="A10" s="184"/>
      <c r="B10" s="184"/>
      <c r="C10" s="185"/>
      <c r="D10" s="187"/>
      <c r="E10" s="187"/>
      <c r="F10" s="187"/>
      <c r="G10" s="187"/>
    </row>
    <row r="11" spans="1:17" ht="15.6" customHeight="1" x14ac:dyDescent="0.25">
      <c r="A11" s="184"/>
      <c r="B11" s="184"/>
      <c r="C11" s="185"/>
      <c r="D11" s="187"/>
      <c r="E11" s="187"/>
      <c r="F11" s="187"/>
      <c r="G11" s="187"/>
    </row>
    <row r="12" spans="1:17" ht="15.6" customHeight="1" x14ac:dyDescent="0.25">
      <c r="A12" s="184"/>
      <c r="B12" s="184"/>
      <c r="C12" s="185"/>
      <c r="D12" s="187"/>
      <c r="E12" s="187"/>
      <c r="F12" s="187"/>
      <c r="G12" s="187"/>
    </row>
    <row r="13" spans="1:17" ht="15.6" customHeight="1" x14ac:dyDescent="0.25">
      <c r="A13" s="188"/>
      <c r="B13" s="188"/>
      <c r="C13" s="189"/>
      <c r="D13" s="187"/>
      <c r="E13" s="187"/>
      <c r="F13" s="186"/>
      <c r="G13" s="187"/>
    </row>
    <row r="14" spans="1:17" ht="15.6" customHeight="1" x14ac:dyDescent="0.25">
      <c r="A14" s="188"/>
      <c r="B14" s="188"/>
      <c r="C14" s="189"/>
      <c r="D14" s="187"/>
      <c r="E14" s="187"/>
      <c r="F14" s="187"/>
      <c r="G14" s="187"/>
    </row>
    <row r="15" spans="1:17" ht="15.6" customHeight="1" x14ac:dyDescent="0.25">
      <c r="A15" s="188"/>
      <c r="B15" s="188"/>
      <c r="C15" s="189"/>
      <c r="D15" s="187"/>
      <c r="E15" s="187"/>
      <c r="F15" s="187"/>
      <c r="G15" s="187"/>
    </row>
    <row r="16" spans="1:17" ht="15.6" customHeight="1" x14ac:dyDescent="0.25">
      <c r="A16" s="184"/>
      <c r="B16" s="190"/>
      <c r="C16" s="191"/>
      <c r="D16" s="187"/>
      <c r="E16" s="187"/>
      <c r="F16" s="187"/>
      <c r="G16" s="187"/>
    </row>
    <row r="17" spans="1:7" ht="15.6" customHeight="1" x14ac:dyDescent="0.25">
      <c r="A17" s="184"/>
      <c r="B17" s="190"/>
      <c r="C17" s="191"/>
      <c r="D17" s="187"/>
      <c r="E17" s="187"/>
      <c r="F17" s="186"/>
      <c r="G17" s="187"/>
    </row>
    <row r="18" spans="1:7" ht="15.6" customHeight="1" x14ac:dyDescent="0.25">
      <c r="A18" s="184"/>
      <c r="B18" s="190"/>
      <c r="C18" s="191"/>
      <c r="D18" s="187"/>
      <c r="E18" s="187"/>
      <c r="F18" s="187"/>
      <c r="G18" s="187"/>
    </row>
    <row r="19" spans="1:7" ht="15.6" customHeight="1" x14ac:dyDescent="0.25">
      <c r="A19" s="188"/>
      <c r="B19" s="188"/>
      <c r="C19" s="189"/>
      <c r="D19" s="187"/>
      <c r="E19" s="187"/>
      <c r="F19" s="187"/>
      <c r="G19" s="187"/>
    </row>
    <row r="20" spans="1:7" ht="15.6" customHeight="1" x14ac:dyDescent="0.25">
      <c r="A20" s="192"/>
      <c r="B20" s="193"/>
      <c r="C20" s="191"/>
      <c r="D20" s="187"/>
      <c r="E20" s="187"/>
      <c r="F20" s="187"/>
      <c r="G20" s="187"/>
    </row>
    <row r="21" spans="1:7" ht="15.6" customHeight="1" x14ac:dyDescent="0.25">
      <c r="A21" s="188"/>
      <c r="B21" s="188"/>
      <c r="C21" s="189"/>
      <c r="D21" s="187"/>
      <c r="E21" s="187"/>
      <c r="F21" s="186"/>
      <c r="G21" s="187"/>
    </row>
    <row r="22" spans="1:7" ht="15.6" customHeight="1" x14ac:dyDescent="0.25">
      <c r="A22" s="184"/>
      <c r="B22" s="190"/>
      <c r="C22" s="191"/>
      <c r="D22" s="187"/>
      <c r="E22" s="187"/>
      <c r="F22" s="187"/>
      <c r="G22" s="187"/>
    </row>
    <row r="23" spans="1:7" ht="15.6" customHeight="1" x14ac:dyDescent="0.25">
      <c r="A23" s="194"/>
      <c r="B23" s="194"/>
      <c r="C23" s="195"/>
      <c r="D23" s="187"/>
      <c r="E23" s="187"/>
      <c r="F23" s="187"/>
      <c r="G23" s="187"/>
    </row>
    <row r="24" spans="1:7" ht="15.6" customHeight="1" x14ac:dyDescent="0.25">
      <c r="A24" s="194"/>
      <c r="B24" s="194"/>
      <c r="C24" s="195"/>
      <c r="D24" s="187"/>
      <c r="E24" s="187"/>
      <c r="F24" s="187"/>
      <c r="G24" s="187"/>
    </row>
    <row r="25" spans="1:7" ht="15.6" customHeight="1" x14ac:dyDescent="0.25">
      <c r="A25" s="194"/>
      <c r="B25" s="194"/>
      <c r="C25" s="195"/>
      <c r="D25" s="187"/>
      <c r="E25" s="187"/>
      <c r="F25" s="186"/>
      <c r="G25" s="187"/>
    </row>
    <row r="26" spans="1:7" ht="15.6" customHeight="1" x14ac:dyDescent="0.25">
      <c r="A26" s="194"/>
      <c r="B26" s="194"/>
      <c r="C26" s="195"/>
      <c r="D26" s="187"/>
      <c r="E26" s="187"/>
      <c r="F26" s="187"/>
      <c r="G26" s="187"/>
    </row>
    <row r="27" spans="1:7" ht="15.6" customHeight="1" x14ac:dyDescent="0.25">
      <c r="A27" s="194"/>
      <c r="B27" s="194"/>
      <c r="C27" s="195"/>
      <c r="D27" s="187"/>
      <c r="E27" s="187"/>
      <c r="F27" s="187"/>
      <c r="G27" s="187"/>
    </row>
    <row r="28" spans="1:7" ht="15.6" customHeight="1" x14ac:dyDescent="0.25">
      <c r="A28" s="194"/>
      <c r="B28" s="194"/>
      <c r="C28" s="195"/>
      <c r="D28" s="187"/>
      <c r="E28" s="187"/>
      <c r="F28" s="187"/>
      <c r="G28" s="187"/>
    </row>
    <row r="29" spans="1:7" ht="15.6" customHeight="1" x14ac:dyDescent="0.25">
      <c r="A29" s="194"/>
      <c r="B29" s="194"/>
      <c r="C29" s="195"/>
      <c r="D29" s="187"/>
      <c r="E29" s="187"/>
      <c r="F29" s="186"/>
      <c r="G29" s="187"/>
    </row>
    <row r="30" spans="1:7" ht="15.6" customHeight="1" x14ac:dyDescent="0.25">
      <c r="A30" s="194"/>
      <c r="B30" s="194"/>
      <c r="C30" s="195"/>
      <c r="D30" s="187"/>
      <c r="E30" s="187"/>
      <c r="F30" s="187"/>
      <c r="G30" s="187"/>
    </row>
    <row r="31" spans="1:7" ht="15.6" customHeight="1" thickBot="1" x14ac:dyDescent="0.3">
      <c r="A31" s="196"/>
      <c r="B31" s="196"/>
      <c r="C31" s="197"/>
      <c r="D31" s="198"/>
      <c r="E31" s="198"/>
      <c r="F31" s="198"/>
      <c r="G31" s="198"/>
    </row>
    <row r="32" spans="1:7" ht="15.6" customHeight="1" x14ac:dyDescent="0.25">
      <c r="A32" s="199"/>
      <c r="B32" s="199"/>
      <c r="C32" s="200"/>
      <c r="D32" s="201"/>
      <c r="E32" s="201"/>
      <c r="F32" s="201"/>
      <c r="G32" s="201"/>
    </row>
    <row r="33" spans="1:7" ht="15.6" customHeight="1" x14ac:dyDescent="0.25">
      <c r="A33" s="184"/>
      <c r="B33" s="184"/>
      <c r="C33" s="185"/>
      <c r="D33" s="187"/>
      <c r="E33" s="187"/>
      <c r="F33" s="187"/>
      <c r="G33" s="187"/>
    </row>
    <row r="34" spans="1:7" ht="15.6" customHeight="1" x14ac:dyDescent="0.25">
      <c r="A34" s="184"/>
      <c r="B34" s="184"/>
      <c r="C34" s="185"/>
      <c r="D34" s="187"/>
      <c r="E34" s="187"/>
      <c r="F34" s="187"/>
      <c r="G34" s="187"/>
    </row>
    <row r="35" spans="1:7" ht="15.6" customHeight="1" x14ac:dyDescent="0.25">
      <c r="A35" s="184"/>
      <c r="B35" s="184"/>
      <c r="C35" s="185"/>
      <c r="D35" s="187"/>
      <c r="E35" s="187"/>
      <c r="F35" s="187"/>
      <c r="G35" s="187"/>
    </row>
    <row r="36" spans="1:7" ht="15.6" customHeight="1" x14ac:dyDescent="0.25">
      <c r="A36" s="184"/>
      <c r="B36" s="184"/>
      <c r="C36" s="185"/>
      <c r="D36" s="187"/>
      <c r="E36" s="187"/>
      <c r="F36" s="187"/>
      <c r="G36" s="187"/>
    </row>
    <row r="37" spans="1:7" ht="15.6" customHeight="1" x14ac:dyDescent="0.25">
      <c r="A37" s="184"/>
      <c r="B37" s="184"/>
      <c r="C37" s="185"/>
      <c r="D37" s="187"/>
      <c r="E37" s="187"/>
      <c r="F37" s="187"/>
      <c r="G37" s="187"/>
    </row>
    <row r="38" spans="1:7" ht="15.6" customHeight="1" x14ac:dyDescent="0.25">
      <c r="A38" s="184"/>
      <c r="B38" s="184"/>
      <c r="C38" s="185"/>
      <c r="D38" s="187"/>
      <c r="E38" s="187"/>
      <c r="F38" s="187"/>
      <c r="G38" s="187"/>
    </row>
    <row r="39" spans="1:7" ht="15.6" customHeight="1" x14ac:dyDescent="0.25">
      <c r="A39" s="184"/>
      <c r="B39" s="184"/>
      <c r="C39" s="185"/>
      <c r="D39" s="187"/>
      <c r="E39" s="187"/>
      <c r="F39" s="187"/>
      <c r="G39" s="187"/>
    </row>
    <row r="40" spans="1:7" ht="15.6" customHeight="1" x14ac:dyDescent="0.25">
      <c r="A40" s="184"/>
      <c r="B40" s="184"/>
      <c r="C40" s="185"/>
      <c r="D40" s="187"/>
      <c r="E40" s="187"/>
      <c r="F40" s="187"/>
      <c r="G40" s="187"/>
    </row>
    <row r="41" spans="1:7" ht="15.6" customHeight="1" x14ac:dyDescent="0.25">
      <c r="A41" s="184"/>
      <c r="B41" s="184"/>
      <c r="C41" s="185"/>
      <c r="D41" s="187"/>
      <c r="E41" s="187"/>
      <c r="F41" s="187"/>
      <c r="G41" s="187"/>
    </row>
    <row r="42" spans="1:7" ht="15.6" customHeight="1" x14ac:dyDescent="0.25">
      <c r="A42" s="184"/>
      <c r="B42" s="184"/>
      <c r="C42" s="185"/>
      <c r="D42" s="187"/>
      <c r="E42" s="187"/>
      <c r="F42" s="187"/>
      <c r="G42" s="187"/>
    </row>
    <row r="43" spans="1:7" ht="15.6" customHeight="1" x14ac:dyDescent="0.25">
      <c r="A43" s="202"/>
      <c r="B43" s="202"/>
      <c r="C43" s="185"/>
      <c r="D43" s="187"/>
      <c r="E43" s="187"/>
      <c r="F43" s="187"/>
      <c r="G43" s="187"/>
    </row>
    <row r="44" spans="1:7" ht="15.6" customHeight="1" x14ac:dyDescent="0.25">
      <c r="A44" s="203"/>
      <c r="B44" s="184"/>
      <c r="C44" s="204"/>
      <c r="D44" s="187"/>
      <c r="E44" s="187"/>
      <c r="F44" s="187"/>
      <c r="G44" s="187"/>
    </row>
    <row r="45" spans="1:7" ht="15.6" customHeight="1" x14ac:dyDescent="0.25">
      <c r="A45" s="205"/>
      <c r="B45" s="184"/>
      <c r="C45" s="206"/>
      <c r="D45" s="187"/>
      <c r="E45" s="187"/>
      <c r="F45" s="187"/>
      <c r="G45" s="187"/>
    </row>
    <row r="46" spans="1:7" ht="15.6" customHeight="1" x14ac:dyDescent="0.25">
      <c r="A46" s="203"/>
      <c r="B46" s="184"/>
      <c r="C46" s="204"/>
      <c r="D46" s="187"/>
      <c r="E46" s="187"/>
      <c r="F46" s="187"/>
      <c r="G46" s="187"/>
    </row>
    <row r="47" spans="1:7" ht="15.6" customHeight="1" x14ac:dyDescent="0.25">
      <c r="A47" s="207"/>
      <c r="B47" s="208"/>
      <c r="C47" s="209"/>
      <c r="D47" s="187"/>
      <c r="E47" s="187"/>
      <c r="F47" s="187"/>
      <c r="G47" s="187"/>
    </row>
    <row r="48" spans="1:7" ht="15.6" customHeight="1" x14ac:dyDescent="0.25">
      <c r="A48" s="207"/>
      <c r="B48" s="207"/>
      <c r="C48" s="209"/>
      <c r="D48" s="187"/>
      <c r="E48" s="187"/>
      <c r="F48" s="187"/>
      <c r="G48" s="187"/>
    </row>
    <row r="49" spans="1:12" ht="15.6" customHeight="1" x14ac:dyDescent="0.25">
      <c r="A49" s="210"/>
      <c r="B49" s="210"/>
      <c r="C49" s="211"/>
      <c r="D49" s="187"/>
      <c r="E49" s="187"/>
      <c r="F49" s="187"/>
      <c r="G49" s="187"/>
    </row>
    <row r="50" spans="1:12" ht="15.6" customHeight="1" x14ac:dyDescent="0.25">
      <c r="A50" s="207"/>
      <c r="B50" s="207"/>
      <c r="C50" s="209"/>
      <c r="D50" s="187"/>
      <c r="E50" s="187"/>
      <c r="F50" s="187"/>
      <c r="G50" s="187"/>
    </row>
    <row r="51" spans="1:12" ht="15.6" customHeight="1" x14ac:dyDescent="0.25">
      <c r="A51" s="207"/>
      <c r="B51" s="212"/>
      <c r="C51" s="209"/>
      <c r="D51" s="187"/>
      <c r="E51" s="187"/>
      <c r="F51" s="187"/>
      <c r="G51" s="187"/>
    </row>
    <row r="52" spans="1:12" ht="15.6" customHeight="1" x14ac:dyDescent="0.25">
      <c r="A52" s="207"/>
      <c r="B52" s="207"/>
      <c r="C52" s="209"/>
      <c r="D52" s="187"/>
      <c r="E52" s="187"/>
      <c r="F52" s="187"/>
      <c r="G52" s="187"/>
    </row>
    <row r="53" spans="1:12" ht="15.6" customHeight="1" x14ac:dyDescent="0.25">
      <c r="A53" s="213"/>
      <c r="B53" s="194"/>
      <c r="C53" s="214"/>
      <c r="D53" s="187"/>
      <c r="E53" s="187"/>
      <c r="F53" s="187"/>
      <c r="G53" s="187"/>
    </row>
    <row r="54" spans="1:12" ht="15.6" customHeight="1" x14ac:dyDescent="0.25">
      <c r="A54" s="194"/>
      <c r="B54" s="215"/>
      <c r="C54" s="195"/>
      <c r="D54" s="187"/>
      <c r="E54" s="187"/>
      <c r="F54" s="187"/>
      <c r="G54" s="187"/>
    </row>
    <row r="55" spans="1:12" ht="15.6" customHeight="1" x14ac:dyDescent="0.25">
      <c r="A55" s="26"/>
      <c r="B55" s="30"/>
      <c r="C55" s="27"/>
      <c r="D55" s="30"/>
      <c r="E55" s="30"/>
      <c r="F55" s="30"/>
      <c r="G55" s="30"/>
    </row>
    <row r="56" spans="1:12" ht="15.6" customHeight="1" x14ac:dyDescent="0.25">
      <c r="A56" s="26"/>
      <c r="B56" s="30"/>
      <c r="C56" s="27"/>
      <c r="D56" s="30"/>
      <c r="E56" s="30"/>
      <c r="F56" s="30"/>
      <c r="G56" s="30"/>
    </row>
    <row r="57" spans="1:12" ht="15.6" customHeight="1" x14ac:dyDescent="0.25">
      <c r="A57" s="26"/>
      <c r="B57" s="30"/>
      <c r="C57" s="27"/>
      <c r="D57" s="30"/>
      <c r="E57" s="30"/>
      <c r="F57" s="30"/>
      <c r="G57" s="30"/>
    </row>
    <row r="58" spans="1:12" ht="15.6" customHeight="1" x14ac:dyDescent="0.25">
      <c r="A58" s="26"/>
      <c r="B58" s="30"/>
      <c r="C58" s="27"/>
      <c r="D58" s="30"/>
      <c r="E58" s="30"/>
      <c r="F58" s="30"/>
      <c r="G58" s="30"/>
    </row>
    <row r="59" spans="1:12" ht="15.6" customHeight="1" x14ac:dyDescent="0.25">
      <c r="A59" s="26"/>
      <c r="B59" s="30"/>
      <c r="C59" s="27"/>
      <c r="D59" s="30"/>
      <c r="E59" s="30"/>
      <c r="F59" s="30"/>
      <c r="G59" s="30"/>
    </row>
    <row r="60" spans="1:12" ht="28.9" customHeight="1" x14ac:dyDescent="0.25">
      <c r="A60" s="31" t="s">
        <v>124</v>
      </c>
      <c r="B60" s="30"/>
      <c r="C60" s="27"/>
      <c r="D60" s="30"/>
      <c r="E60" s="30"/>
      <c r="F60" s="30"/>
      <c r="G60" s="30"/>
    </row>
    <row r="61" spans="1:12" ht="28.9" customHeight="1" x14ac:dyDescent="0.25">
      <c r="A61" s="405" t="s">
        <v>13</v>
      </c>
      <c r="B61" s="319"/>
      <c r="C61" s="320"/>
      <c r="D61" s="28">
        <f>SUM(D5:D60)</f>
        <v>0</v>
      </c>
      <c r="E61" s="28">
        <f>SUM(E5:E60)</f>
        <v>0</v>
      </c>
      <c r="F61" s="28">
        <f>SUM(F5:F60)</f>
        <v>0</v>
      </c>
      <c r="G61" s="28">
        <f>SUM(G5:G60)</f>
        <v>0</v>
      </c>
    </row>
    <row r="62" spans="1:12" ht="28.9" customHeight="1" x14ac:dyDescent="0.25">
      <c r="A62" s="249"/>
      <c r="B62" s="406"/>
      <c r="C62" s="407"/>
      <c r="D62" s="403">
        <f>SUM(D61:E61)</f>
        <v>0</v>
      </c>
      <c r="E62" s="268"/>
      <c r="F62" s="403">
        <f>SUM(F61:G61)</f>
        <v>0</v>
      </c>
      <c r="G62" s="268"/>
    </row>
    <row r="63" spans="1:12" ht="21" customHeight="1" x14ac:dyDescent="0.25">
      <c r="A63" s="29" t="s">
        <v>125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4"/>
      <c r="B65" s="14"/>
      <c r="C65" s="14"/>
      <c r="D65" s="14"/>
      <c r="E65" s="14"/>
      <c r="F65" s="14"/>
      <c r="G65" s="14"/>
      <c r="H65" s="15"/>
      <c r="I65" s="15"/>
      <c r="J65" s="15"/>
      <c r="K65" s="15"/>
      <c r="L65" s="15"/>
    </row>
  </sheetData>
  <mergeCells count="10">
    <mergeCell ref="F3:G3"/>
    <mergeCell ref="A1:G1"/>
    <mergeCell ref="F62:G62"/>
    <mergeCell ref="C3:C4"/>
    <mergeCell ref="A3:A4"/>
    <mergeCell ref="B3:B4"/>
    <mergeCell ref="A61:C62"/>
    <mergeCell ref="A2:G2"/>
    <mergeCell ref="D62:E62"/>
    <mergeCell ref="D3:E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6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8"/>
  <sheetViews>
    <sheetView workbookViewId="0">
      <selection activeCell="I4" sqref="I4"/>
    </sheetView>
  </sheetViews>
  <sheetFormatPr defaultColWidth="9" defaultRowHeight="14.25" x14ac:dyDescent="0.25"/>
  <cols>
    <col min="1" max="1" width="4.1640625" style="222" customWidth="1"/>
    <col min="2" max="2" width="15.6640625" style="222" bestFit="1" customWidth="1"/>
    <col min="3" max="3" width="3.33203125" style="222" customWidth="1"/>
    <col min="4" max="4" width="4.5" style="222" customWidth="1"/>
    <col min="5" max="5" width="6.1640625" style="222" customWidth="1"/>
    <col min="6" max="6" width="7.33203125" style="222" bestFit="1" customWidth="1"/>
    <col min="7" max="8" width="8.1640625" style="222" customWidth="1"/>
    <col min="9" max="9" width="7.33203125" style="222" bestFit="1" customWidth="1"/>
    <col min="10" max="11" width="8.1640625" style="222" customWidth="1"/>
    <col min="12" max="12" width="7.33203125" style="222" bestFit="1" customWidth="1"/>
    <col min="13" max="14" width="8.1640625" style="222" customWidth="1"/>
    <col min="15" max="15" width="6.1640625" style="222" bestFit="1" customWidth="1"/>
    <col min="16" max="17" width="8.1640625" style="222" customWidth="1"/>
    <col min="18" max="18" width="6.1640625" style="222" bestFit="1" customWidth="1"/>
    <col min="19" max="20" width="8.1640625" style="222" customWidth="1"/>
    <col min="21" max="21" width="9" style="222" customWidth="1"/>
    <col min="22" max="16384" width="9" style="222"/>
  </cols>
  <sheetData>
    <row r="1" spans="1:21" s="220" customFormat="1" ht="25.15" customHeight="1" x14ac:dyDescent="0.25">
      <c r="A1" s="411" t="s">
        <v>145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219"/>
    </row>
    <row r="2" spans="1:21" ht="15.6" customHeight="1" x14ac:dyDescent="0.25">
      <c r="A2" s="416"/>
      <c r="B2" s="414"/>
      <c r="C2" s="414"/>
      <c r="D2" s="414"/>
      <c r="E2" s="415"/>
      <c r="F2" s="413" t="s">
        <v>43</v>
      </c>
      <c r="G2" s="414"/>
      <c r="H2" s="415"/>
      <c r="I2" s="413" t="s">
        <v>44</v>
      </c>
      <c r="J2" s="414"/>
      <c r="K2" s="415"/>
      <c r="L2" s="413" t="s">
        <v>126</v>
      </c>
      <c r="M2" s="414"/>
      <c r="N2" s="415"/>
      <c r="O2" s="413" t="s">
        <v>46</v>
      </c>
      <c r="P2" s="414"/>
      <c r="Q2" s="415"/>
      <c r="R2" s="413" t="s">
        <v>47</v>
      </c>
      <c r="S2" s="414"/>
      <c r="T2" s="415"/>
    </row>
    <row r="3" spans="1:21" ht="66.400000000000006" customHeight="1" x14ac:dyDescent="0.25">
      <c r="A3" s="221" t="s">
        <v>127</v>
      </c>
      <c r="B3" s="221" t="s">
        <v>128</v>
      </c>
      <c r="C3" s="223" t="s">
        <v>129</v>
      </c>
      <c r="D3" s="221" t="s">
        <v>130</v>
      </c>
      <c r="E3" s="221" t="s">
        <v>131</v>
      </c>
      <c r="F3" s="224" t="s">
        <v>132</v>
      </c>
      <c r="G3" s="223" t="s">
        <v>133</v>
      </c>
      <c r="H3" s="223" t="s">
        <v>134</v>
      </c>
      <c r="I3" s="224" t="s">
        <v>132</v>
      </c>
      <c r="J3" s="223" t="s">
        <v>133</v>
      </c>
      <c r="K3" s="223" t="s">
        <v>134</v>
      </c>
      <c r="L3" s="224" t="s">
        <v>132</v>
      </c>
      <c r="M3" s="223" t="s">
        <v>133</v>
      </c>
      <c r="N3" s="223" t="s">
        <v>134</v>
      </c>
      <c r="O3" s="224" t="s">
        <v>132</v>
      </c>
      <c r="P3" s="223" t="s">
        <v>133</v>
      </c>
      <c r="Q3" s="223" t="s">
        <v>134</v>
      </c>
      <c r="R3" s="224" t="s">
        <v>132</v>
      </c>
      <c r="S3" s="223" t="s">
        <v>133</v>
      </c>
      <c r="T3" s="223" t="s">
        <v>134</v>
      </c>
    </row>
    <row r="4" spans="1:21" ht="19.7" customHeight="1" x14ac:dyDescent="0.25">
      <c r="A4" s="225">
        <v>1</v>
      </c>
      <c r="B4" s="226" t="s">
        <v>34</v>
      </c>
      <c r="C4" s="225">
        <v>7</v>
      </c>
      <c r="D4" s="225">
        <v>2</v>
      </c>
      <c r="E4" s="227" t="s">
        <v>48</v>
      </c>
      <c r="F4" s="228">
        <v>134</v>
      </c>
      <c r="G4" s="229"/>
      <c r="H4" s="229"/>
      <c r="I4" s="228">
        <v>127</v>
      </c>
      <c r="J4" s="229"/>
      <c r="K4" s="229"/>
      <c r="L4" s="228">
        <v>145</v>
      </c>
      <c r="M4" s="229"/>
      <c r="N4" s="229"/>
      <c r="O4" s="230"/>
      <c r="P4" s="227"/>
      <c r="Q4" s="227"/>
      <c r="R4" s="230"/>
      <c r="S4" s="227"/>
      <c r="T4" s="227"/>
    </row>
    <row r="5" spans="1:21" ht="19.7" customHeight="1" x14ac:dyDescent="0.25">
      <c r="A5" s="225">
        <v>2</v>
      </c>
      <c r="B5" s="226" t="s">
        <v>34</v>
      </c>
      <c r="C5" s="225">
        <v>7</v>
      </c>
      <c r="D5" s="225">
        <v>2</v>
      </c>
      <c r="E5" s="227" t="s">
        <v>49</v>
      </c>
      <c r="F5" s="228">
        <v>66</v>
      </c>
      <c r="G5" s="229"/>
      <c r="H5" s="229"/>
      <c r="I5" s="228">
        <v>76</v>
      </c>
      <c r="J5" s="229"/>
      <c r="K5" s="229"/>
      <c r="L5" s="228">
        <v>78</v>
      </c>
      <c r="M5" s="229"/>
      <c r="N5" s="229"/>
      <c r="O5" s="230"/>
      <c r="P5" s="227"/>
      <c r="Q5" s="227"/>
      <c r="R5" s="230"/>
      <c r="S5" s="227"/>
      <c r="T5" s="227"/>
    </row>
    <row r="6" spans="1:21" ht="19.7" customHeight="1" x14ac:dyDescent="0.25">
      <c r="A6" s="225">
        <v>3</v>
      </c>
      <c r="B6" s="226" t="s">
        <v>35</v>
      </c>
      <c r="C6" s="225">
        <v>7</v>
      </c>
      <c r="D6" s="225">
        <v>2</v>
      </c>
      <c r="E6" s="227" t="s">
        <v>48</v>
      </c>
      <c r="F6" s="228">
        <v>218</v>
      </c>
      <c r="G6" s="229"/>
      <c r="H6" s="229"/>
      <c r="I6" s="228">
        <v>232</v>
      </c>
      <c r="J6" s="229"/>
      <c r="K6" s="229"/>
      <c r="L6" s="228">
        <v>245</v>
      </c>
      <c r="M6" s="229"/>
      <c r="N6" s="229"/>
      <c r="O6" s="230"/>
      <c r="P6" s="227"/>
      <c r="Q6" s="227"/>
      <c r="R6" s="230"/>
      <c r="S6" s="227"/>
      <c r="T6" s="227"/>
    </row>
    <row r="7" spans="1:21" ht="19.7" customHeight="1" x14ac:dyDescent="0.25">
      <c r="A7" s="225">
        <v>4</v>
      </c>
      <c r="B7" s="226" t="s">
        <v>35</v>
      </c>
      <c r="C7" s="225">
        <v>7</v>
      </c>
      <c r="D7" s="225">
        <v>2</v>
      </c>
      <c r="E7" s="227" t="s">
        <v>49</v>
      </c>
      <c r="F7" s="228">
        <v>81</v>
      </c>
      <c r="G7" s="229"/>
      <c r="H7" s="229"/>
      <c r="I7" s="228">
        <v>61</v>
      </c>
      <c r="J7" s="229"/>
      <c r="K7" s="229"/>
      <c r="L7" s="228">
        <v>53</v>
      </c>
      <c r="M7" s="229"/>
      <c r="N7" s="229"/>
      <c r="O7" s="230"/>
      <c r="P7" s="227"/>
      <c r="Q7" s="227"/>
      <c r="R7" s="230"/>
      <c r="S7" s="227"/>
      <c r="T7" s="227"/>
    </row>
    <row r="8" spans="1:21" ht="19.7" customHeight="1" x14ac:dyDescent="0.25">
      <c r="A8" s="225">
        <v>5</v>
      </c>
      <c r="B8" s="226" t="s">
        <v>36</v>
      </c>
      <c r="C8" s="225">
        <v>7</v>
      </c>
      <c r="D8" s="225">
        <v>2</v>
      </c>
      <c r="E8" s="227" t="s">
        <v>48</v>
      </c>
      <c r="F8" s="228">
        <v>149</v>
      </c>
      <c r="G8" s="229"/>
      <c r="H8" s="229"/>
      <c r="I8" s="228">
        <v>139</v>
      </c>
      <c r="J8" s="229"/>
      <c r="K8" s="229"/>
      <c r="L8" s="228">
        <v>155</v>
      </c>
      <c r="M8" s="229"/>
      <c r="N8" s="229"/>
      <c r="O8" s="230"/>
      <c r="P8" s="227"/>
      <c r="Q8" s="227"/>
      <c r="R8" s="230"/>
      <c r="S8" s="227"/>
      <c r="T8" s="227"/>
    </row>
    <row r="9" spans="1:21" ht="19.7" customHeight="1" x14ac:dyDescent="0.25">
      <c r="A9" s="225">
        <v>6</v>
      </c>
      <c r="B9" s="226" t="s">
        <v>36</v>
      </c>
      <c r="C9" s="225">
        <v>7</v>
      </c>
      <c r="D9" s="225">
        <v>2</v>
      </c>
      <c r="E9" s="227" t="s">
        <v>49</v>
      </c>
      <c r="F9" s="228">
        <v>48</v>
      </c>
      <c r="G9" s="229"/>
      <c r="H9" s="229"/>
      <c r="I9" s="228">
        <v>41</v>
      </c>
      <c r="J9" s="229"/>
      <c r="K9" s="229"/>
      <c r="L9" s="228">
        <v>47</v>
      </c>
      <c r="M9" s="229"/>
      <c r="N9" s="229"/>
      <c r="O9" s="230"/>
      <c r="P9" s="227"/>
      <c r="Q9" s="227"/>
      <c r="R9" s="230"/>
      <c r="S9" s="227"/>
      <c r="T9" s="227"/>
    </row>
    <row r="10" spans="1:21" ht="19.7" customHeight="1" x14ac:dyDescent="0.25">
      <c r="A10" s="225">
        <v>7</v>
      </c>
      <c r="B10" s="226" t="s">
        <v>37</v>
      </c>
      <c r="C10" s="225">
        <v>7</v>
      </c>
      <c r="D10" s="225">
        <v>2</v>
      </c>
      <c r="E10" s="227" t="s">
        <v>48</v>
      </c>
      <c r="F10" s="228">
        <v>144</v>
      </c>
      <c r="G10" s="229"/>
      <c r="H10" s="229"/>
      <c r="I10" s="228">
        <v>144</v>
      </c>
      <c r="J10" s="229"/>
      <c r="K10" s="229"/>
      <c r="L10" s="230"/>
      <c r="M10" s="229"/>
      <c r="N10" s="229"/>
      <c r="O10" s="230"/>
      <c r="P10" s="227"/>
      <c r="Q10" s="227"/>
      <c r="R10" s="230"/>
      <c r="S10" s="227"/>
      <c r="T10" s="227"/>
    </row>
    <row r="11" spans="1:21" ht="19.7" customHeight="1" x14ac:dyDescent="0.25">
      <c r="A11" s="225">
        <v>8</v>
      </c>
      <c r="B11" s="226" t="s">
        <v>37</v>
      </c>
      <c r="C11" s="225">
        <v>7</v>
      </c>
      <c r="D11" s="225">
        <v>2</v>
      </c>
      <c r="E11" s="227" t="s">
        <v>49</v>
      </c>
      <c r="F11" s="228">
        <v>51</v>
      </c>
      <c r="G11" s="229"/>
      <c r="H11" s="229"/>
      <c r="I11" s="228">
        <v>50</v>
      </c>
      <c r="J11" s="229"/>
      <c r="K11" s="229"/>
      <c r="L11" s="230"/>
      <c r="M11" s="229"/>
      <c r="N11" s="229"/>
      <c r="O11" s="230"/>
      <c r="P11" s="227"/>
      <c r="Q11" s="227"/>
      <c r="R11" s="230"/>
      <c r="S11" s="227"/>
      <c r="T11" s="227"/>
    </row>
    <row r="12" spans="1:21" ht="19.7" customHeight="1" x14ac:dyDescent="0.25">
      <c r="A12" s="225">
        <v>9</v>
      </c>
      <c r="B12" s="226" t="s">
        <v>38</v>
      </c>
      <c r="C12" s="225">
        <v>7</v>
      </c>
      <c r="D12" s="225">
        <v>2</v>
      </c>
      <c r="E12" s="227" t="s">
        <v>48</v>
      </c>
      <c r="F12" s="228">
        <v>103</v>
      </c>
      <c r="G12" s="229"/>
      <c r="H12" s="229"/>
      <c r="I12" s="228">
        <v>119</v>
      </c>
      <c r="J12" s="229"/>
      <c r="K12" s="229"/>
      <c r="L12" s="228">
        <v>147</v>
      </c>
      <c r="M12" s="229"/>
      <c r="N12" s="229"/>
      <c r="O12" s="230"/>
      <c r="P12" s="229"/>
      <c r="Q12" s="229"/>
      <c r="R12" s="230"/>
      <c r="S12" s="227"/>
      <c r="T12" s="227"/>
    </row>
    <row r="13" spans="1:21" ht="19.7" customHeight="1" x14ac:dyDescent="0.25">
      <c r="A13" s="225">
        <v>10</v>
      </c>
      <c r="B13" s="226" t="s">
        <v>38</v>
      </c>
      <c r="C13" s="225">
        <v>7</v>
      </c>
      <c r="D13" s="225">
        <v>2</v>
      </c>
      <c r="E13" s="227" t="s">
        <v>49</v>
      </c>
      <c r="F13" s="228">
        <v>49</v>
      </c>
      <c r="G13" s="229"/>
      <c r="H13" s="229"/>
      <c r="I13" s="228">
        <v>49</v>
      </c>
      <c r="J13" s="229"/>
      <c r="K13" s="229"/>
      <c r="L13" s="228">
        <v>50</v>
      </c>
      <c r="M13" s="229"/>
      <c r="N13" s="229"/>
      <c r="O13" s="230"/>
      <c r="P13" s="227"/>
      <c r="Q13" s="227"/>
      <c r="R13" s="230"/>
      <c r="S13" s="227"/>
      <c r="T13" s="227"/>
    </row>
    <row r="14" spans="1:21" ht="19.7" customHeight="1" x14ac:dyDescent="0.25">
      <c r="A14" s="225">
        <v>11</v>
      </c>
      <c r="B14" s="226" t="s">
        <v>135</v>
      </c>
      <c r="C14" s="225">
        <v>7</v>
      </c>
      <c r="D14" s="225">
        <v>2</v>
      </c>
      <c r="E14" s="227" t="s">
        <v>48</v>
      </c>
      <c r="F14" s="228">
        <v>134</v>
      </c>
      <c r="G14" s="229"/>
      <c r="H14" s="229"/>
      <c r="I14" s="228">
        <v>137</v>
      </c>
      <c r="J14" s="227"/>
      <c r="K14" s="227"/>
      <c r="L14" s="228">
        <v>136</v>
      </c>
      <c r="M14" s="229"/>
      <c r="N14" s="229"/>
      <c r="O14" s="228">
        <v>174</v>
      </c>
      <c r="P14" s="227"/>
      <c r="Q14" s="227"/>
      <c r="R14" s="230"/>
      <c r="S14" s="227"/>
      <c r="T14" s="227"/>
    </row>
    <row r="15" spans="1:21" ht="19.7" customHeight="1" x14ac:dyDescent="0.25">
      <c r="A15" s="225">
        <v>12</v>
      </c>
      <c r="B15" s="226" t="s">
        <v>136</v>
      </c>
      <c r="C15" s="225">
        <v>7</v>
      </c>
      <c r="D15" s="225">
        <v>2</v>
      </c>
      <c r="E15" s="227" t="s">
        <v>48</v>
      </c>
      <c r="F15" s="228">
        <v>95</v>
      </c>
      <c r="G15" s="229"/>
      <c r="H15" s="229"/>
      <c r="I15" s="228">
        <v>105</v>
      </c>
      <c r="J15" s="227"/>
      <c r="K15" s="227"/>
      <c r="L15" s="228">
        <v>90</v>
      </c>
      <c r="M15" s="229"/>
      <c r="N15" s="229"/>
      <c r="O15" s="230"/>
      <c r="P15" s="227"/>
      <c r="Q15" s="227"/>
      <c r="R15" s="230"/>
      <c r="S15" s="227"/>
      <c r="T15" s="227"/>
    </row>
    <row r="16" spans="1:21" ht="19.7" customHeight="1" x14ac:dyDescent="0.25">
      <c r="A16" s="225">
        <v>13</v>
      </c>
      <c r="B16" s="226" t="s">
        <v>41</v>
      </c>
      <c r="C16" s="225">
        <v>7</v>
      </c>
      <c r="D16" s="225">
        <v>2</v>
      </c>
      <c r="E16" s="227" t="s">
        <v>48</v>
      </c>
      <c r="F16" s="228">
        <v>166</v>
      </c>
      <c r="G16" s="229"/>
      <c r="H16" s="229"/>
      <c r="I16" s="228">
        <v>170</v>
      </c>
      <c r="J16" s="229"/>
      <c r="K16" s="229"/>
      <c r="L16" s="230"/>
      <c r="M16" s="227"/>
      <c r="N16" s="227"/>
      <c r="O16" s="228">
        <v>179</v>
      </c>
      <c r="P16" s="229"/>
      <c r="Q16" s="229"/>
      <c r="R16" s="228">
        <v>214</v>
      </c>
      <c r="S16" s="229"/>
      <c r="T16" s="229"/>
    </row>
    <row r="17" spans="1:20" ht="19.7" customHeight="1" x14ac:dyDescent="0.25">
      <c r="A17" s="225">
        <v>14</v>
      </c>
      <c r="B17" s="226" t="s">
        <v>42</v>
      </c>
      <c r="C17" s="225">
        <v>7</v>
      </c>
      <c r="D17" s="225">
        <v>1</v>
      </c>
      <c r="E17" s="227" t="s">
        <v>48</v>
      </c>
      <c r="F17" s="228"/>
      <c r="G17" s="227"/>
      <c r="H17" s="227"/>
      <c r="I17" s="228"/>
      <c r="J17" s="227"/>
      <c r="K17" s="227"/>
      <c r="L17" s="228"/>
      <c r="M17" s="227"/>
      <c r="N17" s="227"/>
      <c r="O17" s="230"/>
      <c r="P17" s="227"/>
      <c r="Q17" s="227"/>
      <c r="R17" s="228">
        <v>133</v>
      </c>
      <c r="S17" s="229"/>
      <c r="T17" s="229"/>
    </row>
    <row r="18" spans="1:20" ht="19.7" customHeight="1" x14ac:dyDescent="0.25">
      <c r="A18" s="225">
        <v>15</v>
      </c>
      <c r="B18" s="226" t="s">
        <v>42</v>
      </c>
      <c r="C18" s="225">
        <v>7</v>
      </c>
      <c r="D18" s="225">
        <v>1</v>
      </c>
      <c r="E18" s="227" t="s">
        <v>49</v>
      </c>
      <c r="F18" s="228"/>
      <c r="G18" s="227"/>
      <c r="H18" s="227"/>
      <c r="I18" s="228"/>
      <c r="J18" s="227"/>
      <c r="K18" s="227"/>
      <c r="L18" s="228"/>
      <c r="M18" s="227"/>
      <c r="N18" s="227"/>
      <c r="O18" s="230"/>
      <c r="P18" s="227"/>
      <c r="Q18" s="227"/>
      <c r="R18" s="228">
        <v>18</v>
      </c>
      <c r="S18" s="229"/>
      <c r="T18" s="229"/>
    </row>
    <row r="19" spans="1:20" ht="19.7" customHeight="1" x14ac:dyDescent="0.25">
      <c r="A19" s="225">
        <v>16</v>
      </c>
      <c r="B19" s="226" t="s">
        <v>100</v>
      </c>
      <c r="C19" s="225">
        <v>7</v>
      </c>
      <c r="D19" s="225">
        <v>2</v>
      </c>
      <c r="E19" s="227" t="s">
        <v>48</v>
      </c>
      <c r="F19" s="230">
        <v>185</v>
      </c>
      <c r="G19" s="229"/>
      <c r="H19" s="229"/>
      <c r="I19" s="230">
        <v>199</v>
      </c>
      <c r="J19" s="229"/>
      <c r="K19" s="229"/>
      <c r="L19" s="230">
        <v>245</v>
      </c>
      <c r="M19" s="229"/>
      <c r="N19" s="229"/>
      <c r="O19" s="230"/>
      <c r="P19" s="227"/>
      <c r="Q19" s="227"/>
      <c r="R19" s="228">
        <v>135</v>
      </c>
      <c r="S19" s="229"/>
      <c r="T19" s="229"/>
    </row>
    <row r="20" spans="1:20" ht="19.7" customHeight="1" x14ac:dyDescent="0.25">
      <c r="A20" s="225">
        <v>17</v>
      </c>
      <c r="B20" s="226" t="s">
        <v>100</v>
      </c>
      <c r="C20" s="225">
        <v>7</v>
      </c>
      <c r="D20" s="225">
        <v>2</v>
      </c>
      <c r="E20" s="227" t="s">
        <v>49</v>
      </c>
      <c r="F20" s="230">
        <v>96</v>
      </c>
      <c r="G20" s="229"/>
      <c r="H20" s="229"/>
      <c r="I20" s="230">
        <v>93</v>
      </c>
      <c r="J20" s="229"/>
      <c r="K20" s="229"/>
      <c r="L20" s="230">
        <v>90</v>
      </c>
      <c r="M20" s="229"/>
      <c r="N20" s="229"/>
      <c r="O20" s="230"/>
      <c r="P20" s="227"/>
      <c r="Q20" s="227"/>
      <c r="R20" s="228">
        <v>51</v>
      </c>
      <c r="S20" s="229"/>
      <c r="T20" s="229"/>
    </row>
    <row r="21" spans="1:20" ht="19.7" customHeight="1" x14ac:dyDescent="0.25">
      <c r="A21" s="225">
        <v>18</v>
      </c>
      <c r="B21" s="226" t="s">
        <v>137</v>
      </c>
      <c r="C21" s="225">
        <v>7</v>
      </c>
      <c r="D21" s="225">
        <v>2</v>
      </c>
      <c r="E21" s="227" t="s">
        <v>48</v>
      </c>
      <c r="F21" s="230"/>
      <c r="G21" s="229"/>
      <c r="H21" s="229"/>
      <c r="I21" s="230"/>
      <c r="J21" s="229"/>
      <c r="K21" s="229"/>
      <c r="L21" s="228">
        <v>203</v>
      </c>
      <c r="M21" s="229"/>
      <c r="N21" s="229"/>
      <c r="O21" s="230"/>
      <c r="P21" s="227"/>
      <c r="Q21" s="227"/>
      <c r="R21" s="230"/>
      <c r="S21" s="227"/>
      <c r="T21" s="227"/>
    </row>
    <row r="22" spans="1:20" ht="19.7" customHeight="1" x14ac:dyDescent="0.25">
      <c r="A22" s="225">
        <v>19</v>
      </c>
      <c r="B22" s="226" t="s">
        <v>137</v>
      </c>
      <c r="C22" s="225">
        <v>7</v>
      </c>
      <c r="D22" s="225">
        <v>2</v>
      </c>
      <c r="E22" s="227" t="s">
        <v>49</v>
      </c>
      <c r="F22" s="230"/>
      <c r="G22" s="229"/>
      <c r="H22" s="229"/>
      <c r="I22" s="230"/>
      <c r="J22" s="229"/>
      <c r="K22" s="229"/>
      <c r="L22" s="228">
        <v>71</v>
      </c>
      <c r="M22" s="229"/>
      <c r="N22" s="229"/>
      <c r="O22" s="230"/>
      <c r="P22" s="227"/>
      <c r="Q22" s="227"/>
      <c r="R22" s="230"/>
      <c r="S22" s="227"/>
      <c r="T22" s="227"/>
    </row>
    <row r="23" spans="1:20" ht="19.7" customHeight="1" x14ac:dyDescent="0.25">
      <c r="A23" s="225">
        <v>20</v>
      </c>
      <c r="B23" s="226" t="s">
        <v>34</v>
      </c>
      <c r="C23" s="225">
        <v>8</v>
      </c>
      <c r="D23" s="225">
        <v>4</v>
      </c>
      <c r="E23" s="227" t="s">
        <v>48</v>
      </c>
      <c r="F23" s="228">
        <v>147</v>
      </c>
      <c r="G23" s="229"/>
      <c r="H23" s="229"/>
      <c r="I23" s="228">
        <v>134</v>
      </c>
      <c r="J23" s="229"/>
      <c r="K23" s="229"/>
      <c r="L23" s="228">
        <v>149</v>
      </c>
      <c r="M23" s="229"/>
      <c r="N23" s="229"/>
      <c r="O23" s="230"/>
      <c r="P23" s="227"/>
      <c r="Q23" s="227"/>
      <c r="R23" s="230"/>
      <c r="S23" s="227"/>
      <c r="T23" s="227"/>
    </row>
    <row r="24" spans="1:20" ht="19.7" customHeight="1" x14ac:dyDescent="0.25">
      <c r="A24" s="225">
        <v>21</v>
      </c>
      <c r="B24" s="226" t="s">
        <v>34</v>
      </c>
      <c r="C24" s="225">
        <v>8</v>
      </c>
      <c r="D24" s="225">
        <v>4</v>
      </c>
      <c r="E24" s="227" t="s">
        <v>49</v>
      </c>
      <c r="F24" s="228">
        <v>68</v>
      </c>
      <c r="G24" s="229"/>
      <c r="H24" s="229"/>
      <c r="I24" s="228">
        <v>88</v>
      </c>
      <c r="J24" s="229"/>
      <c r="K24" s="229"/>
      <c r="L24" s="228">
        <v>72</v>
      </c>
      <c r="M24" s="229"/>
      <c r="N24" s="229"/>
      <c r="O24" s="230"/>
      <c r="P24" s="227"/>
      <c r="Q24" s="227"/>
      <c r="R24" s="230"/>
      <c r="S24" s="227"/>
      <c r="T24" s="227"/>
    </row>
    <row r="25" spans="1:20" ht="19.7" customHeight="1" x14ac:dyDescent="0.25">
      <c r="A25" s="225">
        <v>22</v>
      </c>
      <c r="B25" s="226" t="s">
        <v>35</v>
      </c>
      <c r="C25" s="225">
        <v>8</v>
      </c>
      <c r="D25" s="225">
        <v>4</v>
      </c>
      <c r="E25" s="227" t="s">
        <v>48</v>
      </c>
      <c r="F25" s="228">
        <v>211</v>
      </c>
      <c r="G25" s="229"/>
      <c r="H25" s="229"/>
      <c r="I25" s="228">
        <v>182</v>
      </c>
      <c r="J25" s="229"/>
      <c r="K25" s="229"/>
      <c r="L25" s="228">
        <v>214</v>
      </c>
      <c r="M25" s="229"/>
      <c r="N25" s="229"/>
      <c r="O25" s="230"/>
      <c r="P25" s="227"/>
      <c r="Q25" s="227"/>
      <c r="R25" s="230"/>
      <c r="S25" s="227"/>
      <c r="T25" s="227"/>
    </row>
    <row r="26" spans="1:20" ht="19.7" customHeight="1" x14ac:dyDescent="0.25">
      <c r="A26" s="225">
        <v>23</v>
      </c>
      <c r="B26" s="226" t="s">
        <v>35</v>
      </c>
      <c r="C26" s="225">
        <v>8</v>
      </c>
      <c r="D26" s="225">
        <v>4</v>
      </c>
      <c r="E26" s="227" t="s">
        <v>49</v>
      </c>
      <c r="F26" s="228">
        <v>86</v>
      </c>
      <c r="G26" s="229"/>
      <c r="H26" s="229"/>
      <c r="I26" s="228">
        <v>60</v>
      </c>
      <c r="J26" s="229"/>
      <c r="K26" s="229"/>
      <c r="L26" s="228">
        <v>50</v>
      </c>
      <c r="M26" s="229"/>
      <c r="N26" s="229"/>
      <c r="O26" s="230"/>
      <c r="P26" s="227"/>
      <c r="Q26" s="227"/>
      <c r="R26" s="230"/>
      <c r="S26" s="227"/>
      <c r="T26" s="227"/>
    </row>
    <row r="27" spans="1:20" ht="19.7" customHeight="1" x14ac:dyDescent="0.25">
      <c r="A27" s="225">
        <v>24</v>
      </c>
      <c r="B27" s="226" t="s">
        <v>36</v>
      </c>
      <c r="C27" s="225">
        <v>8</v>
      </c>
      <c r="D27" s="225">
        <v>4</v>
      </c>
      <c r="E27" s="227" t="s">
        <v>48</v>
      </c>
      <c r="F27" s="228">
        <v>149</v>
      </c>
      <c r="G27" s="229"/>
      <c r="H27" s="229"/>
      <c r="I27" s="228">
        <v>130</v>
      </c>
      <c r="J27" s="229"/>
      <c r="K27" s="229"/>
      <c r="L27" s="228">
        <v>160</v>
      </c>
      <c r="M27" s="229"/>
      <c r="N27" s="229"/>
      <c r="O27" s="230"/>
      <c r="P27" s="227"/>
      <c r="Q27" s="227"/>
      <c r="R27" s="230"/>
      <c r="S27" s="227"/>
      <c r="T27" s="227"/>
    </row>
    <row r="28" spans="1:20" ht="19.7" customHeight="1" x14ac:dyDescent="0.25">
      <c r="A28" s="225">
        <v>25</v>
      </c>
      <c r="B28" s="226" t="s">
        <v>36</v>
      </c>
      <c r="C28" s="225">
        <v>8</v>
      </c>
      <c r="D28" s="225">
        <v>4</v>
      </c>
      <c r="E28" s="227" t="s">
        <v>49</v>
      </c>
      <c r="F28" s="228">
        <v>58</v>
      </c>
      <c r="G28" s="229"/>
      <c r="H28" s="229"/>
      <c r="I28" s="228">
        <v>58</v>
      </c>
      <c r="J28" s="229"/>
      <c r="K28" s="229"/>
      <c r="L28" s="228">
        <v>60</v>
      </c>
      <c r="M28" s="229"/>
      <c r="N28" s="229"/>
      <c r="O28" s="230"/>
      <c r="P28" s="227"/>
      <c r="Q28" s="227"/>
      <c r="R28" s="230"/>
      <c r="S28" s="227"/>
      <c r="T28" s="227"/>
    </row>
    <row r="29" spans="1:20" ht="19.7" customHeight="1" x14ac:dyDescent="0.25">
      <c r="A29" s="225">
        <v>26</v>
      </c>
      <c r="B29" s="226" t="s">
        <v>37</v>
      </c>
      <c r="C29" s="225">
        <v>8</v>
      </c>
      <c r="D29" s="225">
        <v>4</v>
      </c>
      <c r="E29" s="227" t="s">
        <v>48</v>
      </c>
      <c r="F29" s="228">
        <v>155</v>
      </c>
      <c r="G29" s="229"/>
      <c r="H29" s="229"/>
      <c r="I29" s="228">
        <v>161</v>
      </c>
      <c r="J29" s="229"/>
      <c r="K29" s="229"/>
      <c r="L29" s="230"/>
      <c r="M29" s="229"/>
      <c r="N29" s="229"/>
      <c r="O29" s="230"/>
      <c r="P29" s="229"/>
      <c r="Q29" s="229"/>
      <c r="R29" s="230"/>
      <c r="S29" s="227"/>
      <c r="T29" s="227"/>
    </row>
    <row r="30" spans="1:20" ht="19.7" customHeight="1" x14ac:dyDescent="0.25">
      <c r="A30" s="225">
        <v>27</v>
      </c>
      <c r="B30" s="226" t="s">
        <v>37</v>
      </c>
      <c r="C30" s="225">
        <v>8</v>
      </c>
      <c r="D30" s="225">
        <v>4</v>
      </c>
      <c r="E30" s="227" t="s">
        <v>49</v>
      </c>
      <c r="F30" s="228">
        <v>51</v>
      </c>
      <c r="G30" s="229"/>
      <c r="H30" s="229"/>
      <c r="I30" s="228">
        <v>57</v>
      </c>
      <c r="J30" s="229"/>
      <c r="K30" s="229"/>
      <c r="L30" s="230"/>
      <c r="M30" s="229"/>
      <c r="N30" s="229"/>
      <c r="O30" s="230"/>
      <c r="P30" s="227"/>
      <c r="Q30" s="227"/>
      <c r="R30" s="230"/>
      <c r="S30" s="227"/>
      <c r="T30" s="227"/>
    </row>
    <row r="31" spans="1:20" ht="19.7" customHeight="1" x14ac:dyDescent="0.25">
      <c r="A31" s="225">
        <v>28</v>
      </c>
      <c r="B31" s="226" t="s">
        <v>38</v>
      </c>
      <c r="C31" s="225">
        <v>8</v>
      </c>
      <c r="D31" s="225">
        <v>4</v>
      </c>
      <c r="E31" s="227" t="s">
        <v>48</v>
      </c>
      <c r="F31" s="228">
        <v>110</v>
      </c>
      <c r="G31" s="229"/>
      <c r="H31" s="229"/>
      <c r="I31" s="228">
        <v>124</v>
      </c>
      <c r="J31" s="227"/>
      <c r="K31" s="227"/>
      <c r="L31" s="228">
        <v>156</v>
      </c>
      <c r="M31" s="229"/>
      <c r="N31" s="229"/>
      <c r="O31" s="230"/>
      <c r="P31" s="227"/>
      <c r="Q31" s="227"/>
      <c r="R31" s="230"/>
      <c r="S31" s="227"/>
      <c r="T31" s="227"/>
    </row>
    <row r="32" spans="1:20" ht="19.7" customHeight="1" x14ac:dyDescent="0.25">
      <c r="A32" s="225">
        <v>29</v>
      </c>
      <c r="B32" s="226" t="s">
        <v>38</v>
      </c>
      <c r="C32" s="225">
        <v>8</v>
      </c>
      <c r="D32" s="225">
        <v>4</v>
      </c>
      <c r="E32" s="227" t="s">
        <v>49</v>
      </c>
      <c r="F32" s="228">
        <v>44</v>
      </c>
      <c r="G32" s="229"/>
      <c r="H32" s="229"/>
      <c r="I32" s="228">
        <v>43</v>
      </c>
      <c r="J32" s="227"/>
      <c r="K32" s="227"/>
      <c r="L32" s="228">
        <v>59</v>
      </c>
      <c r="M32" s="229"/>
      <c r="N32" s="229"/>
      <c r="O32" s="230"/>
      <c r="P32" s="227"/>
      <c r="Q32" s="227"/>
      <c r="R32" s="230"/>
      <c r="S32" s="227"/>
      <c r="T32" s="227"/>
    </row>
    <row r="33" spans="1:20" ht="19.7" customHeight="1" x14ac:dyDescent="0.25">
      <c r="A33" s="225">
        <v>30</v>
      </c>
      <c r="B33" s="226" t="s">
        <v>135</v>
      </c>
      <c r="C33" s="225">
        <v>8</v>
      </c>
      <c r="D33" s="225">
        <v>4</v>
      </c>
      <c r="E33" s="227" t="s">
        <v>48</v>
      </c>
      <c r="F33" s="228">
        <v>159</v>
      </c>
      <c r="G33" s="229"/>
      <c r="H33" s="229"/>
      <c r="I33" s="228">
        <v>125</v>
      </c>
      <c r="J33" s="229"/>
      <c r="K33" s="229"/>
      <c r="L33" s="228">
        <v>144</v>
      </c>
      <c r="M33" s="227"/>
      <c r="N33" s="227"/>
      <c r="O33" s="228">
        <v>174</v>
      </c>
      <c r="P33" s="229"/>
      <c r="Q33" s="229"/>
      <c r="R33" s="230"/>
      <c r="S33" s="229"/>
      <c r="T33" s="229"/>
    </row>
    <row r="34" spans="1:20" ht="19.7" customHeight="1" x14ac:dyDescent="0.25">
      <c r="A34" s="225">
        <v>31</v>
      </c>
      <c r="B34" s="226" t="s">
        <v>136</v>
      </c>
      <c r="C34" s="225">
        <v>8</v>
      </c>
      <c r="D34" s="225">
        <v>4</v>
      </c>
      <c r="E34" s="227" t="s">
        <v>48</v>
      </c>
      <c r="F34" s="228">
        <v>95</v>
      </c>
      <c r="G34" s="227"/>
      <c r="H34" s="227"/>
      <c r="I34" s="228">
        <v>97</v>
      </c>
      <c r="J34" s="227"/>
      <c r="K34" s="227"/>
      <c r="L34" s="228">
        <v>97</v>
      </c>
      <c r="M34" s="227"/>
      <c r="N34" s="227"/>
      <c r="O34" s="230"/>
      <c r="P34" s="227"/>
      <c r="Q34" s="227"/>
      <c r="R34" s="230"/>
      <c r="S34" s="229"/>
      <c r="T34" s="229"/>
    </row>
    <row r="35" spans="1:20" ht="19.7" customHeight="1" x14ac:dyDescent="0.25">
      <c r="A35" s="225">
        <v>32</v>
      </c>
      <c r="B35" s="226" t="s">
        <v>41</v>
      </c>
      <c r="C35" s="225">
        <v>8</v>
      </c>
      <c r="D35" s="225">
        <v>4</v>
      </c>
      <c r="E35" s="227" t="s">
        <v>48</v>
      </c>
      <c r="F35" s="228">
        <v>176</v>
      </c>
      <c r="G35" s="227"/>
      <c r="H35" s="227"/>
      <c r="I35" s="228">
        <v>206</v>
      </c>
      <c r="J35" s="227"/>
      <c r="K35" s="227"/>
      <c r="L35" s="230"/>
      <c r="M35" s="227"/>
      <c r="N35" s="227"/>
      <c r="O35" s="228">
        <v>186</v>
      </c>
      <c r="P35" s="227"/>
      <c r="Q35" s="227"/>
      <c r="R35" s="228">
        <v>210</v>
      </c>
      <c r="S35" s="229"/>
      <c r="T35" s="229"/>
    </row>
    <row r="36" spans="1:20" ht="19.7" customHeight="1" x14ac:dyDescent="0.25">
      <c r="A36" s="225">
        <v>33</v>
      </c>
      <c r="B36" s="226" t="s">
        <v>42</v>
      </c>
      <c r="C36" s="225">
        <v>8</v>
      </c>
      <c r="D36" s="225">
        <v>3</v>
      </c>
      <c r="E36" s="227" t="s">
        <v>48</v>
      </c>
      <c r="F36" s="228"/>
      <c r="G36" s="229"/>
      <c r="H36" s="229"/>
      <c r="I36" s="228"/>
      <c r="J36" s="229"/>
      <c r="K36" s="229"/>
      <c r="L36" s="228"/>
      <c r="M36" s="229"/>
      <c r="N36" s="229"/>
      <c r="O36" s="230"/>
      <c r="P36" s="227"/>
      <c r="Q36" s="227"/>
      <c r="R36" s="228">
        <v>149</v>
      </c>
      <c r="S36" s="229"/>
      <c r="T36" s="229"/>
    </row>
    <row r="37" spans="1:20" ht="19.7" customHeight="1" x14ac:dyDescent="0.25">
      <c r="A37" s="225">
        <v>34</v>
      </c>
      <c r="B37" s="226" t="s">
        <v>42</v>
      </c>
      <c r="C37" s="225">
        <v>8</v>
      </c>
      <c r="D37" s="225">
        <v>3</v>
      </c>
      <c r="E37" s="227" t="s">
        <v>49</v>
      </c>
      <c r="F37" s="228"/>
      <c r="G37" s="229"/>
      <c r="H37" s="229"/>
      <c r="I37" s="228"/>
      <c r="J37" s="229"/>
      <c r="K37" s="229"/>
      <c r="L37" s="228"/>
      <c r="M37" s="229"/>
      <c r="N37" s="229"/>
      <c r="O37" s="230"/>
      <c r="P37" s="227"/>
      <c r="Q37" s="227"/>
      <c r="R37" s="228">
        <v>25</v>
      </c>
      <c r="S37" s="229"/>
      <c r="T37" s="229"/>
    </row>
    <row r="38" spans="1:20" ht="19.7" customHeight="1" x14ac:dyDescent="0.25">
      <c r="A38" s="225">
        <v>35</v>
      </c>
      <c r="B38" s="226" t="s">
        <v>100</v>
      </c>
      <c r="C38" s="225">
        <v>8</v>
      </c>
      <c r="D38" s="225">
        <v>4</v>
      </c>
      <c r="E38" s="227" t="s">
        <v>48</v>
      </c>
      <c r="F38" s="230">
        <v>176</v>
      </c>
      <c r="G38" s="229"/>
      <c r="H38" s="229"/>
      <c r="I38" s="230">
        <v>192</v>
      </c>
      <c r="J38" s="229"/>
      <c r="K38" s="229"/>
      <c r="L38" s="230">
        <v>197</v>
      </c>
      <c r="M38" s="229"/>
      <c r="N38" s="229"/>
      <c r="O38" s="230"/>
      <c r="P38" s="227"/>
      <c r="Q38" s="227"/>
      <c r="R38" s="228">
        <v>216</v>
      </c>
      <c r="S38" s="227"/>
      <c r="T38" s="227"/>
    </row>
    <row r="39" spans="1:20" ht="19.7" customHeight="1" x14ac:dyDescent="0.25">
      <c r="A39" s="225">
        <v>36</v>
      </c>
      <c r="B39" s="226" t="s">
        <v>100</v>
      </c>
      <c r="C39" s="225">
        <v>8</v>
      </c>
      <c r="D39" s="225">
        <v>4</v>
      </c>
      <c r="E39" s="227" t="s">
        <v>49</v>
      </c>
      <c r="F39" s="230">
        <v>82</v>
      </c>
      <c r="G39" s="229"/>
      <c r="H39" s="229"/>
      <c r="I39" s="230">
        <v>66</v>
      </c>
      <c r="J39" s="229"/>
      <c r="K39" s="229"/>
      <c r="L39" s="230">
        <v>63</v>
      </c>
      <c r="M39" s="229"/>
      <c r="N39" s="229"/>
      <c r="O39" s="230"/>
      <c r="P39" s="227"/>
      <c r="Q39" s="227"/>
      <c r="R39" s="228">
        <v>60</v>
      </c>
      <c r="S39" s="227"/>
      <c r="T39" s="227"/>
    </row>
    <row r="40" spans="1:20" ht="19.7" customHeight="1" x14ac:dyDescent="0.25">
      <c r="A40" s="225">
        <v>37</v>
      </c>
      <c r="B40" s="226" t="s">
        <v>137</v>
      </c>
      <c r="C40" s="225">
        <v>8</v>
      </c>
      <c r="D40" s="225">
        <v>4</v>
      </c>
      <c r="E40" s="227" t="s">
        <v>48</v>
      </c>
      <c r="F40" s="230"/>
      <c r="G40" s="229"/>
      <c r="H40" s="229"/>
      <c r="I40" s="230"/>
      <c r="J40" s="229"/>
      <c r="K40" s="229"/>
      <c r="L40" s="228">
        <v>196</v>
      </c>
      <c r="M40" s="229"/>
      <c r="N40" s="229"/>
      <c r="O40" s="230"/>
      <c r="P40" s="227"/>
      <c r="Q40" s="227"/>
      <c r="R40" s="230"/>
      <c r="S40" s="227"/>
      <c r="T40" s="227"/>
    </row>
    <row r="41" spans="1:20" ht="19.7" customHeight="1" x14ac:dyDescent="0.25">
      <c r="A41" s="225">
        <v>38</v>
      </c>
      <c r="B41" s="226" t="s">
        <v>137</v>
      </c>
      <c r="C41" s="225">
        <v>8</v>
      </c>
      <c r="D41" s="225">
        <v>4</v>
      </c>
      <c r="E41" s="227" t="s">
        <v>49</v>
      </c>
      <c r="F41" s="230"/>
      <c r="G41" s="229"/>
      <c r="H41" s="229"/>
      <c r="I41" s="230"/>
      <c r="J41" s="229"/>
      <c r="K41" s="229"/>
      <c r="L41" s="228">
        <v>75</v>
      </c>
      <c r="M41" s="229"/>
      <c r="N41" s="229"/>
      <c r="O41" s="230"/>
      <c r="P41" s="227"/>
      <c r="Q41" s="227"/>
      <c r="R41" s="230"/>
      <c r="S41" s="227"/>
      <c r="T41" s="227"/>
    </row>
    <row r="42" spans="1:20" ht="19.7" customHeight="1" x14ac:dyDescent="0.25">
      <c r="A42" s="225">
        <v>39</v>
      </c>
      <c r="B42" s="226" t="s">
        <v>34</v>
      </c>
      <c r="C42" s="225">
        <v>9</v>
      </c>
      <c r="D42" s="225">
        <v>6</v>
      </c>
      <c r="E42" s="227" t="s">
        <v>48</v>
      </c>
      <c r="F42" s="228">
        <v>95</v>
      </c>
      <c r="G42" s="229"/>
      <c r="H42" s="229"/>
      <c r="I42" s="228">
        <v>93</v>
      </c>
      <c r="J42" s="229"/>
      <c r="K42" s="229"/>
      <c r="L42" s="228">
        <v>113</v>
      </c>
      <c r="M42" s="229"/>
      <c r="N42" s="229"/>
      <c r="O42" s="230"/>
      <c r="P42" s="227"/>
      <c r="Q42" s="227"/>
      <c r="R42" s="230"/>
      <c r="S42" s="227"/>
      <c r="T42" s="227"/>
    </row>
    <row r="43" spans="1:20" ht="19.7" customHeight="1" x14ac:dyDescent="0.25">
      <c r="A43" s="225">
        <v>40</v>
      </c>
      <c r="B43" s="226" t="s">
        <v>34</v>
      </c>
      <c r="C43" s="225">
        <v>9</v>
      </c>
      <c r="D43" s="225">
        <v>6</v>
      </c>
      <c r="E43" s="227" t="s">
        <v>49</v>
      </c>
      <c r="F43" s="228">
        <v>51</v>
      </c>
      <c r="G43" s="229"/>
      <c r="H43" s="229"/>
      <c r="I43" s="228">
        <v>54</v>
      </c>
      <c r="J43" s="229"/>
      <c r="K43" s="229"/>
      <c r="L43" s="228">
        <v>52</v>
      </c>
      <c r="M43" s="229"/>
      <c r="N43" s="229"/>
      <c r="O43" s="230"/>
      <c r="P43" s="227"/>
      <c r="Q43" s="227"/>
      <c r="R43" s="230"/>
      <c r="S43" s="227"/>
      <c r="T43" s="227"/>
    </row>
    <row r="44" spans="1:20" ht="19.7" customHeight="1" x14ac:dyDescent="0.25">
      <c r="A44" s="225">
        <v>41</v>
      </c>
      <c r="B44" s="226" t="s">
        <v>35</v>
      </c>
      <c r="C44" s="225">
        <v>9</v>
      </c>
      <c r="D44" s="225">
        <v>6</v>
      </c>
      <c r="E44" s="227" t="s">
        <v>48</v>
      </c>
      <c r="F44" s="228">
        <v>220</v>
      </c>
      <c r="G44" s="229"/>
      <c r="H44" s="229"/>
      <c r="I44" s="228">
        <v>185</v>
      </c>
      <c r="J44" s="229"/>
      <c r="K44" s="229"/>
      <c r="L44" s="228">
        <v>218</v>
      </c>
      <c r="M44" s="229"/>
      <c r="N44" s="229"/>
      <c r="O44" s="230"/>
      <c r="P44" s="227"/>
      <c r="Q44" s="227"/>
      <c r="R44" s="230"/>
      <c r="S44" s="227"/>
      <c r="T44" s="227"/>
    </row>
    <row r="45" spans="1:20" ht="19.7" customHeight="1" x14ac:dyDescent="0.25">
      <c r="A45" s="225">
        <v>42</v>
      </c>
      <c r="B45" s="226" t="s">
        <v>35</v>
      </c>
      <c r="C45" s="225">
        <v>9</v>
      </c>
      <c r="D45" s="225">
        <v>6</v>
      </c>
      <c r="E45" s="227" t="s">
        <v>49</v>
      </c>
      <c r="F45" s="228">
        <v>42</v>
      </c>
      <c r="G45" s="229"/>
      <c r="H45" s="229"/>
      <c r="I45" s="228">
        <v>43</v>
      </c>
      <c r="J45" s="229"/>
      <c r="K45" s="229"/>
      <c r="L45" s="228">
        <v>30</v>
      </c>
      <c r="M45" s="229"/>
      <c r="N45" s="229"/>
      <c r="O45" s="230"/>
      <c r="P45" s="227"/>
      <c r="Q45" s="227"/>
      <c r="R45" s="230"/>
      <c r="S45" s="227"/>
      <c r="T45" s="227"/>
    </row>
    <row r="46" spans="1:20" ht="19.7" customHeight="1" x14ac:dyDescent="0.25">
      <c r="A46" s="225">
        <v>43</v>
      </c>
      <c r="B46" s="226" t="s">
        <v>36</v>
      </c>
      <c r="C46" s="225">
        <v>9</v>
      </c>
      <c r="D46" s="225">
        <v>6</v>
      </c>
      <c r="E46" s="227" t="s">
        <v>48</v>
      </c>
      <c r="F46" s="228">
        <v>103</v>
      </c>
      <c r="G46" s="229"/>
      <c r="H46" s="229"/>
      <c r="I46" s="228">
        <v>98</v>
      </c>
      <c r="J46" s="229"/>
      <c r="K46" s="229"/>
      <c r="L46" s="228">
        <v>126</v>
      </c>
      <c r="M46" s="229"/>
      <c r="N46" s="229"/>
      <c r="O46" s="230"/>
      <c r="P46" s="229"/>
      <c r="Q46" s="229"/>
      <c r="R46" s="230"/>
      <c r="S46" s="227"/>
      <c r="T46" s="227"/>
    </row>
    <row r="47" spans="1:20" ht="19.7" customHeight="1" x14ac:dyDescent="0.25">
      <c r="A47" s="225">
        <v>44</v>
      </c>
      <c r="B47" s="226" t="s">
        <v>36</v>
      </c>
      <c r="C47" s="225">
        <v>9</v>
      </c>
      <c r="D47" s="225">
        <v>6</v>
      </c>
      <c r="E47" s="227" t="s">
        <v>49</v>
      </c>
      <c r="F47" s="228">
        <v>46</v>
      </c>
      <c r="G47" s="229"/>
      <c r="H47" s="229"/>
      <c r="I47" s="228">
        <v>43</v>
      </c>
      <c r="J47" s="229"/>
      <c r="K47" s="229"/>
      <c r="L47" s="228">
        <v>40</v>
      </c>
      <c r="M47" s="229"/>
      <c r="N47" s="229"/>
      <c r="O47" s="230"/>
      <c r="P47" s="227"/>
      <c r="Q47" s="227"/>
      <c r="R47" s="230"/>
      <c r="S47" s="227"/>
      <c r="T47" s="227"/>
    </row>
    <row r="48" spans="1:20" ht="19.7" customHeight="1" x14ac:dyDescent="0.25">
      <c r="A48" s="225">
        <v>45</v>
      </c>
      <c r="B48" s="226" t="s">
        <v>37</v>
      </c>
      <c r="C48" s="225">
        <v>9</v>
      </c>
      <c r="D48" s="225">
        <v>6</v>
      </c>
      <c r="E48" s="227" t="s">
        <v>48</v>
      </c>
      <c r="F48" s="228">
        <v>98</v>
      </c>
      <c r="G48" s="229"/>
      <c r="H48" s="229"/>
      <c r="I48" s="228">
        <v>84</v>
      </c>
      <c r="J48" s="227"/>
      <c r="K48" s="227"/>
      <c r="L48" s="228">
        <v>147</v>
      </c>
      <c r="M48" s="229"/>
      <c r="N48" s="229"/>
      <c r="O48" s="230"/>
      <c r="P48" s="227"/>
      <c r="Q48" s="227"/>
      <c r="R48" s="230"/>
      <c r="S48" s="227"/>
      <c r="T48" s="227"/>
    </row>
    <row r="49" spans="1:20" ht="19.7" customHeight="1" x14ac:dyDescent="0.25">
      <c r="A49" s="225">
        <v>46</v>
      </c>
      <c r="B49" s="226" t="s">
        <v>37</v>
      </c>
      <c r="C49" s="225">
        <v>9</v>
      </c>
      <c r="D49" s="225">
        <v>6</v>
      </c>
      <c r="E49" s="227" t="s">
        <v>49</v>
      </c>
      <c r="F49" s="228">
        <v>37</v>
      </c>
      <c r="G49" s="229"/>
      <c r="H49" s="229"/>
      <c r="I49" s="228">
        <v>39</v>
      </c>
      <c r="J49" s="227"/>
      <c r="K49" s="227"/>
      <c r="L49" s="228">
        <v>57</v>
      </c>
      <c r="M49" s="229"/>
      <c r="N49" s="229"/>
      <c r="O49" s="230"/>
      <c r="P49" s="227"/>
      <c r="Q49" s="227"/>
      <c r="R49" s="230"/>
      <c r="S49" s="227"/>
      <c r="T49" s="227"/>
    </row>
    <row r="50" spans="1:20" ht="19.7" customHeight="1" x14ac:dyDescent="0.25">
      <c r="A50" s="225">
        <v>47</v>
      </c>
      <c r="B50" s="226" t="s">
        <v>38</v>
      </c>
      <c r="C50" s="225">
        <v>9</v>
      </c>
      <c r="D50" s="225">
        <v>6</v>
      </c>
      <c r="E50" s="227" t="s">
        <v>48</v>
      </c>
      <c r="F50" s="228">
        <v>90</v>
      </c>
      <c r="G50" s="229"/>
      <c r="H50" s="229"/>
      <c r="I50" s="228">
        <v>90</v>
      </c>
      <c r="J50" s="229"/>
      <c r="K50" s="229"/>
      <c r="L50" s="228">
        <v>123</v>
      </c>
      <c r="M50" s="227"/>
      <c r="N50" s="227"/>
      <c r="O50" s="230"/>
      <c r="P50" s="229"/>
      <c r="Q50" s="229"/>
      <c r="R50" s="230"/>
      <c r="S50" s="229"/>
      <c r="T50" s="229"/>
    </row>
    <row r="51" spans="1:20" ht="19.7" customHeight="1" x14ac:dyDescent="0.25">
      <c r="A51" s="225">
        <v>48</v>
      </c>
      <c r="B51" s="226" t="s">
        <v>38</v>
      </c>
      <c r="C51" s="225">
        <v>9</v>
      </c>
      <c r="D51" s="225">
        <v>6</v>
      </c>
      <c r="E51" s="227" t="s">
        <v>49</v>
      </c>
      <c r="F51" s="231">
        <v>32</v>
      </c>
      <c r="G51" s="232"/>
      <c r="H51" s="232"/>
      <c r="I51" s="231">
        <v>29</v>
      </c>
      <c r="J51" s="232"/>
      <c r="K51" s="232"/>
      <c r="L51" s="231">
        <v>49</v>
      </c>
      <c r="M51" s="232"/>
      <c r="N51" s="232"/>
      <c r="O51" s="233"/>
      <c r="P51" s="232"/>
      <c r="Q51" s="232"/>
      <c r="R51" s="233"/>
      <c r="S51" s="234"/>
      <c r="T51" s="234"/>
    </row>
    <row r="52" spans="1:20" ht="19.7" customHeight="1" x14ac:dyDescent="0.25">
      <c r="A52" s="225">
        <v>49</v>
      </c>
      <c r="B52" s="226" t="s">
        <v>135</v>
      </c>
      <c r="C52" s="225">
        <v>9</v>
      </c>
      <c r="D52" s="225">
        <v>6</v>
      </c>
      <c r="E52" s="235" t="s">
        <v>48</v>
      </c>
      <c r="F52" s="236">
        <v>127</v>
      </c>
      <c r="G52" s="237"/>
      <c r="H52" s="237"/>
      <c r="I52" s="236">
        <v>174</v>
      </c>
      <c r="J52" s="237"/>
      <c r="K52" s="237"/>
      <c r="L52" s="236">
        <v>141</v>
      </c>
      <c r="M52" s="237"/>
      <c r="N52" s="237"/>
      <c r="O52" s="236">
        <v>168</v>
      </c>
      <c r="P52" s="237"/>
      <c r="Q52" s="237"/>
      <c r="R52" s="238"/>
      <c r="S52" s="239"/>
      <c r="T52" s="239"/>
    </row>
    <row r="53" spans="1:20" ht="19.7" customHeight="1" x14ac:dyDescent="0.25">
      <c r="A53" s="225">
        <v>50</v>
      </c>
      <c r="B53" s="226" t="s">
        <v>136</v>
      </c>
      <c r="C53" s="225">
        <v>9</v>
      </c>
      <c r="D53" s="225">
        <v>6</v>
      </c>
      <c r="E53" s="235" t="s">
        <v>48</v>
      </c>
      <c r="F53" s="236">
        <v>83</v>
      </c>
      <c r="G53" s="239"/>
      <c r="H53" s="239"/>
      <c r="I53" s="236">
        <v>73</v>
      </c>
      <c r="J53" s="239"/>
      <c r="K53" s="239"/>
      <c r="L53" s="236">
        <v>76</v>
      </c>
      <c r="M53" s="239"/>
      <c r="N53" s="239"/>
      <c r="O53" s="238"/>
      <c r="P53" s="237"/>
      <c r="Q53" s="237"/>
      <c r="R53" s="238"/>
      <c r="S53" s="239"/>
      <c r="T53" s="239"/>
    </row>
    <row r="54" spans="1:20" ht="19.7" customHeight="1" x14ac:dyDescent="0.25">
      <c r="A54" s="225">
        <v>51</v>
      </c>
      <c r="B54" s="226" t="s">
        <v>41</v>
      </c>
      <c r="C54" s="225">
        <v>9</v>
      </c>
      <c r="D54" s="225">
        <v>6</v>
      </c>
      <c r="E54" s="235" t="s">
        <v>48</v>
      </c>
      <c r="F54" s="236">
        <v>166</v>
      </c>
      <c r="G54" s="239"/>
      <c r="H54" s="239"/>
      <c r="I54" s="236">
        <v>156</v>
      </c>
      <c r="J54" s="239"/>
      <c r="K54" s="239"/>
      <c r="L54" s="238" t="s">
        <v>138</v>
      </c>
      <c r="M54" s="239"/>
      <c r="N54" s="239"/>
      <c r="O54" s="236">
        <v>192</v>
      </c>
      <c r="P54" s="237"/>
      <c r="Q54" s="237"/>
      <c r="R54" s="236">
        <v>170</v>
      </c>
      <c r="S54" s="239"/>
      <c r="T54" s="239"/>
    </row>
    <row r="55" spans="1:20" ht="16.5" customHeight="1" x14ac:dyDescent="0.25">
      <c r="A55" s="225">
        <v>52</v>
      </c>
      <c r="B55" s="226" t="s">
        <v>42</v>
      </c>
      <c r="C55" s="225">
        <v>9</v>
      </c>
      <c r="D55" s="225">
        <v>5</v>
      </c>
      <c r="E55" s="235" t="s">
        <v>48</v>
      </c>
      <c r="F55" s="236"/>
      <c r="G55" s="240"/>
      <c r="H55" s="240"/>
      <c r="I55" s="236"/>
      <c r="J55" s="240"/>
      <c r="K55" s="240"/>
      <c r="L55" s="236"/>
      <c r="M55" s="240"/>
      <c r="N55" s="240"/>
      <c r="O55" s="238"/>
      <c r="P55" s="240"/>
      <c r="Q55" s="240"/>
      <c r="R55" s="236">
        <v>184</v>
      </c>
      <c r="S55" s="240"/>
      <c r="T55" s="240"/>
    </row>
    <row r="56" spans="1:20" ht="16.5" customHeight="1" x14ac:dyDescent="0.25">
      <c r="A56" s="225">
        <v>53</v>
      </c>
      <c r="B56" s="226" t="s">
        <v>42</v>
      </c>
      <c r="C56" s="225">
        <v>9</v>
      </c>
      <c r="D56" s="225">
        <v>5</v>
      </c>
      <c r="E56" s="235" t="s">
        <v>49</v>
      </c>
      <c r="F56" s="236"/>
      <c r="G56" s="240"/>
      <c r="H56" s="240"/>
      <c r="I56" s="236"/>
      <c r="J56" s="240"/>
      <c r="K56" s="240"/>
      <c r="L56" s="236"/>
      <c r="M56" s="240"/>
      <c r="N56" s="240"/>
      <c r="O56" s="238"/>
      <c r="P56" s="240"/>
      <c r="Q56" s="240"/>
      <c r="R56" s="236">
        <v>22</v>
      </c>
      <c r="S56" s="240"/>
      <c r="T56" s="240"/>
    </row>
    <row r="57" spans="1:20" ht="16.5" customHeight="1" x14ac:dyDescent="0.25">
      <c r="A57" s="225">
        <v>54</v>
      </c>
      <c r="B57" s="226" t="s">
        <v>100</v>
      </c>
      <c r="C57" s="225">
        <v>9</v>
      </c>
      <c r="D57" s="225">
        <v>6</v>
      </c>
      <c r="E57" s="235" t="s">
        <v>48</v>
      </c>
      <c r="F57" s="238">
        <v>157</v>
      </c>
      <c r="G57" s="240"/>
      <c r="H57" s="240"/>
      <c r="I57" s="238">
        <v>173</v>
      </c>
      <c r="J57" s="240"/>
      <c r="K57" s="240"/>
      <c r="L57" s="238">
        <v>215</v>
      </c>
      <c r="M57" s="240"/>
      <c r="N57" s="240"/>
      <c r="O57" s="238"/>
      <c r="P57" s="240"/>
      <c r="Q57" s="240"/>
      <c r="R57" s="236">
        <v>203</v>
      </c>
      <c r="S57" s="240"/>
      <c r="T57" s="240"/>
    </row>
    <row r="58" spans="1:20" ht="16.5" customHeight="1" x14ac:dyDescent="0.25">
      <c r="A58" s="225">
        <v>55</v>
      </c>
      <c r="B58" s="226" t="s">
        <v>100</v>
      </c>
      <c r="C58" s="225">
        <v>9</v>
      </c>
      <c r="D58" s="225">
        <v>6</v>
      </c>
      <c r="E58" s="235" t="s">
        <v>49</v>
      </c>
      <c r="F58" s="238">
        <v>70</v>
      </c>
      <c r="G58" s="240"/>
      <c r="H58" s="240"/>
      <c r="I58" s="238">
        <v>60</v>
      </c>
      <c r="J58" s="240"/>
      <c r="K58" s="240"/>
      <c r="L58" s="238">
        <v>40</v>
      </c>
      <c r="M58" s="240"/>
      <c r="N58" s="240"/>
      <c r="O58" s="238"/>
      <c r="P58" s="240"/>
      <c r="Q58" s="240"/>
      <c r="R58" s="236">
        <v>76</v>
      </c>
      <c r="S58" s="240"/>
      <c r="T58" s="240"/>
    </row>
  </sheetData>
  <sheetProtection sheet="1" objects="1" scenarios="1"/>
  <mergeCells count="7">
    <mergeCell ref="A1:T1"/>
    <mergeCell ref="I2:K2"/>
    <mergeCell ref="R2:T2"/>
    <mergeCell ref="A2:E2"/>
    <mergeCell ref="F2:H2"/>
    <mergeCell ref="L2:N2"/>
    <mergeCell ref="O2:Q2"/>
  </mergeCells>
  <phoneticPr fontId="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36"/>
  <sheetViews>
    <sheetView workbookViewId="0">
      <pane xSplit="1" ySplit="5" topLeftCell="AA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640625" defaultRowHeight="16.5" x14ac:dyDescent="0.25"/>
  <cols>
    <col min="1" max="20" width="9.1640625" style="7" customWidth="1"/>
    <col min="21" max="16384" width="9.1640625" style="7"/>
  </cols>
  <sheetData>
    <row r="1" spans="1:59" x14ac:dyDescent="0.25">
      <c r="A1" s="9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  <c r="BA1" s="9"/>
      <c r="BB1" s="9"/>
      <c r="BC1" s="9"/>
      <c r="BD1" s="9"/>
      <c r="BE1" s="9"/>
      <c r="BF1" s="9"/>
      <c r="BG1" s="9"/>
    </row>
    <row r="2" spans="1:59" ht="33" customHeight="1" x14ac:dyDescent="0.25">
      <c r="A2" s="5" t="s">
        <v>128</v>
      </c>
      <c r="B2" s="18" t="s">
        <v>34</v>
      </c>
      <c r="C2" s="18" t="s">
        <v>34</v>
      </c>
      <c r="D2" s="18" t="s">
        <v>35</v>
      </c>
      <c r="E2" s="18" t="s">
        <v>35</v>
      </c>
      <c r="F2" s="18" t="s">
        <v>36</v>
      </c>
      <c r="G2" s="18" t="s">
        <v>36</v>
      </c>
      <c r="H2" s="18" t="s">
        <v>37</v>
      </c>
      <c r="I2" s="18" t="s">
        <v>37</v>
      </c>
      <c r="J2" s="18" t="s">
        <v>139</v>
      </c>
      <c r="K2" s="18" t="s">
        <v>139</v>
      </c>
      <c r="L2" s="35" t="s">
        <v>135</v>
      </c>
      <c r="M2" s="35" t="s">
        <v>136</v>
      </c>
      <c r="N2" s="35" t="s">
        <v>41</v>
      </c>
      <c r="O2" s="35" t="s">
        <v>42</v>
      </c>
      <c r="P2" s="35" t="s">
        <v>42</v>
      </c>
      <c r="Q2" s="35" t="s">
        <v>42</v>
      </c>
      <c r="R2" s="35" t="s">
        <v>42</v>
      </c>
      <c r="S2" s="18" t="s">
        <v>34</v>
      </c>
      <c r="T2" s="18" t="s">
        <v>34</v>
      </c>
      <c r="U2" s="18" t="s">
        <v>35</v>
      </c>
      <c r="V2" s="18" t="s">
        <v>35</v>
      </c>
      <c r="W2" s="18" t="s">
        <v>36</v>
      </c>
      <c r="X2" s="18" t="s">
        <v>36</v>
      </c>
      <c r="Y2" s="18" t="s">
        <v>37</v>
      </c>
      <c r="Z2" s="18" t="s">
        <v>37</v>
      </c>
      <c r="AA2" s="18" t="s">
        <v>139</v>
      </c>
      <c r="AB2" s="18" t="s">
        <v>139</v>
      </c>
      <c r="AC2" s="35" t="s">
        <v>135</v>
      </c>
      <c r="AD2" s="35" t="s">
        <v>136</v>
      </c>
      <c r="AE2" s="35" t="s">
        <v>41</v>
      </c>
      <c r="AF2" s="35" t="s">
        <v>42</v>
      </c>
      <c r="AG2" s="35" t="s">
        <v>42</v>
      </c>
      <c r="AH2" s="35" t="s">
        <v>42</v>
      </c>
      <c r="AI2" s="35" t="s">
        <v>42</v>
      </c>
      <c r="AJ2" s="18" t="s">
        <v>34</v>
      </c>
      <c r="AK2" s="18" t="s">
        <v>34</v>
      </c>
      <c r="AL2" s="18" t="s">
        <v>35</v>
      </c>
      <c r="AM2" s="18" t="s">
        <v>35</v>
      </c>
      <c r="AN2" s="18" t="s">
        <v>36</v>
      </c>
      <c r="AO2" s="18" t="s">
        <v>36</v>
      </c>
      <c r="AP2" s="18" t="s">
        <v>37</v>
      </c>
      <c r="AQ2" s="18" t="s">
        <v>37</v>
      </c>
      <c r="AR2" s="18" t="s">
        <v>139</v>
      </c>
      <c r="AS2" s="18" t="s">
        <v>139</v>
      </c>
      <c r="AT2" s="35" t="s">
        <v>135</v>
      </c>
      <c r="AU2" s="35" t="s">
        <v>136</v>
      </c>
      <c r="AV2" s="35" t="s">
        <v>41</v>
      </c>
      <c r="AW2" s="35" t="s">
        <v>42</v>
      </c>
      <c r="AX2" s="35" t="s">
        <v>42</v>
      </c>
      <c r="AY2" s="35" t="s">
        <v>42</v>
      </c>
      <c r="AZ2" s="35" t="s">
        <v>42</v>
      </c>
    </row>
    <row r="3" spans="1:59" x14ac:dyDescent="0.25">
      <c r="A3" s="6" t="s">
        <v>9</v>
      </c>
      <c r="B3" s="19">
        <v>7</v>
      </c>
      <c r="C3" s="19">
        <v>7</v>
      </c>
      <c r="D3" s="19">
        <v>7</v>
      </c>
      <c r="E3" s="19">
        <v>7</v>
      </c>
      <c r="F3" s="19">
        <v>7</v>
      </c>
      <c r="G3" s="19">
        <v>7</v>
      </c>
      <c r="H3" s="19">
        <v>7</v>
      </c>
      <c r="I3" s="19">
        <v>7</v>
      </c>
      <c r="J3" s="19">
        <v>7</v>
      </c>
      <c r="K3" s="19">
        <v>7</v>
      </c>
      <c r="L3" s="19">
        <v>7</v>
      </c>
      <c r="M3" s="19">
        <v>7</v>
      </c>
      <c r="N3" s="19">
        <v>7</v>
      </c>
      <c r="O3" s="19">
        <v>7</v>
      </c>
      <c r="P3" s="19">
        <v>7</v>
      </c>
      <c r="Q3" s="19">
        <v>7</v>
      </c>
      <c r="R3" s="19">
        <v>7</v>
      </c>
      <c r="S3" s="19">
        <v>8</v>
      </c>
      <c r="T3" s="19">
        <v>8</v>
      </c>
      <c r="U3" s="19">
        <v>8</v>
      </c>
      <c r="V3" s="19">
        <v>8</v>
      </c>
      <c r="W3" s="19">
        <v>8</v>
      </c>
      <c r="X3" s="19">
        <v>8</v>
      </c>
      <c r="Y3" s="19">
        <v>8</v>
      </c>
      <c r="Z3" s="19">
        <v>8</v>
      </c>
      <c r="AA3" s="19">
        <v>8</v>
      </c>
      <c r="AB3" s="19">
        <v>8</v>
      </c>
      <c r="AC3" s="19">
        <v>8</v>
      </c>
      <c r="AD3" s="19">
        <v>8</v>
      </c>
      <c r="AE3" s="19">
        <v>8</v>
      </c>
      <c r="AF3" s="19">
        <v>8</v>
      </c>
      <c r="AG3" s="19">
        <v>8</v>
      </c>
      <c r="AH3" s="19">
        <v>8</v>
      </c>
      <c r="AI3" s="19">
        <v>8</v>
      </c>
      <c r="AJ3" s="19">
        <v>9</v>
      </c>
      <c r="AK3" s="19">
        <v>9</v>
      </c>
      <c r="AL3" s="19">
        <v>9</v>
      </c>
      <c r="AM3" s="19">
        <v>9</v>
      </c>
      <c r="AN3" s="19">
        <v>9</v>
      </c>
      <c r="AO3" s="19">
        <v>9</v>
      </c>
      <c r="AP3" s="19">
        <v>9</v>
      </c>
      <c r="AQ3" s="19">
        <v>9</v>
      </c>
      <c r="AR3" s="19">
        <v>9</v>
      </c>
      <c r="AS3" s="19">
        <v>9</v>
      </c>
      <c r="AT3" s="19">
        <v>9</v>
      </c>
      <c r="AU3" s="19">
        <v>9</v>
      </c>
      <c r="AV3" s="19">
        <v>9</v>
      </c>
      <c r="AW3" s="19">
        <v>9</v>
      </c>
      <c r="AX3" s="19">
        <v>9</v>
      </c>
      <c r="AY3" s="19">
        <v>9</v>
      </c>
      <c r="AZ3" s="19">
        <v>9</v>
      </c>
    </row>
    <row r="4" spans="1:59" x14ac:dyDescent="0.25">
      <c r="A4" s="6" t="s">
        <v>131</v>
      </c>
      <c r="B4" s="18" t="s">
        <v>48</v>
      </c>
      <c r="C4" s="18" t="s">
        <v>49</v>
      </c>
      <c r="D4" s="18" t="s">
        <v>48</v>
      </c>
      <c r="E4" s="18" t="s">
        <v>49</v>
      </c>
      <c r="F4" s="18" t="s">
        <v>48</v>
      </c>
      <c r="G4" s="18" t="s">
        <v>49</v>
      </c>
      <c r="H4" s="18" t="s">
        <v>48</v>
      </c>
      <c r="I4" s="18" t="s">
        <v>49</v>
      </c>
      <c r="J4" s="18" t="s">
        <v>48</v>
      </c>
      <c r="K4" s="18" t="s">
        <v>49</v>
      </c>
      <c r="L4" s="18" t="s">
        <v>48</v>
      </c>
      <c r="M4" s="18" t="s">
        <v>48</v>
      </c>
      <c r="N4" s="18" t="s">
        <v>48</v>
      </c>
      <c r="O4" s="18" t="s">
        <v>48</v>
      </c>
      <c r="P4" s="18" t="s">
        <v>49</v>
      </c>
      <c r="Q4" s="18" t="s">
        <v>48</v>
      </c>
      <c r="R4" s="18" t="s">
        <v>49</v>
      </c>
      <c r="S4" s="18" t="s">
        <v>48</v>
      </c>
      <c r="T4" s="18" t="s">
        <v>49</v>
      </c>
      <c r="U4" s="18" t="s">
        <v>48</v>
      </c>
      <c r="V4" s="18" t="s">
        <v>49</v>
      </c>
      <c r="W4" s="18" t="s">
        <v>48</v>
      </c>
      <c r="X4" s="18" t="s">
        <v>49</v>
      </c>
      <c r="Y4" s="18" t="s">
        <v>48</v>
      </c>
      <c r="Z4" s="18" t="s">
        <v>49</v>
      </c>
      <c r="AA4" s="18" t="s">
        <v>48</v>
      </c>
      <c r="AB4" s="18" t="s">
        <v>49</v>
      </c>
      <c r="AC4" s="18" t="s">
        <v>48</v>
      </c>
      <c r="AD4" s="18" t="s">
        <v>48</v>
      </c>
      <c r="AE4" s="18" t="s">
        <v>48</v>
      </c>
      <c r="AF4" s="18" t="s">
        <v>48</v>
      </c>
      <c r="AG4" s="18" t="s">
        <v>49</v>
      </c>
      <c r="AH4" s="18" t="s">
        <v>48</v>
      </c>
      <c r="AI4" s="18" t="s">
        <v>49</v>
      </c>
      <c r="AJ4" s="18" t="s">
        <v>48</v>
      </c>
      <c r="AK4" s="18" t="s">
        <v>49</v>
      </c>
      <c r="AL4" s="18" t="s">
        <v>48</v>
      </c>
      <c r="AM4" s="18" t="s">
        <v>49</v>
      </c>
      <c r="AN4" s="18" t="s">
        <v>48</v>
      </c>
      <c r="AO4" s="18" t="s">
        <v>49</v>
      </c>
      <c r="AP4" s="18" t="s">
        <v>48</v>
      </c>
      <c r="AQ4" s="18" t="s">
        <v>49</v>
      </c>
      <c r="AR4" s="18" t="s">
        <v>48</v>
      </c>
      <c r="AS4" s="18" t="s">
        <v>49</v>
      </c>
      <c r="AT4" s="18" t="s">
        <v>48</v>
      </c>
      <c r="AU4" s="18" t="s">
        <v>48</v>
      </c>
      <c r="AV4" s="18" t="s">
        <v>48</v>
      </c>
      <c r="AW4" s="18" t="s">
        <v>48</v>
      </c>
      <c r="AX4" s="18" t="s">
        <v>49</v>
      </c>
      <c r="AY4" s="18" t="s">
        <v>48</v>
      </c>
      <c r="AZ4" s="18" t="s">
        <v>49</v>
      </c>
    </row>
    <row r="5" spans="1:59" x14ac:dyDescent="0.25">
      <c r="A5" s="8" t="s">
        <v>59</v>
      </c>
      <c r="B5" s="20" t="s">
        <v>62</v>
      </c>
      <c r="C5" s="20" t="s">
        <v>62</v>
      </c>
      <c r="D5" s="20" t="s">
        <v>62</v>
      </c>
      <c r="E5" s="20" t="s">
        <v>62</v>
      </c>
      <c r="F5" s="20" t="s">
        <v>62</v>
      </c>
      <c r="G5" s="20" t="s">
        <v>62</v>
      </c>
      <c r="H5" s="20" t="s">
        <v>62</v>
      </c>
      <c r="I5" s="20" t="s">
        <v>62</v>
      </c>
      <c r="J5" s="20" t="s">
        <v>62</v>
      </c>
      <c r="K5" s="20" t="s">
        <v>62</v>
      </c>
      <c r="L5" s="20" t="s">
        <v>62</v>
      </c>
      <c r="M5" s="20" t="s">
        <v>62</v>
      </c>
      <c r="N5" s="20" t="s">
        <v>62</v>
      </c>
      <c r="O5" s="20" t="s">
        <v>62</v>
      </c>
      <c r="P5" s="20" t="s">
        <v>62</v>
      </c>
      <c r="Q5" s="20" t="s">
        <v>62</v>
      </c>
      <c r="R5" s="20" t="s">
        <v>62</v>
      </c>
      <c r="S5" s="20" t="s">
        <v>62</v>
      </c>
      <c r="T5" s="20" t="s">
        <v>62</v>
      </c>
      <c r="U5" s="20" t="s">
        <v>62</v>
      </c>
      <c r="V5" s="20" t="s">
        <v>62</v>
      </c>
      <c r="W5" s="20" t="s">
        <v>62</v>
      </c>
      <c r="X5" s="20" t="s">
        <v>62</v>
      </c>
      <c r="Y5" s="20" t="s">
        <v>62</v>
      </c>
      <c r="Z5" s="20" t="s">
        <v>62</v>
      </c>
      <c r="AA5" s="20" t="s">
        <v>62</v>
      </c>
      <c r="AB5" s="20" t="s">
        <v>62</v>
      </c>
      <c r="AC5" s="20" t="s">
        <v>62</v>
      </c>
      <c r="AD5" s="20" t="s">
        <v>62</v>
      </c>
      <c r="AE5" s="20" t="s">
        <v>62</v>
      </c>
      <c r="AF5" s="20" t="s">
        <v>62</v>
      </c>
      <c r="AG5" s="20" t="s">
        <v>62</v>
      </c>
      <c r="AH5" s="20" t="s">
        <v>62</v>
      </c>
      <c r="AI5" s="20" t="s">
        <v>62</v>
      </c>
      <c r="AJ5" s="20" t="s">
        <v>62</v>
      </c>
      <c r="AK5" s="20" t="s">
        <v>62</v>
      </c>
      <c r="AL5" s="20" t="s">
        <v>62</v>
      </c>
      <c r="AM5" s="20" t="s">
        <v>62</v>
      </c>
      <c r="AN5" s="20" t="s">
        <v>62</v>
      </c>
      <c r="AO5" s="20" t="s">
        <v>62</v>
      </c>
      <c r="AP5" s="20" t="s">
        <v>62</v>
      </c>
      <c r="AQ5" s="20" t="s">
        <v>62</v>
      </c>
      <c r="AR5" s="20" t="s">
        <v>62</v>
      </c>
      <c r="AS5" s="20" t="s">
        <v>62</v>
      </c>
      <c r="AT5" s="20" t="s">
        <v>62</v>
      </c>
      <c r="AU5" s="20" t="s">
        <v>62</v>
      </c>
      <c r="AV5" s="20" t="s">
        <v>62</v>
      </c>
      <c r="AW5" s="20" t="s">
        <v>62</v>
      </c>
      <c r="AX5" s="20" t="s">
        <v>62</v>
      </c>
      <c r="AY5" s="20" t="s">
        <v>62</v>
      </c>
      <c r="AZ5" s="20" t="s">
        <v>62</v>
      </c>
    </row>
    <row r="6" spans="1:59" x14ac:dyDescent="0.25">
      <c r="A6" s="7" t="s">
        <v>43</v>
      </c>
      <c r="B6" s="183">
        <f>SUMIFS('(勿動)單價表'!$F:$F,'(勿動)單價表'!$B:$B,IF(B$2="國中英語","英語",B$2),'(勿動)單價表'!$C:$C,B$3,'(勿動)單價表'!$E:$E,B$4)+IF(B$2="社會",SUMIFS('(勿動)單價表'!$F:$F,'(勿動)單價表'!$B:$B,"社會(南億)",'(勿動)單價表'!$C:$C,B$3,'(勿動)單價表'!$E:$E,B$4),0)</f>
        <v>134</v>
      </c>
      <c r="C6" s="183">
        <f>SUMIFS('(勿動)單價表'!$F:$F,'(勿動)單價表'!$B:$B,IF(C$2="國中英語","英語",C$2),'(勿動)單價表'!$C:$C,C$3,'(勿動)單價表'!$E:$E,C$4)+IF(C$2="社會",SUMIFS('(勿動)單價表'!$F:$F,'(勿動)單價表'!$B:$B,"社會(南億)",'(勿動)單價表'!$C:$C,C$3,'(勿動)單價表'!$E:$E,C$4),0)</f>
        <v>66</v>
      </c>
      <c r="D6" s="183">
        <f>SUMIFS('(勿動)單價表'!$F:$F,'(勿動)單價表'!$B:$B,IF(D$2="國中英語","英語",D$2),'(勿動)單價表'!$C:$C,D$3,'(勿動)單價表'!$E:$E,D$4)+IF(D$2="社會",SUMIFS('(勿動)單價表'!$F:$F,'(勿動)單價表'!$B:$B,"社會(南億)",'(勿動)單價表'!$C:$C,D$3,'(勿動)單價表'!$E:$E,D$4),0)</f>
        <v>218</v>
      </c>
      <c r="E6" s="183">
        <f>SUMIFS('(勿動)單價表'!$F:$F,'(勿動)單價表'!$B:$B,IF(E$2="國中英語","英語",E$2),'(勿動)單價表'!$C:$C,E$3,'(勿動)單價表'!$E:$E,E$4)+IF(E$2="社會",SUMIFS('(勿動)單價表'!$F:$F,'(勿動)單價表'!$B:$B,"社會(南億)",'(勿動)單價表'!$C:$C,E$3,'(勿動)單價表'!$E:$E,E$4),0)</f>
        <v>81</v>
      </c>
      <c r="F6" s="183">
        <f>SUMIFS('(勿動)單價表'!$F:$F,'(勿動)單價表'!$B:$B,IF(F$2="國中英語","英語",F$2),'(勿動)單價表'!$C:$C,F$3,'(勿動)單價表'!$E:$E,F$4)+IF(F$2="社會",SUMIFS('(勿動)單價表'!$F:$F,'(勿動)單價表'!$B:$B,"社會(南億)",'(勿動)單價表'!$C:$C,F$3,'(勿動)單價表'!$E:$E,F$4),0)</f>
        <v>149</v>
      </c>
      <c r="G6" s="183">
        <f>SUMIFS('(勿動)單價表'!$F:$F,'(勿動)單價表'!$B:$B,IF(G$2="國中英語","英語",G$2),'(勿動)單價表'!$C:$C,G$3,'(勿動)單價表'!$E:$E,G$4)+IF(G$2="社會",SUMIFS('(勿動)單價表'!$F:$F,'(勿動)單價表'!$B:$B,"社會(南億)",'(勿動)單價表'!$C:$C,G$3,'(勿動)單價表'!$E:$E,G$4),0)</f>
        <v>48</v>
      </c>
      <c r="H6" s="183">
        <f>SUMIFS('(勿動)單價表'!$F:$F,'(勿動)單價表'!$B:$B,IF(H$2="國中英語","英語",H$2),'(勿動)單價表'!$C:$C,H$3,'(勿動)單價表'!$E:$E,H$4)+IF(H$2="社會",SUMIFS('(勿動)單價表'!$F:$F,'(勿動)單價表'!$B:$B,"社會(南億)",'(勿動)單價表'!$C:$C,H$3,'(勿動)單價表'!$E:$E,H$4),0)</f>
        <v>144</v>
      </c>
      <c r="I6" s="183">
        <f>SUMIFS('(勿動)單價表'!$F:$F,'(勿動)單價表'!$B:$B,IF(I$2="國中英語","英語",I$2),'(勿動)單價表'!$C:$C,I$3,'(勿動)單價表'!$E:$E,I$4)+IF(I$2="社會",SUMIFS('(勿動)單價表'!$F:$F,'(勿動)單價表'!$B:$B,"社會(南億)",'(勿動)單價表'!$C:$C,I$3,'(勿動)單價表'!$E:$E,I$4),0)</f>
        <v>51</v>
      </c>
      <c r="J6" s="183">
        <f>SUMIFS('(勿動)單價表'!$F:$F,'(勿動)單價表'!$B:$B,IF(J$2="國中英語","英語",J$2),'(勿動)單價表'!$C:$C,J$3,'(勿動)單價表'!$E:$E,J$4)+IF(J$2="社會",SUMIFS('(勿動)單價表'!$F:$F,'(勿動)單價表'!$B:$B,"社會(南億)",'(勿動)單價表'!$C:$C,J$3,'(勿動)單價表'!$E:$E,J$4),0)</f>
        <v>103</v>
      </c>
      <c r="K6" s="183">
        <f>SUMIFS('(勿動)單價表'!$F:$F,'(勿動)單價表'!$B:$B,IF(K$2="國中英語","英語",K$2),'(勿動)單價表'!$C:$C,K$3,'(勿動)單價表'!$E:$E,K$4)+IF(K$2="社會",SUMIFS('(勿動)單價表'!$F:$F,'(勿動)單價表'!$B:$B,"社會(南億)",'(勿動)單價表'!$C:$C,K$3,'(勿動)單價表'!$E:$E,K$4),0)</f>
        <v>49</v>
      </c>
      <c r="L6" s="183">
        <f>SUMIFS('(勿動)單價表'!$F:$F,'(勿動)單價表'!$B:$B,IF(L$2="國中英語","英語",L$2),'(勿動)單價表'!$C:$C,L$3,'(勿動)單價表'!$E:$E,L$4)+IF(L$2="社會",SUMIFS('(勿動)單價表'!$F:$F,'(勿動)單價表'!$B:$B,"社會(南億)",'(勿動)單價表'!$C:$C,L$3,'(勿動)單價表'!$E:$E,L$4),0)</f>
        <v>134</v>
      </c>
      <c r="M6" s="183">
        <f>SUMIFS('(勿動)單價表'!$F:$F,'(勿動)單價表'!$B:$B,IF(M$2="國中英語","英語",M$2),'(勿動)單價表'!$C:$C,M$3,'(勿動)單價表'!$E:$E,M$4)+IF(M$2="社會",SUMIFS('(勿動)單價表'!$F:$F,'(勿動)單價表'!$B:$B,"社會(南億)",'(勿動)單價表'!$C:$C,M$3,'(勿動)單價表'!$E:$E,M$4),0)</f>
        <v>95</v>
      </c>
      <c r="N6" s="183">
        <f>SUMIFS('(勿動)單價表'!$F:$F,'(勿動)單價表'!$B:$B,IF(N$2="國中英語","英語",N$2),'(勿動)單價表'!$C:$C,N$3,'(勿動)單價表'!$E:$E,N$4)+IF(N$2="社會",SUMIFS('(勿動)單價表'!$F:$F,'(勿動)單價表'!$B:$B,"社會(南億)",'(勿動)單價表'!$C:$C,N$3,'(勿動)單價表'!$E:$E,N$4),0)</f>
        <v>166</v>
      </c>
      <c r="O6" s="183">
        <f>SUMIFS('(勿動)單價表'!$F:$F,'(勿動)單價表'!$B:$B,"科技",'(勿動)單價表'!$C:$C,O$3,'(勿動)單價表'!$E:$E,O$4)</f>
        <v>0</v>
      </c>
      <c r="P6" s="183">
        <f>SUMIFS('(勿動)單價表'!$F:$F,'(勿動)單價表'!$B:$B,"科技",'(勿動)單價表'!$C:$C,P$3,'(勿動)單價表'!$E:$E,P$4)</f>
        <v>0</v>
      </c>
      <c r="Q6" s="183">
        <f>SUMIFS('(勿動)單價表'!$F:$F,'(勿動)單價表'!$B:$B,"科技2",'(勿動)單價表'!$C:$C,Q$3,'(勿動)單價表'!$E:$E,Q$4)</f>
        <v>185</v>
      </c>
      <c r="R6" s="183">
        <f>SUMIFS('(勿動)單價表'!$F:$F,'(勿動)單價表'!$B:$B,"科技2",'(勿動)單價表'!$C:$C,R$3,'(勿動)單價表'!$E:$E,R$4)</f>
        <v>96</v>
      </c>
      <c r="S6" s="183">
        <f>SUMIFS('(勿動)單價表'!$F:$F,'(勿動)單價表'!$B:$B,IF(S$2="國中英語","英語",S$2),'(勿動)單價表'!$C:$C,S$3,'(勿動)單價表'!$E:$E,S$4)+IF(S$2="社會",SUMIFS('(勿動)單價表'!$F:$F,'(勿動)單價表'!$B:$B,"社會(南億)",'(勿動)單價表'!$C:$C,S$3,'(勿動)單價表'!$E:$E,S$4),0)</f>
        <v>147</v>
      </c>
      <c r="T6" s="183">
        <f>SUMIFS('(勿動)單價表'!$F:$F,'(勿動)單價表'!$B:$B,IF(T$2="國中英語","英語",T$2),'(勿動)單價表'!$C:$C,T$3,'(勿動)單價表'!$E:$E,T$4)+IF(T$2="社會",SUMIFS('(勿動)單價表'!$F:$F,'(勿動)單價表'!$B:$B,"社會(南億)",'(勿動)單價表'!$C:$C,T$3,'(勿動)單價表'!$E:$E,T$4),0)</f>
        <v>68</v>
      </c>
      <c r="U6" s="183">
        <f>SUMIFS('(勿動)單價表'!$F:$F,'(勿動)單價表'!$B:$B,IF(U$2="國中英語","英語",U$2),'(勿動)單價表'!$C:$C,U$3,'(勿動)單價表'!$E:$E,U$4)+IF(U$2="社會",SUMIFS('(勿動)單價表'!$F:$F,'(勿動)單價表'!$B:$B,"社會(南億)",'(勿動)單價表'!$C:$C,U$3,'(勿動)單價表'!$E:$E,U$4),0)</f>
        <v>211</v>
      </c>
      <c r="V6" s="183">
        <f>SUMIFS('(勿動)單價表'!$F:$F,'(勿動)單價表'!$B:$B,IF(V$2="國中英語","英語",V$2),'(勿動)單價表'!$C:$C,V$3,'(勿動)單價表'!$E:$E,V$4)+IF(V$2="社會",SUMIFS('(勿動)單價表'!$F:$F,'(勿動)單價表'!$B:$B,"社會(南億)",'(勿動)單價表'!$C:$C,V$3,'(勿動)單價表'!$E:$E,V$4),0)</f>
        <v>86</v>
      </c>
      <c r="W6" s="183">
        <f>SUMIFS('(勿動)單價表'!$F:$F,'(勿動)單價表'!$B:$B,IF(W$2="國中英語","英語",W$2),'(勿動)單價表'!$C:$C,W$3,'(勿動)單價表'!$E:$E,W$4)+IF(W$2="社會",SUMIFS('(勿動)單價表'!$F:$F,'(勿動)單價表'!$B:$B,"社會(南億)",'(勿動)單價表'!$C:$C,W$3,'(勿動)單價表'!$E:$E,W$4),0)</f>
        <v>149</v>
      </c>
      <c r="X6" s="183">
        <f>SUMIFS('(勿動)單價表'!$F:$F,'(勿動)單價表'!$B:$B,IF(X$2="國中英語","英語",X$2),'(勿動)單價表'!$C:$C,X$3,'(勿動)單價表'!$E:$E,X$4)+IF(X$2="社會",SUMIFS('(勿動)單價表'!$F:$F,'(勿動)單價表'!$B:$B,"社會(南億)",'(勿動)單價表'!$C:$C,X$3,'(勿動)單價表'!$E:$E,X$4),0)</f>
        <v>58</v>
      </c>
      <c r="Y6" s="183">
        <f>SUMIFS('(勿動)單價表'!$F:$F,'(勿動)單價表'!$B:$B,IF(Y$2="國中英語","英語",Y$2),'(勿動)單價表'!$C:$C,Y$3,'(勿動)單價表'!$E:$E,Y$4)+IF(Y$2="社會",SUMIFS('(勿動)單價表'!$F:$F,'(勿動)單價表'!$B:$B,"社會(南億)",'(勿動)單價表'!$C:$C,Y$3,'(勿動)單價表'!$E:$E,Y$4),0)</f>
        <v>155</v>
      </c>
      <c r="Z6" s="183">
        <f>SUMIFS('(勿動)單價表'!$F:$F,'(勿動)單價表'!$B:$B,IF(Z$2="國中英語","英語",Z$2),'(勿動)單價表'!$C:$C,Z$3,'(勿動)單價表'!$E:$E,Z$4)+IF(Z$2="社會",SUMIFS('(勿動)單價表'!$F:$F,'(勿動)單價表'!$B:$B,"社會(南億)",'(勿動)單價表'!$C:$C,Z$3,'(勿動)單價表'!$E:$E,Z$4),0)</f>
        <v>51</v>
      </c>
      <c r="AA6" s="183">
        <f>SUMIFS('(勿動)單價表'!$F:$F,'(勿動)單價表'!$B:$B,IF(AA$2="國中英語","英語",AA$2),'(勿動)單價表'!$C:$C,AA$3,'(勿動)單價表'!$E:$E,AA$4)+IF(AA$2="社會",SUMIFS('(勿動)單價表'!$F:$F,'(勿動)單價表'!$B:$B,"社會(南億)",'(勿動)單價表'!$C:$C,AA$3,'(勿動)單價表'!$E:$E,AA$4),0)</f>
        <v>110</v>
      </c>
      <c r="AB6" s="183">
        <f>SUMIFS('(勿動)單價表'!$F:$F,'(勿動)單價表'!$B:$B,IF(AB$2="國中英語","英語",AB$2),'(勿動)單價表'!$C:$C,AB$3,'(勿動)單價表'!$E:$E,AB$4)+IF(AB$2="社會",SUMIFS('(勿動)單價表'!$F:$F,'(勿動)單價表'!$B:$B,"社會(南億)",'(勿動)單價表'!$C:$C,AB$3,'(勿動)單價表'!$E:$E,AB$4),0)</f>
        <v>44</v>
      </c>
      <c r="AC6" s="183">
        <f>SUMIFS('(勿動)單價表'!$F:$F,'(勿動)單價表'!$B:$B,IF(AC$2="國中英語","英語",AC$2),'(勿動)單價表'!$C:$C,AC$3,'(勿動)單價表'!$E:$E,AC$4)+IF(AC$2="社會",SUMIFS('(勿動)單價表'!$F:$F,'(勿動)單價表'!$B:$B,"社會(南億)",'(勿動)單價表'!$C:$C,AC$3,'(勿動)單價表'!$E:$E,AC$4),0)</f>
        <v>159</v>
      </c>
      <c r="AD6" s="183">
        <f>SUMIFS('(勿動)單價表'!$F:$F,'(勿動)單價表'!$B:$B,IF(AD$2="國中英語","英語",AD$2),'(勿動)單價表'!$C:$C,AD$3,'(勿動)單價表'!$E:$E,AD$4)+IF(AD$2="社會",SUMIFS('(勿動)單價表'!$F:$F,'(勿動)單價表'!$B:$B,"社會(南億)",'(勿動)單價表'!$C:$C,AD$3,'(勿動)單價表'!$E:$E,AD$4),0)</f>
        <v>95</v>
      </c>
      <c r="AE6" s="183">
        <f>SUMIFS('(勿動)單價表'!$F:$F,'(勿動)單價表'!$B:$B,IF(AE$2="國中英語","英語",AE$2),'(勿動)單價表'!$C:$C,AE$3,'(勿動)單價表'!$E:$E,AE$4)+IF(AE$2="社會",SUMIFS('(勿動)單價表'!$F:$F,'(勿動)單價表'!$B:$B,"社會(南億)",'(勿動)單價表'!$C:$C,AE$3,'(勿動)單價表'!$E:$E,AE$4),0)</f>
        <v>176</v>
      </c>
      <c r="AF6" s="183">
        <f>SUMIFS('(勿動)單價表'!$F:$F,'(勿動)單價表'!$B:$B,"科技",'(勿動)單價表'!$C:$C,AF$3,'(勿動)單價表'!$E:$E,AF$4)</f>
        <v>0</v>
      </c>
      <c r="AG6" s="183">
        <f>SUMIFS('(勿動)單價表'!$F:$F,'(勿動)單價表'!$B:$B,"科技",'(勿動)單價表'!$C:$C,AG$3,'(勿動)單價表'!$E:$E,AG$4)</f>
        <v>0</v>
      </c>
      <c r="AH6" s="183">
        <f>SUMIFS('(勿動)單價表'!$F:$F,'(勿動)單價表'!$B:$B,"科技2",'(勿動)單價表'!$C:$C,AH$3,'(勿動)單價表'!$E:$E,AH$4)</f>
        <v>176</v>
      </c>
      <c r="AI6" s="183">
        <f>SUMIFS('(勿動)單價表'!$F:$F,'(勿動)單價表'!$B:$B,"科技2",'(勿動)單價表'!$C:$C,AI$3,'(勿動)單價表'!$E:$E,AI$4)</f>
        <v>82</v>
      </c>
      <c r="AJ6" s="183">
        <f>SUMIFS('(勿動)單價表'!$F:$F,'(勿動)單價表'!$B:$B,IF(AJ$2="國中英語","英語",AJ$2),'(勿動)單價表'!$C:$C,AJ$3,'(勿動)單價表'!$E:$E,AJ$4)+IF(AJ$2="社會",SUMIFS('(勿動)單價表'!$F:$F,'(勿動)單價表'!$B:$B,"社會(南億)",'(勿動)單價表'!$C:$C,AJ$3,'(勿動)單價表'!$E:$E,AJ$4),0)</f>
        <v>95</v>
      </c>
      <c r="AK6" s="183">
        <f>SUMIFS('(勿動)單價表'!$F:$F,'(勿動)單價表'!$B:$B,IF(AK$2="國中英語","英語",AK$2),'(勿動)單價表'!$C:$C,AK$3,'(勿動)單價表'!$E:$E,AK$4)+IF(AK$2="社會",SUMIFS('(勿動)單價表'!$F:$F,'(勿動)單價表'!$B:$B,"社會(南億)",'(勿動)單價表'!$C:$C,AK$3,'(勿動)單價表'!$E:$E,AK$4),0)</f>
        <v>51</v>
      </c>
      <c r="AL6" s="183">
        <f>SUMIFS('(勿動)單價表'!$F:$F,'(勿動)單價表'!$B:$B,IF(AL$2="國中英語","英語",AL$2),'(勿動)單價表'!$C:$C,AL$3,'(勿動)單價表'!$E:$E,AL$4)+IF(AL$2="社會",SUMIFS('(勿動)單價表'!$F:$F,'(勿動)單價表'!$B:$B,"社會(南億)",'(勿動)單價表'!$C:$C,AL$3,'(勿動)單價表'!$E:$E,AL$4),0)</f>
        <v>220</v>
      </c>
      <c r="AM6" s="183">
        <f>SUMIFS('(勿動)單價表'!$F:$F,'(勿動)單價表'!$B:$B,IF(AM$2="國中英語","英語",AM$2),'(勿動)單價表'!$C:$C,AM$3,'(勿動)單價表'!$E:$E,AM$4)+IF(AM$2="社會",SUMIFS('(勿動)單價表'!$F:$F,'(勿動)單價表'!$B:$B,"社會(南億)",'(勿動)單價表'!$C:$C,AM$3,'(勿動)單價表'!$E:$E,AM$4),0)</f>
        <v>42</v>
      </c>
      <c r="AN6" s="183">
        <f>SUMIFS('(勿動)單價表'!$F:$F,'(勿動)單價表'!$B:$B,IF(AN$2="國中英語","英語",AN$2),'(勿動)單價表'!$C:$C,AN$3,'(勿動)單價表'!$E:$E,AN$4)+IF(AN$2="社會",SUMIFS('(勿動)單價表'!$F:$F,'(勿動)單價表'!$B:$B,"社會(南億)",'(勿動)單價表'!$C:$C,AN$3,'(勿動)單價表'!$E:$E,AN$4),0)</f>
        <v>103</v>
      </c>
      <c r="AO6" s="183">
        <f>SUMIFS('(勿動)單價表'!$F:$F,'(勿動)單價表'!$B:$B,IF(AO$2="國中英語","英語",AO$2),'(勿動)單價表'!$C:$C,AO$3,'(勿動)單價表'!$E:$E,AO$4)+IF(AO$2="社會",SUMIFS('(勿動)單價表'!$F:$F,'(勿動)單價表'!$B:$B,"社會(南億)",'(勿動)單價表'!$C:$C,AO$3,'(勿動)單價表'!$E:$E,AO$4),0)</f>
        <v>46</v>
      </c>
      <c r="AP6" s="183">
        <f>SUMIFS('(勿動)單價表'!$F:$F,'(勿動)單價表'!$B:$B,IF(AP$2="國中英語","英語",AP$2),'(勿動)單價表'!$C:$C,AP$3,'(勿動)單價表'!$E:$E,AP$4)+IF(AP$2="社會",SUMIFS('(勿動)單價表'!$F:$F,'(勿動)單價表'!$B:$B,"社會(南億)",'(勿動)單價表'!$C:$C,AP$3,'(勿動)單價表'!$E:$E,AP$4),0)</f>
        <v>98</v>
      </c>
      <c r="AQ6" s="183">
        <f>SUMIFS('(勿動)單價表'!$F:$F,'(勿動)單價表'!$B:$B,IF(AQ$2="國中英語","英語",AQ$2),'(勿動)單價表'!$C:$C,AQ$3,'(勿動)單價表'!$E:$E,AQ$4)+IF(AQ$2="社會",SUMIFS('(勿動)單價表'!$F:$F,'(勿動)單價表'!$B:$B,"社會(南億)",'(勿動)單價表'!$C:$C,AQ$3,'(勿動)單價表'!$E:$E,AQ$4),0)</f>
        <v>37</v>
      </c>
      <c r="AR6" s="183">
        <f>SUMIFS('(勿動)單價表'!$F:$F,'(勿動)單價表'!$B:$B,IF(AR$2="國中英語","英語",AR$2),'(勿動)單價表'!$C:$C,AR$3,'(勿動)單價表'!$E:$E,AR$4)+IF(AR$2="社會",SUMIFS('(勿動)單價表'!$F:$F,'(勿動)單價表'!$B:$B,"社會(南億)",'(勿動)單價表'!$C:$C,AR$3,'(勿動)單價表'!$E:$E,AR$4),0)</f>
        <v>90</v>
      </c>
      <c r="AS6" s="183">
        <f>SUMIFS('(勿動)單價表'!$F:$F,'(勿動)單價表'!$B:$B,IF(AS$2="國中英語","英語",AS$2),'(勿動)單價表'!$C:$C,AS$3,'(勿動)單價表'!$E:$E,AS$4)+IF(AS$2="社會",SUMIFS('(勿動)單價表'!$F:$F,'(勿動)單價表'!$B:$B,"社會(南億)",'(勿動)單價表'!$C:$C,AS$3,'(勿動)單價表'!$E:$E,AS$4),0)</f>
        <v>32</v>
      </c>
      <c r="AT6" s="183">
        <f>SUMIFS('(勿動)單價表'!$F:$F,'(勿動)單價表'!$B:$B,IF(AT$2="國中英語","英語",AT$2),'(勿動)單價表'!$C:$C,AT$3,'(勿動)單價表'!$E:$E,AT$4)+IF(AT$2="社會",SUMIFS('(勿動)單價表'!$F:$F,'(勿動)單價表'!$B:$B,"社會(南億)",'(勿動)單價表'!$C:$C,AT$3,'(勿動)單價表'!$E:$E,AT$4),0)</f>
        <v>127</v>
      </c>
      <c r="AU6" s="183">
        <f>SUMIFS('(勿動)單價表'!$F:$F,'(勿動)單價表'!$B:$B,IF(AU$2="國中英語","英語",AU$2),'(勿動)單價表'!$C:$C,AU$3,'(勿動)單價表'!$E:$E,AU$4)+IF(AU$2="社會",SUMIFS('(勿動)單價表'!$F:$F,'(勿動)單價表'!$B:$B,"社會(南億)",'(勿動)單價表'!$C:$C,AU$3,'(勿動)單價表'!$E:$E,AU$4),0)</f>
        <v>83</v>
      </c>
      <c r="AV6" s="183">
        <f>SUMIFS('(勿動)單價表'!$F:$F,'(勿動)單價表'!$B:$B,IF(AV$2="國中英語","英語",AV$2),'(勿動)單價表'!$C:$C,AV$3,'(勿動)單價表'!$E:$E,AV$4)+IF(AV$2="社會",SUMIFS('(勿動)單價表'!$F:$F,'(勿動)單價表'!$B:$B,"社會(南億)",'(勿動)單價表'!$C:$C,AV$3,'(勿動)單價表'!$E:$E,AV$4),0)</f>
        <v>166</v>
      </c>
      <c r="AW6" s="183">
        <f>SUMIFS('(勿動)單價表'!$F:$F,'(勿動)單價表'!$B:$B,"科技",'(勿動)單價表'!$C:$C,AW$3,'(勿動)單價表'!$E:$E,AW$4)</f>
        <v>0</v>
      </c>
      <c r="AX6" s="183">
        <f>SUMIFS('(勿動)單價表'!$F:$F,'(勿動)單價表'!$B:$B,"科技",'(勿動)單價表'!$C:$C,AX$3,'(勿動)單價表'!$E:$E,AX$4)</f>
        <v>0</v>
      </c>
      <c r="AY6" s="183">
        <f>SUMIFS('(勿動)單價表'!$F:$F,'(勿動)單價表'!$B:$B,"科技2",'(勿動)單價表'!$C:$C,AY$3,'(勿動)單價表'!$E:$E,AY$4)</f>
        <v>157</v>
      </c>
      <c r="AZ6" s="183">
        <f>SUMIFS('(勿動)單價表'!$F:$F,'(勿動)單價表'!$B:$B,"科技2",'(勿動)單價表'!$C:$C,AZ$3,'(勿動)單價表'!$E:$E,AZ$4)</f>
        <v>70</v>
      </c>
    </row>
    <row r="7" spans="1:59" x14ac:dyDescent="0.25">
      <c r="A7" s="7" t="s">
        <v>44</v>
      </c>
      <c r="B7" s="183">
        <f>SUMIFS('(勿動)單價表'!$I:$I,'(勿動)單價表'!$B:$B,IF(B$2="國中英語","英語",B$2),'(勿動)單價表'!$C:$C,B$3,'(勿動)單價表'!$E:$E,B$4)+IF(B$2="社會",SUMIFS('(勿動)單價表'!$I:$I,'(勿動)單價表'!$B:$B,"社會(南億)",'(勿動)單價表'!$C:$C,B$3,'(勿動)單價表'!$E:$E,B$4),0)</f>
        <v>127</v>
      </c>
      <c r="C7" s="183">
        <f>SUMIFS('(勿動)單價表'!$I:$I,'(勿動)單價表'!$B:$B,IF(C$2="國中英語","英語",C$2),'(勿動)單價表'!$C:$C,C$3,'(勿動)單價表'!$E:$E,C$4)+IF(C$2="社會",SUMIFS('(勿動)單價表'!$I:$I,'(勿動)單價表'!$B:$B,"社會(南億)",'(勿動)單價表'!$C:$C,C$3,'(勿動)單價表'!$E:$E,C$4),0)</f>
        <v>76</v>
      </c>
      <c r="D7" s="183">
        <f>SUMIFS('(勿動)單價表'!$I:$I,'(勿動)單價表'!$B:$B,IF(D$2="國中英語","英語",D$2),'(勿動)單價表'!$C:$C,D$3,'(勿動)單價表'!$E:$E,D$4)+IF(D$2="社會",SUMIFS('(勿動)單價表'!$I:$I,'(勿動)單價表'!$B:$B,"社會(南億)",'(勿動)單價表'!$C:$C,D$3,'(勿動)單價表'!$E:$E,D$4),0)</f>
        <v>232</v>
      </c>
      <c r="E7" s="183">
        <f>SUMIFS('(勿動)單價表'!$I:$I,'(勿動)單價表'!$B:$B,IF(E$2="國中英語","英語",E$2),'(勿動)單價表'!$C:$C,E$3,'(勿動)單價表'!$E:$E,E$4)+IF(E$2="社會",SUMIFS('(勿動)單價表'!$I:$I,'(勿動)單價表'!$B:$B,"社會(南億)",'(勿動)單價表'!$C:$C,E$3,'(勿動)單價表'!$E:$E,E$4),0)</f>
        <v>61</v>
      </c>
      <c r="F7" s="183">
        <f>SUMIFS('(勿動)單價表'!$I:$I,'(勿動)單價表'!$B:$B,IF(F$2="國中英語","英語",F$2),'(勿動)單價表'!$C:$C,F$3,'(勿動)單價表'!$E:$E,F$4)+IF(F$2="社會",SUMIFS('(勿動)單價表'!$I:$I,'(勿動)單價表'!$B:$B,"社會(南億)",'(勿動)單價表'!$C:$C,F$3,'(勿動)單價表'!$E:$E,F$4),0)</f>
        <v>139</v>
      </c>
      <c r="G7" s="183">
        <f>SUMIFS('(勿動)單價表'!$I:$I,'(勿動)單價表'!$B:$B,IF(G$2="國中英語","英語",G$2),'(勿動)單價表'!$C:$C,G$3,'(勿動)單價表'!$E:$E,G$4)+IF(G$2="社會",SUMIFS('(勿動)單價表'!$I:$I,'(勿動)單價表'!$B:$B,"社會(南億)",'(勿動)單價表'!$C:$C,G$3,'(勿動)單價表'!$E:$E,G$4),0)</f>
        <v>41</v>
      </c>
      <c r="H7" s="183">
        <f>SUMIFS('(勿動)單價表'!$I:$I,'(勿動)單價表'!$B:$B,IF(H$2="國中英語","英語",H$2),'(勿動)單價表'!$C:$C,H$3,'(勿動)單價表'!$E:$E,H$4)+IF(H$2="社會",SUMIFS('(勿動)單價表'!$I:$I,'(勿動)單價表'!$B:$B,"社會(南億)",'(勿動)單價表'!$C:$C,H$3,'(勿動)單價表'!$E:$E,H$4),0)</f>
        <v>144</v>
      </c>
      <c r="I7" s="183">
        <f>SUMIFS('(勿動)單價表'!$I:$I,'(勿動)單價表'!$B:$B,IF(I$2="國中英語","英語",I$2),'(勿動)單價表'!$C:$C,I$3,'(勿動)單價表'!$E:$E,I$4)+IF(I$2="社會",SUMIFS('(勿動)單價表'!$I:$I,'(勿動)單價表'!$B:$B,"社會(南億)",'(勿動)單價表'!$C:$C,I$3,'(勿動)單價表'!$E:$E,I$4),0)</f>
        <v>50</v>
      </c>
      <c r="J7" s="183">
        <f>SUMIFS('(勿動)單價表'!$I:$I,'(勿動)單價表'!$B:$B,IF(J$2="國中英語","英語",J$2),'(勿動)單價表'!$C:$C,J$3,'(勿動)單價表'!$E:$E,J$4)+IF(J$2="社會",SUMIFS('(勿動)單價表'!$I:$I,'(勿動)單價表'!$B:$B,"社會(南億)",'(勿動)單價表'!$C:$C,J$3,'(勿動)單價表'!$E:$E,J$4),0)</f>
        <v>119</v>
      </c>
      <c r="K7" s="183">
        <f>SUMIFS('(勿動)單價表'!$I:$I,'(勿動)單價表'!$B:$B,IF(K$2="國中英語","英語",K$2),'(勿動)單價表'!$C:$C,K$3,'(勿動)單價表'!$E:$E,K$4)+IF(K$2="社會",SUMIFS('(勿動)單價表'!$I:$I,'(勿動)單價表'!$B:$B,"社會(南億)",'(勿動)單價表'!$C:$C,K$3,'(勿動)單價表'!$E:$E,K$4),0)</f>
        <v>49</v>
      </c>
      <c r="L7" s="183">
        <f>SUMIFS('(勿動)單價表'!$I:$I,'(勿動)單價表'!$B:$B,IF(L$2="國中英語","英語",L$2),'(勿動)單價表'!$C:$C,L$3,'(勿動)單價表'!$E:$E,L$4)+IF(L$2="社會",SUMIFS('(勿動)單價表'!$I:$I,'(勿動)單價表'!$B:$B,"社會(南億)",'(勿動)單價表'!$C:$C,L$3,'(勿動)單價表'!$E:$E,L$4),0)</f>
        <v>137</v>
      </c>
      <c r="M7" s="183">
        <f>SUMIFS('(勿動)單價表'!$I:$I,'(勿動)單價表'!$B:$B,IF(M$2="國中英語","英語",M$2),'(勿動)單價表'!$C:$C,M$3,'(勿動)單價表'!$E:$E,M$4)+IF(M$2="社會",SUMIFS('(勿動)單價表'!$I:$I,'(勿動)單價表'!$B:$B,"社會(南億)",'(勿動)單價表'!$C:$C,M$3,'(勿動)單價表'!$E:$E,M$4),0)</f>
        <v>105</v>
      </c>
      <c r="N7" s="183">
        <f>SUMIFS('(勿動)單價表'!$I:$I,'(勿動)單價表'!$B:$B,IF(N$2="國中英語","英語",N$2),'(勿動)單價表'!$C:$C,N$3,'(勿動)單價表'!$E:$E,N$4)+IF(N$2="社會",SUMIFS('(勿動)單價表'!$I:$I,'(勿動)單價表'!$B:$B,"社會(南億)",'(勿動)單價表'!$C:$C,N$3,'(勿動)單價表'!$E:$E,N$4),0)</f>
        <v>170</v>
      </c>
      <c r="O7" s="183">
        <f>SUMIFS('(勿動)單價表'!$I:$I,'(勿動)單價表'!$B:$B,"科技",'(勿動)單價表'!$C:$C,O$3,'(勿動)單價表'!$E:$E,O$4)</f>
        <v>0</v>
      </c>
      <c r="P7" s="183">
        <f>SUMIFS('(勿動)單價表'!$I:$I,'(勿動)單價表'!$B:$B,"科技",'(勿動)單價表'!$C:$C,P$3,'(勿動)單價表'!$E:$E,P$4)</f>
        <v>0</v>
      </c>
      <c r="Q7" s="183">
        <f>SUMIFS('(勿動)單價表'!$I:$I,'(勿動)單價表'!$B:$B,"科技2",'(勿動)單價表'!$C:$C,Q$3,'(勿動)單價表'!$E:$E,Q$4)</f>
        <v>199</v>
      </c>
      <c r="R7" s="183">
        <f>SUMIFS('(勿動)單價表'!$I:$I,'(勿動)單價表'!$B:$B,"科技2",'(勿動)單價表'!$C:$C,R$3,'(勿動)單價表'!$E:$E,R$4)</f>
        <v>93</v>
      </c>
      <c r="S7" s="183">
        <f>SUMIFS('(勿動)單價表'!$I:$I,'(勿動)單價表'!$B:$B,IF(S$2="國中英語","英語",S$2),'(勿動)單價表'!$C:$C,S$3,'(勿動)單價表'!$E:$E,S$4)+IF(S$2="社會",SUMIFS('(勿動)單價表'!$I:$I,'(勿動)單價表'!$B:$B,"社會(南億)",'(勿動)單價表'!$C:$C,S$3,'(勿動)單價表'!$E:$E,S$4),0)</f>
        <v>134</v>
      </c>
      <c r="T7" s="183">
        <f>SUMIFS('(勿動)單價表'!$I:$I,'(勿動)單價表'!$B:$B,IF(T$2="國中英語","英語",T$2),'(勿動)單價表'!$C:$C,T$3,'(勿動)單價表'!$E:$E,T$4)+IF(T$2="社會",SUMIFS('(勿動)單價表'!$I:$I,'(勿動)單價表'!$B:$B,"社會(南億)",'(勿動)單價表'!$C:$C,T$3,'(勿動)單價表'!$E:$E,T$4),0)</f>
        <v>88</v>
      </c>
      <c r="U7" s="183">
        <f>SUMIFS('(勿動)單價表'!$I:$I,'(勿動)單價表'!$B:$B,IF(U$2="國中英語","英語",U$2),'(勿動)單價表'!$C:$C,U$3,'(勿動)單價表'!$E:$E,U$4)+IF(U$2="社會",SUMIFS('(勿動)單價表'!$I:$I,'(勿動)單價表'!$B:$B,"社會(南億)",'(勿動)單價表'!$C:$C,U$3,'(勿動)單價表'!$E:$E,U$4),0)</f>
        <v>182</v>
      </c>
      <c r="V7" s="183">
        <f>SUMIFS('(勿動)單價表'!$I:$I,'(勿動)單價表'!$B:$B,IF(V$2="國中英語","英語",V$2),'(勿動)單價表'!$C:$C,V$3,'(勿動)單價表'!$E:$E,V$4)+IF(V$2="社會",SUMIFS('(勿動)單價表'!$I:$I,'(勿動)單價表'!$B:$B,"社會(南億)",'(勿動)單價表'!$C:$C,V$3,'(勿動)單價表'!$E:$E,V$4),0)</f>
        <v>60</v>
      </c>
      <c r="W7" s="183">
        <f>SUMIFS('(勿動)單價表'!$I:$I,'(勿動)單價表'!$B:$B,IF(W$2="國中英語","英語",W$2),'(勿動)單價表'!$C:$C,W$3,'(勿動)單價表'!$E:$E,W$4)+IF(W$2="社會",SUMIFS('(勿動)單價表'!$I:$I,'(勿動)單價表'!$B:$B,"社會(南億)",'(勿動)單價表'!$C:$C,W$3,'(勿動)單價表'!$E:$E,W$4),0)</f>
        <v>130</v>
      </c>
      <c r="X7" s="183">
        <f>SUMIFS('(勿動)單價表'!$I:$I,'(勿動)單價表'!$B:$B,IF(X$2="國中英語","英語",X$2),'(勿動)單價表'!$C:$C,X$3,'(勿動)單價表'!$E:$E,X$4)+IF(X$2="社會",SUMIFS('(勿動)單價表'!$I:$I,'(勿動)單價表'!$B:$B,"社會(南億)",'(勿動)單價表'!$C:$C,X$3,'(勿動)單價表'!$E:$E,X$4),0)</f>
        <v>58</v>
      </c>
      <c r="Y7" s="183">
        <f>SUMIFS('(勿動)單價表'!$I:$I,'(勿動)單價表'!$B:$B,IF(Y$2="國中英語","英語",Y$2),'(勿動)單價表'!$C:$C,Y$3,'(勿動)單價表'!$E:$E,Y$4)+IF(Y$2="社會",SUMIFS('(勿動)單價表'!$I:$I,'(勿動)單價表'!$B:$B,"社會(南億)",'(勿動)單價表'!$C:$C,Y$3,'(勿動)單價表'!$E:$E,Y$4),0)</f>
        <v>161</v>
      </c>
      <c r="Z7" s="183">
        <f>SUMIFS('(勿動)單價表'!$I:$I,'(勿動)單價表'!$B:$B,IF(Z$2="國中英語","英語",Z$2),'(勿動)單價表'!$C:$C,Z$3,'(勿動)單價表'!$E:$E,Z$4)+IF(Z$2="社會",SUMIFS('(勿動)單價表'!$I:$I,'(勿動)單價表'!$B:$B,"社會(南億)",'(勿動)單價表'!$C:$C,Z$3,'(勿動)單價表'!$E:$E,Z$4),0)</f>
        <v>57</v>
      </c>
      <c r="AA7" s="183">
        <f>SUMIFS('(勿動)單價表'!$I:$I,'(勿動)單價表'!$B:$B,IF(AA$2="國中英語","英語",AA$2),'(勿動)單價表'!$C:$C,AA$3,'(勿動)單價表'!$E:$E,AA$4)+IF(AA$2="社會",SUMIFS('(勿動)單價表'!$I:$I,'(勿動)單價表'!$B:$B,"社會(南億)",'(勿動)單價表'!$C:$C,AA$3,'(勿動)單價表'!$E:$E,AA$4),0)</f>
        <v>124</v>
      </c>
      <c r="AB7" s="183">
        <f>SUMIFS('(勿動)單價表'!$I:$I,'(勿動)單價表'!$B:$B,IF(AB$2="國中英語","英語",AB$2),'(勿動)單價表'!$C:$C,AB$3,'(勿動)單價表'!$E:$E,AB$4)+IF(AB$2="社會",SUMIFS('(勿動)單價表'!$I:$I,'(勿動)單價表'!$B:$B,"社會(南億)",'(勿動)單價表'!$C:$C,AB$3,'(勿動)單價表'!$E:$E,AB$4),0)</f>
        <v>43</v>
      </c>
      <c r="AC7" s="183">
        <f>SUMIFS('(勿動)單價表'!$I:$I,'(勿動)單價表'!$B:$B,IF(AC$2="國中英語","英語",AC$2),'(勿動)單價表'!$C:$C,AC$3,'(勿動)單價表'!$E:$E,AC$4)+IF(AC$2="社會",SUMIFS('(勿動)單價表'!$I:$I,'(勿動)單價表'!$B:$B,"社會(南億)",'(勿動)單價表'!$C:$C,AC$3,'(勿動)單價表'!$E:$E,AC$4),0)</f>
        <v>125</v>
      </c>
      <c r="AD7" s="183">
        <f>SUMIFS('(勿動)單價表'!$I:$I,'(勿動)單價表'!$B:$B,IF(AD$2="國中英語","英語",AD$2),'(勿動)單價表'!$C:$C,AD$3,'(勿動)單價表'!$E:$E,AD$4)+IF(AD$2="社會",SUMIFS('(勿動)單價表'!$I:$I,'(勿動)單價表'!$B:$B,"社會(南億)",'(勿動)單價表'!$C:$C,AD$3,'(勿動)單價表'!$E:$E,AD$4),0)</f>
        <v>97</v>
      </c>
      <c r="AE7" s="183">
        <f>SUMIFS('(勿動)單價表'!$I:$I,'(勿動)單價表'!$B:$B,IF(AE$2="國中英語","英語",AE$2),'(勿動)單價表'!$C:$C,AE$3,'(勿動)單價表'!$E:$E,AE$4)+IF(AE$2="社會",SUMIFS('(勿動)單價表'!$I:$I,'(勿動)單價表'!$B:$B,"社會(南億)",'(勿動)單價表'!$C:$C,AE$3,'(勿動)單價表'!$E:$E,AE$4),0)</f>
        <v>206</v>
      </c>
      <c r="AF7" s="183">
        <f>SUMIFS('(勿動)單價表'!$I:$I,'(勿動)單價表'!$B:$B,"科技",'(勿動)單價表'!$C:$C,AF$3,'(勿動)單價表'!$E:$E,AF$4)</f>
        <v>0</v>
      </c>
      <c r="AG7" s="183">
        <f>SUMIFS('(勿動)單價表'!$I:$I,'(勿動)單價表'!$B:$B,"科技",'(勿動)單價表'!$C:$C,AG$3,'(勿動)單價表'!$E:$E,AG$4)</f>
        <v>0</v>
      </c>
      <c r="AH7" s="183">
        <f>SUMIFS('(勿動)單價表'!$I:$I,'(勿動)單價表'!$B:$B,"科技2",'(勿動)單價表'!$C:$C,AH$3,'(勿動)單價表'!$E:$E,AH$4)</f>
        <v>192</v>
      </c>
      <c r="AI7" s="183">
        <f>SUMIFS('(勿動)單價表'!$I:$I,'(勿動)單價表'!$B:$B,"科技2",'(勿動)單價表'!$C:$C,AI$3,'(勿動)單價表'!$E:$E,AI$4)</f>
        <v>66</v>
      </c>
      <c r="AJ7" s="183">
        <f>SUMIFS('(勿動)單價表'!$I:$I,'(勿動)單價表'!$B:$B,IF(AJ$2="國中英語","英語",AJ$2),'(勿動)單價表'!$C:$C,AJ$3,'(勿動)單價表'!$E:$E,AJ$4)+IF(AJ$2="社會",SUMIFS('(勿動)單價表'!$I:$I,'(勿動)單價表'!$B:$B,"社會(南億)",'(勿動)單價表'!$C:$C,AJ$3,'(勿動)單價表'!$E:$E,AJ$4),0)</f>
        <v>93</v>
      </c>
      <c r="AK7" s="183">
        <f>SUMIFS('(勿動)單價表'!$I:$I,'(勿動)單價表'!$B:$B,IF(AK$2="國中英語","英語",AK$2),'(勿動)單價表'!$C:$C,AK$3,'(勿動)單價表'!$E:$E,AK$4)+IF(AK$2="社會",SUMIFS('(勿動)單價表'!$I:$I,'(勿動)單價表'!$B:$B,"社會(南億)",'(勿動)單價表'!$C:$C,AK$3,'(勿動)單價表'!$E:$E,AK$4),0)</f>
        <v>54</v>
      </c>
      <c r="AL7" s="183">
        <f>SUMIFS('(勿動)單價表'!$I:$I,'(勿動)單價表'!$B:$B,IF(AL$2="國中英語","英語",AL$2),'(勿動)單價表'!$C:$C,AL$3,'(勿動)單價表'!$E:$E,AL$4)+IF(AL$2="社會",SUMIFS('(勿動)單價表'!$I:$I,'(勿動)單價表'!$B:$B,"社會(南億)",'(勿動)單價表'!$C:$C,AL$3,'(勿動)單價表'!$E:$E,AL$4),0)</f>
        <v>185</v>
      </c>
      <c r="AM7" s="183">
        <f>SUMIFS('(勿動)單價表'!$I:$I,'(勿動)單價表'!$B:$B,IF(AM$2="國中英語","英語",AM$2),'(勿動)單價表'!$C:$C,AM$3,'(勿動)單價表'!$E:$E,AM$4)+IF(AM$2="社會",SUMIFS('(勿動)單價表'!$I:$I,'(勿動)單價表'!$B:$B,"社會(南億)",'(勿動)單價表'!$C:$C,AM$3,'(勿動)單價表'!$E:$E,AM$4),0)</f>
        <v>43</v>
      </c>
      <c r="AN7" s="183">
        <f>SUMIFS('(勿動)單價表'!$I:$I,'(勿動)單價表'!$B:$B,IF(AN$2="國中英語","英語",AN$2),'(勿動)單價表'!$C:$C,AN$3,'(勿動)單價表'!$E:$E,AN$4)+IF(AN$2="社會",SUMIFS('(勿動)單價表'!$I:$I,'(勿動)單價表'!$B:$B,"社會(南億)",'(勿動)單價表'!$C:$C,AN$3,'(勿動)單價表'!$E:$E,AN$4),0)</f>
        <v>98</v>
      </c>
      <c r="AO7" s="183">
        <f>SUMIFS('(勿動)單價表'!$I:$I,'(勿動)單價表'!$B:$B,IF(AO$2="國中英語","英語",AO$2),'(勿動)單價表'!$C:$C,AO$3,'(勿動)單價表'!$E:$E,AO$4)+IF(AO$2="社會",SUMIFS('(勿動)單價表'!$I:$I,'(勿動)單價表'!$B:$B,"社會(南億)",'(勿動)單價表'!$C:$C,AO$3,'(勿動)單價表'!$E:$E,AO$4),0)</f>
        <v>43</v>
      </c>
      <c r="AP7" s="183">
        <f>SUMIFS('(勿動)單價表'!$I:$I,'(勿動)單價表'!$B:$B,IF(AP$2="國中英語","英語",AP$2),'(勿動)單價表'!$C:$C,AP$3,'(勿動)單價表'!$E:$E,AP$4)+IF(AP$2="社會",SUMIFS('(勿動)單價表'!$I:$I,'(勿動)單價表'!$B:$B,"社會(南億)",'(勿動)單價表'!$C:$C,AP$3,'(勿動)單價表'!$E:$E,AP$4),0)</f>
        <v>84</v>
      </c>
      <c r="AQ7" s="183">
        <f>SUMIFS('(勿動)單價表'!$I:$I,'(勿動)單價表'!$B:$B,IF(AQ$2="國中英語","英語",AQ$2),'(勿動)單價表'!$C:$C,AQ$3,'(勿動)單價表'!$E:$E,AQ$4)+IF(AQ$2="社會",SUMIFS('(勿動)單價表'!$I:$I,'(勿動)單價表'!$B:$B,"社會(南億)",'(勿動)單價表'!$C:$C,AQ$3,'(勿動)單價表'!$E:$E,AQ$4),0)</f>
        <v>39</v>
      </c>
      <c r="AR7" s="183">
        <f>SUMIFS('(勿動)單價表'!$I:$I,'(勿動)單價表'!$B:$B,IF(AR$2="國中英語","英語",AR$2),'(勿動)單價表'!$C:$C,AR$3,'(勿動)單價表'!$E:$E,AR$4)+IF(AR$2="社會",SUMIFS('(勿動)單價表'!$I:$I,'(勿動)單價表'!$B:$B,"社會(南億)",'(勿動)單價表'!$C:$C,AR$3,'(勿動)單價表'!$E:$E,AR$4),0)</f>
        <v>90</v>
      </c>
      <c r="AS7" s="183">
        <f>SUMIFS('(勿動)單價表'!$I:$I,'(勿動)單價表'!$B:$B,IF(AS$2="國中英語","英語",AS$2),'(勿動)單價表'!$C:$C,AS$3,'(勿動)單價表'!$E:$E,AS$4)+IF(AS$2="社會",SUMIFS('(勿動)單價表'!$I:$I,'(勿動)單價表'!$B:$B,"社會(南億)",'(勿動)單價表'!$C:$C,AS$3,'(勿動)單價表'!$E:$E,AS$4),0)</f>
        <v>29</v>
      </c>
      <c r="AT7" s="183">
        <f>SUMIFS('(勿動)單價表'!$I:$I,'(勿動)單價表'!$B:$B,IF(AT$2="國中英語","英語",AT$2),'(勿動)單價表'!$C:$C,AT$3,'(勿動)單價表'!$E:$E,AT$4)+IF(AT$2="社會",SUMIFS('(勿動)單價表'!$I:$I,'(勿動)單價表'!$B:$B,"社會(南億)",'(勿動)單價表'!$C:$C,AT$3,'(勿動)單價表'!$E:$E,AT$4),0)</f>
        <v>174</v>
      </c>
      <c r="AU7" s="183">
        <f>SUMIFS('(勿動)單價表'!$I:$I,'(勿動)單價表'!$B:$B,IF(AU$2="國中英語","英語",AU$2),'(勿動)單價表'!$C:$C,AU$3,'(勿動)單價表'!$E:$E,AU$4)+IF(AU$2="社會",SUMIFS('(勿動)單價表'!$I:$I,'(勿動)單價表'!$B:$B,"社會(南億)",'(勿動)單價表'!$C:$C,AU$3,'(勿動)單價表'!$E:$E,AU$4),0)</f>
        <v>73</v>
      </c>
      <c r="AV7" s="183">
        <f>SUMIFS('(勿動)單價表'!$I:$I,'(勿動)單價表'!$B:$B,IF(AV$2="國中英語","英語",AV$2),'(勿動)單價表'!$C:$C,AV$3,'(勿動)單價表'!$E:$E,AV$4)+IF(AV$2="社會",SUMIFS('(勿動)單價表'!$I:$I,'(勿動)單價表'!$B:$B,"社會(南億)",'(勿動)單價表'!$C:$C,AV$3,'(勿動)單價表'!$E:$E,AV$4),0)</f>
        <v>156</v>
      </c>
      <c r="AW7" s="183">
        <f>SUMIFS('(勿動)單價表'!$I:$I,'(勿動)單價表'!$B:$B,"科技",'(勿動)單價表'!$C:$C,AW$3,'(勿動)單價表'!$E:$E,AW$4)</f>
        <v>0</v>
      </c>
      <c r="AX7" s="183">
        <f>SUMIFS('(勿動)單價表'!$I:$I,'(勿動)單價表'!$B:$B,"科技",'(勿動)單價表'!$C:$C,AX$3,'(勿動)單價表'!$E:$E,AX$4)</f>
        <v>0</v>
      </c>
      <c r="AY7" s="183">
        <f>SUMIFS('(勿動)單價表'!$I:$I,'(勿動)單價表'!$B:$B,"科技2",'(勿動)單價表'!$C:$C,AY$3,'(勿動)單價表'!$E:$E,AY$4)</f>
        <v>173</v>
      </c>
      <c r="AZ7" s="183">
        <f>SUMIFS('(勿動)單價表'!$I:$I,'(勿動)單價表'!$B:$B,"科技2",'(勿動)單價表'!$C:$C,AZ$3,'(勿動)單價表'!$E:$E,AZ$4)</f>
        <v>60</v>
      </c>
    </row>
    <row r="8" spans="1:59" x14ac:dyDescent="0.25">
      <c r="A8" s="7" t="s">
        <v>45</v>
      </c>
      <c r="B8" s="183">
        <f>SUMIFS('(勿動)單價表'!$L:$L,'(勿動)單價表'!$B:$B,IF(B$2="國中英語","英語",B$2),'(勿動)單價表'!$C:$C,B$3,'(勿動)單價表'!$E:$E,B$4)+IF(B$2="社會",SUMIFS('(勿動)單價表'!$L:$L,'(勿動)單價表'!$B:$B,"社會(南億)",'(勿動)單價表'!$C:$C,B$3,'(勿動)單價表'!$E:$E,B$4),0)</f>
        <v>145</v>
      </c>
      <c r="C8" s="183">
        <f>SUMIFS('(勿動)單價表'!$L:$L,'(勿動)單價表'!$B:$B,IF(C$2="國中英語","英語",C$2),'(勿動)單價表'!$C:$C,C$3,'(勿動)單價表'!$E:$E,C$4)+IF(C$2="社會",SUMIFS('(勿動)單價表'!$L:$L,'(勿動)單價表'!$B:$B,"社會(南億)",'(勿動)單價表'!$C:$C,C$3,'(勿動)單價表'!$E:$E,C$4),0)</f>
        <v>78</v>
      </c>
      <c r="D8" s="183">
        <f>SUMIFS('(勿動)單價表'!$L:$L,'(勿動)單價表'!$B:$B,IF(D$2="國中英語","英語",D$2),'(勿動)單價表'!$C:$C,D$3,'(勿動)單價表'!$E:$E,D$4)+IF(D$2="社會",SUMIFS('(勿動)單價表'!$L:$L,'(勿動)單價表'!$B:$B,"社會(南億)",'(勿動)單價表'!$C:$C,D$3,'(勿動)單價表'!$E:$E,D$4),0)</f>
        <v>245</v>
      </c>
      <c r="E8" s="183">
        <f>SUMIFS('(勿動)單價表'!$L:$L,'(勿動)單價表'!$B:$B,IF(E$2="國中英語","英語",E$2),'(勿動)單價表'!$C:$C,E$3,'(勿動)單價表'!$E:$E,E$4)+IF(E$2="社會",SUMIFS('(勿動)單價表'!$L:$L,'(勿動)單價表'!$B:$B,"社會(南億)",'(勿動)單價表'!$C:$C,E$3,'(勿動)單價表'!$E:$E,E$4),0)</f>
        <v>53</v>
      </c>
      <c r="F8" s="183">
        <f>SUMIFS('(勿動)單價表'!$L:$L,'(勿動)單價表'!$B:$B,IF(F$2="國中英語","英語",F$2),'(勿動)單價表'!$C:$C,F$3,'(勿動)單價表'!$E:$E,F$4)+IF(F$2="社會",SUMIFS('(勿動)單價表'!$L:$L,'(勿動)單價表'!$B:$B,"社會(南億)",'(勿動)單價表'!$C:$C,F$3,'(勿動)單價表'!$E:$E,F$4),0)</f>
        <v>155</v>
      </c>
      <c r="G8" s="183">
        <f>SUMIFS('(勿動)單價表'!$L:$L,'(勿動)單價表'!$B:$B,IF(G$2="國中英語","英語",G$2),'(勿動)單價表'!$C:$C,G$3,'(勿動)單價表'!$E:$E,G$4)+IF(G$2="社會",SUMIFS('(勿動)單價表'!$L:$L,'(勿動)單價表'!$B:$B,"社會(南億)",'(勿動)單價表'!$C:$C,G$3,'(勿動)單價表'!$E:$E,G$4),0)</f>
        <v>47</v>
      </c>
      <c r="H8" s="183">
        <f>SUMIFS('(勿動)單價表'!$L:$L,'(勿動)單價表'!$B:$B,IF(H$2="國中英語","英語",H$2),'(勿動)單價表'!$C:$C,H$3,'(勿動)單價表'!$E:$E,H$4)+IF(H$2="社會",SUMIFS('(勿動)單價表'!$L:$L,'(勿動)單價表'!$B:$B,"社會(南億)",'(勿動)單價表'!$C:$C,H$3,'(勿動)單價表'!$E:$E,H$4),0)</f>
        <v>203</v>
      </c>
      <c r="I8" s="183">
        <f>SUMIFS('(勿動)單價表'!$L:$L,'(勿動)單價表'!$B:$B,IF(I$2="國中英語","英語",I$2),'(勿動)單價表'!$C:$C,I$3,'(勿動)單價表'!$E:$E,I$4)+IF(I$2="社會",SUMIFS('(勿動)單價表'!$L:$L,'(勿動)單價表'!$B:$B,"社會(南億)",'(勿動)單價表'!$C:$C,I$3,'(勿動)單價表'!$E:$E,I$4),0)</f>
        <v>71</v>
      </c>
      <c r="J8" s="183">
        <f>SUMIFS('(勿動)單價表'!$L:$L,'(勿動)單價表'!$B:$B,IF(J$2="國中英語","英語",J$2),'(勿動)單價表'!$C:$C,J$3,'(勿動)單價表'!$E:$E,J$4)+IF(J$2="社會",SUMIFS('(勿動)單價表'!$L:$L,'(勿動)單價表'!$B:$B,"社會(南億)",'(勿動)單價表'!$C:$C,J$3,'(勿動)單價表'!$E:$E,J$4),0)</f>
        <v>147</v>
      </c>
      <c r="K8" s="183">
        <f>SUMIFS('(勿動)單價表'!$L:$L,'(勿動)單價表'!$B:$B,IF(K$2="國中英語","英語",K$2),'(勿動)單價表'!$C:$C,K$3,'(勿動)單價表'!$E:$E,K$4)+IF(K$2="社會",SUMIFS('(勿動)單價表'!$L:$L,'(勿動)單價表'!$B:$B,"社會(南億)",'(勿動)單價表'!$C:$C,K$3,'(勿動)單價表'!$E:$E,K$4),0)</f>
        <v>50</v>
      </c>
      <c r="L8" s="183">
        <f>SUMIFS('(勿動)單價表'!$L:$L,'(勿動)單價表'!$B:$B,IF(L$2="國中英語","英語",L$2),'(勿動)單價表'!$C:$C,L$3,'(勿動)單價表'!$E:$E,L$4)+IF(L$2="社會",SUMIFS('(勿動)單價表'!$L:$L,'(勿動)單價表'!$B:$B,"社會(南億)",'(勿動)單價表'!$C:$C,L$3,'(勿動)單價表'!$E:$E,L$4),0)</f>
        <v>136</v>
      </c>
      <c r="M8" s="183">
        <f>SUMIFS('(勿動)單價表'!$L:$L,'(勿動)單價表'!$B:$B,IF(M$2="國中英語","英語",M$2),'(勿動)單價表'!$C:$C,M$3,'(勿動)單價表'!$E:$E,M$4)+IF(M$2="社會",SUMIFS('(勿動)單價表'!$L:$L,'(勿動)單價表'!$B:$B,"社會(南億)",'(勿動)單價表'!$C:$C,M$3,'(勿動)單價表'!$E:$E,M$4),0)</f>
        <v>90</v>
      </c>
      <c r="N8" s="183">
        <f>SUMIFS('(勿動)單價表'!$L:$L,'(勿動)單價表'!$B:$B,IF(N$2="國中英語","英語",N$2),'(勿動)單價表'!$C:$C,N$3,'(勿動)單價表'!$E:$E,N$4)+IF(N$2="社會",SUMIFS('(勿動)單價表'!$L:$L,'(勿動)單價表'!$B:$B,"社會(南億)",'(勿動)單價表'!$C:$C,N$3,'(勿動)單價表'!$E:$E,N$4),0)</f>
        <v>0</v>
      </c>
      <c r="O8" s="183">
        <f>SUMIFS('(勿動)單價表'!$L:$L,'(勿動)單價表'!$B:$B,"科技",'(勿動)單價表'!$C:$C,O$3,'(勿動)單價表'!$E:$E,O$4)</f>
        <v>0</v>
      </c>
      <c r="P8" s="183">
        <f>SUMIFS('(勿動)單價表'!$L:$L,'(勿動)單價表'!$B:$B,"科技",'(勿動)單價表'!$C:$C,P$3,'(勿動)單價表'!$E:$E,P$4)</f>
        <v>0</v>
      </c>
      <c r="Q8" s="183">
        <f>SUMIFS('(勿動)單價表'!$L:$L,'(勿動)單價表'!$B:$B,"科技2",'(勿動)單價表'!$C:$C,Q$3,'(勿動)單價表'!$E:$E,Q$4)</f>
        <v>245</v>
      </c>
      <c r="R8" s="183">
        <f>SUMIFS('(勿動)單價表'!$L:$L,'(勿動)單價表'!$B:$B,"科技2",'(勿動)單價表'!$C:$C,R$3,'(勿動)單價表'!$E:$E,R$4)</f>
        <v>90</v>
      </c>
      <c r="S8" s="183">
        <f>SUMIFS('(勿動)單價表'!$L:$L,'(勿動)單價表'!$B:$B,IF(S$2="國中英語","英語",S$2),'(勿動)單價表'!$C:$C,S$3,'(勿動)單價表'!$E:$E,S$4)+IF(S$2="社會",SUMIFS('(勿動)單價表'!$L:$L,'(勿動)單價表'!$B:$B,"社會(南億)",'(勿動)單價表'!$C:$C,S$3,'(勿動)單價表'!$E:$E,S$4),0)</f>
        <v>149</v>
      </c>
      <c r="T8" s="183">
        <f>SUMIFS('(勿動)單價表'!$L:$L,'(勿動)單價表'!$B:$B,IF(T$2="國中英語","英語",T$2),'(勿動)單價表'!$C:$C,T$3,'(勿動)單價表'!$E:$E,T$4)+IF(T$2="社會",SUMIFS('(勿動)單價表'!$L:$L,'(勿動)單價表'!$B:$B,"社會(南億)",'(勿動)單價表'!$C:$C,T$3,'(勿動)單價表'!$E:$E,T$4),0)</f>
        <v>72</v>
      </c>
      <c r="U8" s="183">
        <f>SUMIFS('(勿動)單價表'!$L:$L,'(勿動)單價表'!$B:$B,IF(U$2="國中英語","英語",U$2),'(勿動)單價表'!$C:$C,U$3,'(勿動)單價表'!$E:$E,U$4)+IF(U$2="社會",SUMIFS('(勿動)單價表'!$L:$L,'(勿動)單價表'!$B:$B,"社會(南億)",'(勿動)單價表'!$C:$C,U$3,'(勿動)單價表'!$E:$E,U$4),0)</f>
        <v>214</v>
      </c>
      <c r="V8" s="183">
        <f>SUMIFS('(勿動)單價表'!$L:$L,'(勿動)單價表'!$B:$B,IF(V$2="國中英語","英語",V$2),'(勿動)單價表'!$C:$C,V$3,'(勿動)單價表'!$E:$E,V$4)+IF(V$2="社會",SUMIFS('(勿動)單價表'!$L:$L,'(勿動)單價表'!$B:$B,"社會(南億)",'(勿動)單價表'!$C:$C,V$3,'(勿動)單價表'!$E:$E,V$4),0)</f>
        <v>50</v>
      </c>
      <c r="W8" s="183">
        <f>SUMIFS('(勿動)單價表'!$L:$L,'(勿動)單價表'!$B:$B,IF(W$2="國中英語","英語",W$2),'(勿動)單價表'!$C:$C,W$3,'(勿動)單價表'!$E:$E,W$4)+IF(W$2="社會",SUMIFS('(勿動)單價表'!$L:$L,'(勿動)單價表'!$B:$B,"社會(南億)",'(勿動)單價表'!$C:$C,W$3,'(勿動)單價表'!$E:$E,W$4),0)</f>
        <v>160</v>
      </c>
      <c r="X8" s="183">
        <f>SUMIFS('(勿動)單價表'!$L:$L,'(勿動)單價表'!$B:$B,IF(X$2="國中英語","英語",X$2),'(勿動)單價表'!$C:$C,X$3,'(勿動)單價表'!$E:$E,X$4)+IF(X$2="社會",SUMIFS('(勿動)單價表'!$L:$L,'(勿動)單價表'!$B:$B,"社會(南億)",'(勿動)單價表'!$C:$C,X$3,'(勿動)單價表'!$E:$E,X$4),0)</f>
        <v>60</v>
      </c>
      <c r="Y8" s="183">
        <f>SUMIFS('(勿動)單價表'!$L:$L,'(勿動)單價表'!$B:$B,IF(Y$2="國中英語","英語",Y$2),'(勿動)單價表'!$C:$C,Y$3,'(勿動)單價表'!$E:$E,Y$4)+IF(Y$2="社會",SUMIFS('(勿動)單價表'!$L:$L,'(勿動)單價表'!$B:$B,"社會(南億)",'(勿動)單價表'!$C:$C,Y$3,'(勿動)單價表'!$E:$E,Y$4),0)</f>
        <v>196</v>
      </c>
      <c r="Z8" s="183">
        <f>SUMIFS('(勿動)單價表'!$L:$L,'(勿動)單價表'!$B:$B,IF(Z$2="國中英語","英語",Z$2),'(勿動)單價表'!$C:$C,Z$3,'(勿動)單價表'!$E:$E,Z$4)+IF(Z$2="社會",SUMIFS('(勿動)單價表'!$L:$L,'(勿動)單價表'!$B:$B,"社會(南億)",'(勿動)單價表'!$C:$C,Z$3,'(勿動)單價表'!$E:$E,Z$4),0)</f>
        <v>75</v>
      </c>
      <c r="AA8" s="183">
        <f>SUMIFS('(勿動)單價表'!$L:$L,'(勿動)單價表'!$B:$B,IF(AA$2="國中英語","英語",AA$2),'(勿動)單價表'!$C:$C,AA$3,'(勿動)單價表'!$E:$E,AA$4)+IF(AA$2="社會",SUMIFS('(勿動)單價表'!$L:$L,'(勿動)單價表'!$B:$B,"社會(南億)",'(勿動)單價表'!$C:$C,AA$3,'(勿動)單價表'!$E:$E,AA$4),0)</f>
        <v>156</v>
      </c>
      <c r="AB8" s="183">
        <f>SUMIFS('(勿動)單價表'!$L:$L,'(勿動)單價表'!$B:$B,IF(AB$2="國中英語","英語",AB$2),'(勿動)單價表'!$C:$C,AB$3,'(勿動)單價表'!$E:$E,AB$4)+IF(AB$2="社會",SUMIFS('(勿動)單價表'!$L:$L,'(勿動)單價表'!$B:$B,"社會(南億)",'(勿動)單價表'!$C:$C,AB$3,'(勿動)單價表'!$E:$E,AB$4),0)</f>
        <v>59</v>
      </c>
      <c r="AC8" s="183">
        <f>SUMIFS('(勿動)單價表'!$L:$L,'(勿動)單價表'!$B:$B,IF(AC$2="國中英語","英語",AC$2),'(勿動)單價表'!$C:$C,AC$3,'(勿動)單價表'!$E:$E,AC$4)+IF(AC$2="社會",SUMIFS('(勿動)單價表'!$L:$L,'(勿動)單價表'!$B:$B,"社會(南億)",'(勿動)單價表'!$C:$C,AC$3,'(勿動)單價表'!$E:$E,AC$4),0)</f>
        <v>144</v>
      </c>
      <c r="AD8" s="183">
        <f>SUMIFS('(勿動)單價表'!$L:$L,'(勿動)單價表'!$B:$B,IF(AD$2="國中英語","英語",AD$2),'(勿動)單價表'!$C:$C,AD$3,'(勿動)單價表'!$E:$E,AD$4)+IF(AD$2="社會",SUMIFS('(勿動)單價表'!$L:$L,'(勿動)單價表'!$B:$B,"社會(南億)",'(勿動)單價表'!$C:$C,AD$3,'(勿動)單價表'!$E:$E,AD$4),0)</f>
        <v>97</v>
      </c>
      <c r="AE8" s="183">
        <f>SUMIFS('(勿動)單價表'!$L:$L,'(勿動)單價表'!$B:$B,IF(AE$2="國中英語","英語",AE$2),'(勿動)單價表'!$C:$C,AE$3,'(勿動)單價表'!$E:$E,AE$4)+IF(AE$2="社會",SUMIFS('(勿動)單價表'!$L:$L,'(勿動)單價表'!$B:$B,"社會(南億)",'(勿動)單價表'!$C:$C,AE$3,'(勿動)單價表'!$E:$E,AE$4),0)</f>
        <v>0</v>
      </c>
      <c r="AF8" s="183">
        <f>SUMIFS('(勿動)單價表'!$L:$L,'(勿動)單價表'!$B:$B,"科技",'(勿動)單價表'!$C:$C,AF$3,'(勿動)單價表'!$E:$E,AF$4)</f>
        <v>0</v>
      </c>
      <c r="AG8" s="183">
        <f>SUMIFS('(勿動)單價表'!$L:$L,'(勿動)單價表'!$B:$B,"科技",'(勿動)單價表'!$C:$C,AG$3,'(勿動)單價表'!$E:$E,AG$4)</f>
        <v>0</v>
      </c>
      <c r="AH8" s="183">
        <f>SUMIFS('(勿動)單價表'!$L:$L,'(勿動)單價表'!$B:$B,"科技2",'(勿動)單價表'!$C:$C,AH$3,'(勿動)單價表'!$E:$E,AH$4)</f>
        <v>197</v>
      </c>
      <c r="AI8" s="183">
        <f>SUMIFS('(勿動)單價表'!$L:$L,'(勿動)單價表'!$B:$B,"科技2",'(勿動)單價表'!$C:$C,AI$3,'(勿動)單價表'!$E:$E,AI$4)</f>
        <v>63</v>
      </c>
      <c r="AJ8" s="183">
        <f>SUMIFS('(勿動)單價表'!$L:$L,'(勿動)單價表'!$B:$B,IF(AJ$2="國中英語","英語",AJ$2),'(勿動)單價表'!$C:$C,AJ$3,'(勿動)單價表'!$E:$E,AJ$4)+IF(AJ$2="社會",SUMIFS('(勿動)單價表'!$L:$L,'(勿動)單價表'!$B:$B,"社會(南億)",'(勿動)單價表'!$C:$C,AJ$3,'(勿動)單價表'!$E:$E,AJ$4),0)</f>
        <v>113</v>
      </c>
      <c r="AK8" s="183">
        <f>SUMIFS('(勿動)單價表'!$L:$L,'(勿動)單價表'!$B:$B,IF(AK$2="國中英語","英語",AK$2),'(勿動)單價表'!$C:$C,AK$3,'(勿動)單價表'!$E:$E,AK$4)+IF(AK$2="社會",SUMIFS('(勿動)單價表'!$L:$L,'(勿動)單價表'!$B:$B,"社會(南億)",'(勿動)單價表'!$C:$C,AK$3,'(勿動)單價表'!$E:$E,AK$4),0)</f>
        <v>52</v>
      </c>
      <c r="AL8" s="183">
        <f>SUMIFS('(勿動)單價表'!$L:$L,'(勿動)單價表'!$B:$B,IF(AL$2="國中英語","英語",AL$2),'(勿動)單價表'!$C:$C,AL$3,'(勿動)單價表'!$E:$E,AL$4)+IF(AL$2="社會",SUMIFS('(勿動)單價表'!$L:$L,'(勿動)單價表'!$B:$B,"社會(南億)",'(勿動)單價表'!$C:$C,AL$3,'(勿動)單價表'!$E:$E,AL$4),0)</f>
        <v>218</v>
      </c>
      <c r="AM8" s="183">
        <f>SUMIFS('(勿動)單價表'!$L:$L,'(勿動)單價表'!$B:$B,IF(AM$2="國中英語","英語",AM$2),'(勿動)單價表'!$C:$C,AM$3,'(勿動)單價表'!$E:$E,AM$4)+IF(AM$2="社會",SUMIFS('(勿動)單價表'!$L:$L,'(勿動)單價表'!$B:$B,"社會(南億)",'(勿動)單價表'!$C:$C,AM$3,'(勿動)單價表'!$E:$E,AM$4),0)</f>
        <v>30</v>
      </c>
      <c r="AN8" s="183">
        <f>SUMIFS('(勿動)單價表'!$L:$L,'(勿動)單價表'!$B:$B,IF(AN$2="國中英語","英語",AN$2),'(勿動)單價表'!$C:$C,AN$3,'(勿動)單價表'!$E:$E,AN$4)+IF(AN$2="社會",SUMIFS('(勿動)單價表'!$L:$L,'(勿動)單價表'!$B:$B,"社會(南億)",'(勿動)單價表'!$C:$C,AN$3,'(勿動)單價表'!$E:$E,AN$4),0)</f>
        <v>126</v>
      </c>
      <c r="AO8" s="183">
        <f>SUMIFS('(勿動)單價表'!$L:$L,'(勿動)單價表'!$B:$B,IF(AO$2="國中英語","英語",AO$2),'(勿動)單價表'!$C:$C,AO$3,'(勿動)單價表'!$E:$E,AO$4)+IF(AO$2="社會",SUMIFS('(勿動)單價表'!$L:$L,'(勿動)單價表'!$B:$B,"社會(南億)",'(勿動)單價表'!$C:$C,AO$3,'(勿動)單價表'!$E:$E,AO$4),0)</f>
        <v>40</v>
      </c>
      <c r="AP8" s="183">
        <f>SUMIFS('(勿動)單價表'!$L:$L,'(勿動)單價表'!$B:$B,IF(AP$2="國中英語","英語",AP$2),'(勿動)單價表'!$C:$C,AP$3,'(勿動)單價表'!$E:$E,AP$4)+IF(AP$2="社會",SUMIFS('(勿動)單價表'!$L:$L,'(勿動)單價表'!$B:$B,"社會(南億)",'(勿動)單價表'!$C:$C,AP$3,'(勿動)單價表'!$E:$E,AP$4),0)</f>
        <v>147</v>
      </c>
      <c r="AQ8" s="183">
        <f>SUMIFS('(勿動)單價表'!$L:$L,'(勿動)單價表'!$B:$B,IF(AQ$2="國中英語","英語",AQ$2),'(勿動)單價表'!$C:$C,AQ$3,'(勿動)單價表'!$E:$E,AQ$4)+IF(AQ$2="社會",SUMIFS('(勿動)單價表'!$L:$L,'(勿動)單價表'!$B:$B,"社會(南億)",'(勿動)單價表'!$C:$C,AQ$3,'(勿動)單價表'!$E:$E,AQ$4),0)</f>
        <v>57</v>
      </c>
      <c r="AR8" s="183">
        <f>SUMIFS('(勿動)單價表'!$L:$L,'(勿動)單價表'!$B:$B,IF(AR$2="國中英語","英語",AR$2),'(勿動)單價表'!$C:$C,AR$3,'(勿動)單價表'!$E:$E,AR$4)+IF(AR$2="社會",SUMIFS('(勿動)單價表'!$L:$L,'(勿動)單價表'!$B:$B,"社會(南億)",'(勿動)單價表'!$C:$C,AR$3,'(勿動)單價表'!$E:$E,AR$4),0)</f>
        <v>123</v>
      </c>
      <c r="AS8" s="183">
        <f>SUMIFS('(勿動)單價表'!$L:$L,'(勿動)單價表'!$B:$B,IF(AS$2="國中英語","英語",AS$2),'(勿動)單價表'!$C:$C,AS$3,'(勿動)單價表'!$E:$E,AS$4)+IF(AS$2="社會",SUMIFS('(勿動)單價表'!$L:$L,'(勿動)單價表'!$B:$B,"社會(南億)",'(勿動)單價表'!$C:$C,AS$3,'(勿動)單價表'!$E:$E,AS$4),0)</f>
        <v>49</v>
      </c>
      <c r="AT8" s="183">
        <f>SUMIFS('(勿動)單價表'!$L:$L,'(勿動)單價表'!$B:$B,IF(AT$2="國中英語","英語",AT$2),'(勿動)單價表'!$C:$C,AT$3,'(勿動)單價表'!$E:$E,AT$4)+IF(AT$2="社會",SUMIFS('(勿動)單價表'!$L:$L,'(勿動)單價表'!$B:$B,"社會(南億)",'(勿動)單價表'!$C:$C,AT$3,'(勿動)單價表'!$E:$E,AT$4),0)</f>
        <v>141</v>
      </c>
      <c r="AU8" s="183">
        <f>SUMIFS('(勿動)單價表'!$L:$L,'(勿動)單價表'!$B:$B,IF(AU$2="國中英語","英語",AU$2),'(勿動)單價表'!$C:$C,AU$3,'(勿動)單價表'!$E:$E,AU$4)+IF(AU$2="社會",SUMIFS('(勿動)單價表'!$L:$L,'(勿動)單價表'!$B:$B,"社會(南億)",'(勿動)單價表'!$C:$C,AU$3,'(勿動)單價表'!$E:$E,AU$4),0)</f>
        <v>76</v>
      </c>
      <c r="AV8" s="183">
        <f>SUMIFS('(勿動)單價表'!$L:$L,'(勿動)單價表'!$B:$B,IF(AV$2="國中英語","英語",AV$2),'(勿動)單價表'!$C:$C,AV$3,'(勿動)單價表'!$E:$E,AV$4)+IF(AV$2="社會",SUMIFS('(勿動)單價表'!$L:$L,'(勿動)單價表'!$B:$B,"社會(南億)",'(勿動)單價表'!$C:$C,AV$3,'(勿動)單價表'!$E:$E,AV$4),0)</f>
        <v>0</v>
      </c>
      <c r="AW8" s="183">
        <f>SUMIFS('(勿動)單價表'!$L:$L,'(勿動)單價表'!$B:$B,"科技",'(勿動)單價表'!$C:$C,AW$3,'(勿動)單價表'!$E:$E,AW$4)</f>
        <v>0</v>
      </c>
      <c r="AX8" s="183">
        <f>SUMIFS('(勿動)單價表'!$L:$L,'(勿動)單價表'!$B:$B,"科技",'(勿動)單價表'!$C:$C,AX$3,'(勿動)單價表'!$E:$E,AX$4)</f>
        <v>0</v>
      </c>
      <c r="AY8" s="183">
        <f>SUMIFS('(勿動)單價表'!$L:$L,'(勿動)單價表'!$B:$B,"科技2",'(勿動)單價表'!$C:$C,AY$3,'(勿動)單價表'!$E:$E,AY$4)</f>
        <v>215</v>
      </c>
      <c r="AZ8" s="183">
        <f>SUMIFS('(勿動)單價表'!$L:$L,'(勿動)單價表'!$B:$B,"科技2",'(勿動)單價表'!$C:$C,AZ$3,'(勿動)單價表'!$E:$E,AZ$4)</f>
        <v>40</v>
      </c>
    </row>
    <row r="9" spans="1:59" x14ac:dyDescent="0.25">
      <c r="A9" s="7" t="s">
        <v>46</v>
      </c>
      <c r="B9" s="183">
        <f>SUMIFS('(勿動)單價表'!$O:$O,'(勿動)單價表'!$B:$B,IF(B$2="國中英語","英語",B$2),'(勿動)單價表'!$C:$C,B$3,'(勿動)單價表'!$E:$E,B$4)+IF(B$2="社會",SUMIFS('(勿動)單價表'!$O:$O,'(勿動)單價表'!$B:$B,"社會(南億)",'(勿動)單價表'!$C:$C,B$3,'(勿動)單價表'!$E:$E,B$4),0)</f>
        <v>0</v>
      </c>
      <c r="C9" s="183">
        <f>SUMIFS('(勿動)單價表'!$O:$O,'(勿動)單價表'!$B:$B,IF(C$2="國中英語","英語",C$2),'(勿動)單價表'!$C:$C,C$3,'(勿動)單價表'!$E:$E,C$4)+IF(C$2="社會",SUMIFS('(勿動)單價表'!$O:$O,'(勿動)單價表'!$B:$B,"社會(南億)",'(勿動)單價表'!$C:$C,C$3,'(勿動)單價表'!$E:$E,C$4),0)</f>
        <v>0</v>
      </c>
      <c r="D9" s="183">
        <f>SUMIFS('(勿動)單價表'!$O:$O,'(勿動)單價表'!$B:$B,IF(D$2="國中英語","英語",D$2),'(勿動)單價表'!$C:$C,D$3,'(勿動)單價表'!$E:$E,D$4)+IF(D$2="社會",SUMIFS('(勿動)單價表'!$O:$O,'(勿動)單價表'!$B:$B,"社會(南億)",'(勿動)單價表'!$C:$C,D$3,'(勿動)單價表'!$E:$E,D$4),0)</f>
        <v>0</v>
      </c>
      <c r="E9" s="183">
        <f>SUMIFS('(勿動)單價表'!$O:$O,'(勿動)單價表'!$B:$B,IF(E$2="國中英語","英語",E$2),'(勿動)單價表'!$C:$C,E$3,'(勿動)單價表'!$E:$E,E$4)+IF(E$2="社會",SUMIFS('(勿動)單價表'!$O:$O,'(勿動)單價表'!$B:$B,"社會(南億)",'(勿動)單價表'!$C:$C,E$3,'(勿動)單價表'!$E:$E,E$4),0)</f>
        <v>0</v>
      </c>
      <c r="F9" s="183">
        <f>SUMIFS('(勿動)單價表'!$O:$O,'(勿動)單價表'!$B:$B,IF(F$2="國中英語","英語",F$2),'(勿動)單價表'!$C:$C,F$3,'(勿動)單價表'!$E:$E,F$4)+IF(F$2="社會",SUMIFS('(勿動)單價表'!$O:$O,'(勿動)單價表'!$B:$B,"社會(南億)",'(勿動)單價表'!$C:$C,F$3,'(勿動)單價表'!$E:$E,F$4),0)</f>
        <v>0</v>
      </c>
      <c r="G9" s="183">
        <f>SUMIFS('(勿動)單價表'!$O:$O,'(勿動)單價表'!$B:$B,IF(G$2="國中英語","英語",G$2),'(勿動)單價表'!$C:$C,G$3,'(勿動)單價表'!$E:$E,G$4)+IF(G$2="社會",SUMIFS('(勿動)單價表'!$O:$O,'(勿動)單價表'!$B:$B,"社會(南億)",'(勿動)單價表'!$C:$C,G$3,'(勿動)單價表'!$E:$E,G$4),0)</f>
        <v>0</v>
      </c>
      <c r="H9" s="183">
        <f>SUMIFS('(勿動)單價表'!$O:$O,'(勿動)單價表'!$B:$B,IF(H$2="國中英語","英語",H$2),'(勿動)單價表'!$C:$C,H$3,'(勿動)單價表'!$E:$E,H$4)+IF(H$2="社會",SUMIFS('(勿動)單價表'!$O:$O,'(勿動)單價表'!$B:$B,"社會(南億)",'(勿動)單價表'!$C:$C,H$3,'(勿動)單價表'!$E:$E,H$4),0)</f>
        <v>0</v>
      </c>
      <c r="I9" s="183">
        <f>SUMIFS('(勿動)單價表'!$O:$O,'(勿動)單價表'!$B:$B,IF(I$2="國中英語","英語",I$2),'(勿動)單價表'!$C:$C,I$3,'(勿動)單價表'!$E:$E,I$4)+IF(I$2="社會",SUMIFS('(勿動)單價表'!$O:$O,'(勿動)單價表'!$B:$B,"社會(南億)",'(勿動)單價表'!$C:$C,I$3,'(勿動)單價表'!$E:$E,I$4),0)</f>
        <v>0</v>
      </c>
      <c r="J9" s="183">
        <f>SUMIFS('(勿動)單價表'!$O:$O,'(勿動)單價表'!$B:$B,IF(J$2="國中英語","英語",J$2),'(勿動)單價表'!$C:$C,J$3,'(勿動)單價表'!$E:$E,J$4)+IF(J$2="社會",SUMIFS('(勿動)單價表'!$O:$O,'(勿動)單價表'!$B:$B,"社會(南億)",'(勿動)單價表'!$C:$C,J$3,'(勿動)單價表'!$E:$E,J$4),0)</f>
        <v>0</v>
      </c>
      <c r="K9" s="183">
        <f>SUMIFS('(勿動)單價表'!$O:$O,'(勿動)單價表'!$B:$B,IF(K$2="國中英語","英語",K$2),'(勿動)單價表'!$C:$C,K$3,'(勿動)單價表'!$E:$E,K$4)+IF(K$2="社會",SUMIFS('(勿動)單價表'!$O:$O,'(勿動)單價表'!$B:$B,"社會(南億)",'(勿動)單價表'!$C:$C,K$3,'(勿動)單價表'!$E:$E,K$4),0)</f>
        <v>0</v>
      </c>
      <c r="L9" s="183">
        <f>SUMIFS('(勿動)單價表'!$O:$O,'(勿動)單價表'!$B:$B,IF(L$2="國中英語","英語",L$2),'(勿動)單價表'!$C:$C,L$3,'(勿動)單價表'!$E:$E,L$4)+IF(L$2="社會",SUMIFS('(勿動)單價表'!$O:$O,'(勿動)單價表'!$B:$B,"社會(南億)",'(勿動)單價表'!$C:$C,L$3,'(勿動)單價表'!$E:$E,L$4),0)</f>
        <v>174</v>
      </c>
      <c r="M9" s="183">
        <f>SUMIFS('(勿動)單價表'!$O:$O,'(勿動)單價表'!$B:$B,IF(M$2="國中英語","英語",M$2),'(勿動)單價表'!$C:$C,M$3,'(勿動)單價表'!$E:$E,M$4)+IF(M$2="社會",SUMIFS('(勿動)單價表'!$O:$O,'(勿動)單價表'!$B:$B,"社會(南億)",'(勿動)單價表'!$C:$C,M$3,'(勿動)單價表'!$E:$E,M$4),0)</f>
        <v>0</v>
      </c>
      <c r="N9" s="183">
        <f>SUMIFS('(勿動)單價表'!$O:$O,'(勿動)單價表'!$B:$B,IF(N$2="國中英語","英語",N$2),'(勿動)單價表'!$C:$C,N$3,'(勿動)單價表'!$E:$E,N$4)+IF(N$2="社會",SUMIFS('(勿動)單價表'!$O:$O,'(勿動)單價表'!$B:$B,"社會(南億)",'(勿動)單價表'!$C:$C,N$3,'(勿動)單價表'!$E:$E,N$4),0)</f>
        <v>179</v>
      </c>
      <c r="O9" s="183">
        <f>SUMIFS('(勿動)單價表'!$O:$O,'(勿動)單價表'!$B:$B,"科技",'(勿動)單價表'!$C:$C,O$3,'(勿動)單價表'!$E:$E,O$4)</f>
        <v>0</v>
      </c>
      <c r="P9" s="183">
        <f>SUMIFS('(勿動)單價表'!$O:$O,'(勿動)單價表'!$B:$B,"科技",'(勿動)單價表'!$C:$C,P$3,'(勿動)單價表'!$E:$E,P$4)</f>
        <v>0</v>
      </c>
      <c r="Q9" s="183">
        <f>SUMIFS('(勿動)單價表'!$O:$O,'(勿動)單價表'!$B:$B,"科技2",'(勿動)單價表'!$C:$C,Q$3,'(勿動)單價表'!$E:$E,Q$4)</f>
        <v>0</v>
      </c>
      <c r="R9" s="183">
        <f>SUMIFS('(勿動)單價表'!$O:$O,'(勿動)單價表'!$B:$B,"科技2",'(勿動)單價表'!$C:$C,R$3,'(勿動)單價表'!$E:$E,R$4)</f>
        <v>0</v>
      </c>
      <c r="S9" s="183">
        <f>SUMIFS('(勿動)單價表'!$O:$O,'(勿動)單價表'!$B:$B,IF(S$2="國中英語","英語",S$2),'(勿動)單價表'!$C:$C,S$3,'(勿動)單價表'!$E:$E,S$4)+IF(S$2="社會",SUMIFS('(勿動)單價表'!$O:$O,'(勿動)單價表'!$B:$B,"社會(南億)",'(勿動)單價表'!$C:$C,S$3,'(勿動)單價表'!$E:$E,S$4),0)</f>
        <v>0</v>
      </c>
      <c r="T9" s="183">
        <f>SUMIFS('(勿動)單價表'!$O:$O,'(勿動)單價表'!$B:$B,IF(T$2="國中英語","英語",T$2),'(勿動)單價表'!$C:$C,T$3,'(勿動)單價表'!$E:$E,T$4)+IF(T$2="社會",SUMIFS('(勿動)單價表'!$O:$O,'(勿動)單價表'!$B:$B,"社會(南億)",'(勿動)單價表'!$C:$C,T$3,'(勿動)單價表'!$E:$E,T$4),0)</f>
        <v>0</v>
      </c>
      <c r="U9" s="183">
        <f>SUMIFS('(勿動)單價表'!$O:$O,'(勿動)單價表'!$B:$B,IF(U$2="國中英語","英語",U$2),'(勿動)單價表'!$C:$C,U$3,'(勿動)單價表'!$E:$E,U$4)+IF(U$2="社會",SUMIFS('(勿動)單價表'!$O:$O,'(勿動)單價表'!$B:$B,"社會(南億)",'(勿動)單價表'!$C:$C,U$3,'(勿動)單價表'!$E:$E,U$4),0)</f>
        <v>0</v>
      </c>
      <c r="V9" s="183">
        <f>SUMIFS('(勿動)單價表'!$O:$O,'(勿動)單價表'!$B:$B,IF(V$2="國中英語","英語",V$2),'(勿動)單價表'!$C:$C,V$3,'(勿動)單價表'!$E:$E,V$4)+IF(V$2="社會",SUMIFS('(勿動)單價表'!$O:$O,'(勿動)單價表'!$B:$B,"社會(南億)",'(勿動)單價表'!$C:$C,V$3,'(勿動)單價表'!$E:$E,V$4),0)</f>
        <v>0</v>
      </c>
      <c r="W9" s="183">
        <f>SUMIFS('(勿動)單價表'!$O:$O,'(勿動)單價表'!$B:$B,IF(W$2="國中英語","英語",W$2),'(勿動)單價表'!$C:$C,W$3,'(勿動)單價表'!$E:$E,W$4)+IF(W$2="社會",SUMIFS('(勿動)單價表'!$O:$O,'(勿動)單價表'!$B:$B,"社會(南億)",'(勿動)單價表'!$C:$C,W$3,'(勿動)單價表'!$E:$E,W$4),0)</f>
        <v>0</v>
      </c>
      <c r="X9" s="183">
        <f>SUMIFS('(勿動)單價表'!$O:$O,'(勿動)單價表'!$B:$B,IF(X$2="國中英語","英語",X$2),'(勿動)單價表'!$C:$C,X$3,'(勿動)單價表'!$E:$E,X$4)+IF(X$2="社會",SUMIFS('(勿動)單價表'!$O:$O,'(勿動)單價表'!$B:$B,"社會(南億)",'(勿動)單價表'!$C:$C,X$3,'(勿動)單價表'!$E:$E,X$4),0)</f>
        <v>0</v>
      </c>
      <c r="Y9" s="183">
        <f>SUMIFS('(勿動)單價表'!$O:$O,'(勿動)單價表'!$B:$B,IF(Y$2="國中英語","英語",Y$2),'(勿動)單價表'!$C:$C,Y$3,'(勿動)單價表'!$E:$E,Y$4)+IF(Y$2="社會",SUMIFS('(勿動)單價表'!$O:$O,'(勿動)單價表'!$B:$B,"社會(南億)",'(勿動)單價表'!$C:$C,Y$3,'(勿動)單價表'!$E:$E,Y$4),0)</f>
        <v>0</v>
      </c>
      <c r="Z9" s="183">
        <f>SUMIFS('(勿動)單價表'!$O:$O,'(勿動)單價表'!$B:$B,IF(Z$2="國中英語","英語",Z$2),'(勿動)單價表'!$C:$C,Z$3,'(勿動)單價表'!$E:$E,Z$4)+IF(Z$2="社會",SUMIFS('(勿動)單價表'!$O:$O,'(勿動)單價表'!$B:$B,"社會(南億)",'(勿動)單價表'!$C:$C,Z$3,'(勿動)單價表'!$E:$E,Z$4),0)</f>
        <v>0</v>
      </c>
      <c r="AA9" s="183">
        <f>SUMIFS('(勿動)單價表'!$O:$O,'(勿動)單價表'!$B:$B,IF(AA$2="國中英語","英語",AA$2),'(勿動)單價表'!$C:$C,AA$3,'(勿動)單價表'!$E:$E,AA$4)+IF(AA$2="社會",SUMIFS('(勿動)單價表'!$O:$O,'(勿動)單價表'!$B:$B,"社會(南億)",'(勿動)單價表'!$C:$C,AA$3,'(勿動)單價表'!$E:$E,AA$4),0)</f>
        <v>0</v>
      </c>
      <c r="AB9" s="183">
        <f>SUMIFS('(勿動)單價表'!$O:$O,'(勿動)單價表'!$B:$B,IF(AB$2="國中英語","英語",AB$2),'(勿動)單價表'!$C:$C,AB$3,'(勿動)單價表'!$E:$E,AB$4)+IF(AB$2="社會",SUMIFS('(勿動)單價表'!$O:$O,'(勿動)單價表'!$B:$B,"社會(南億)",'(勿動)單價表'!$C:$C,AB$3,'(勿動)單價表'!$E:$E,AB$4),0)</f>
        <v>0</v>
      </c>
      <c r="AC9" s="183">
        <f>SUMIFS('(勿動)單價表'!$O:$O,'(勿動)單價表'!$B:$B,IF(AC$2="國中英語","英語",AC$2),'(勿動)單價表'!$C:$C,AC$3,'(勿動)單價表'!$E:$E,AC$4)+IF(AC$2="社會",SUMIFS('(勿動)單價表'!$O:$O,'(勿動)單價表'!$B:$B,"社會(南億)",'(勿動)單價表'!$C:$C,AC$3,'(勿動)單價表'!$E:$E,AC$4),0)</f>
        <v>174</v>
      </c>
      <c r="AD9" s="183">
        <f>SUMIFS('(勿動)單價表'!$O:$O,'(勿動)單價表'!$B:$B,IF(AD$2="國中英語","英語",AD$2),'(勿動)單價表'!$C:$C,AD$3,'(勿動)單價表'!$E:$E,AD$4)+IF(AD$2="社會",SUMIFS('(勿動)單價表'!$O:$O,'(勿動)單價表'!$B:$B,"社會(南億)",'(勿動)單價表'!$C:$C,AD$3,'(勿動)單價表'!$E:$E,AD$4),0)</f>
        <v>0</v>
      </c>
      <c r="AE9" s="183">
        <f>SUMIFS('(勿動)單價表'!$O:$O,'(勿動)單價表'!$B:$B,IF(AE$2="國中英語","英語",AE$2),'(勿動)單價表'!$C:$C,AE$3,'(勿動)單價表'!$E:$E,AE$4)+IF(AE$2="社會",SUMIFS('(勿動)單價表'!$O:$O,'(勿動)單價表'!$B:$B,"社會(南億)",'(勿動)單價表'!$C:$C,AE$3,'(勿動)單價表'!$E:$E,AE$4),0)</f>
        <v>186</v>
      </c>
      <c r="AF9" s="183">
        <f>SUMIFS('(勿動)單價表'!$O:$O,'(勿動)單價表'!$B:$B,"科技",'(勿動)單價表'!$C:$C,AF$3,'(勿動)單價表'!$E:$E,AF$4)</f>
        <v>0</v>
      </c>
      <c r="AG9" s="183">
        <f>SUMIFS('(勿動)單價表'!$O:$O,'(勿動)單價表'!$B:$B,"科技",'(勿動)單價表'!$C:$C,AG$3,'(勿動)單價表'!$E:$E,AG$4)</f>
        <v>0</v>
      </c>
      <c r="AH9" s="183">
        <f>SUMIFS('(勿動)單價表'!$O:$O,'(勿動)單價表'!$B:$B,"科技2",'(勿動)單價表'!$C:$C,AH$3,'(勿動)單價表'!$E:$E,AH$4)</f>
        <v>0</v>
      </c>
      <c r="AI9" s="183">
        <f>SUMIFS('(勿動)單價表'!$O:$O,'(勿動)單價表'!$B:$B,"科技2",'(勿動)單價表'!$C:$C,AI$3,'(勿動)單價表'!$E:$E,AI$4)</f>
        <v>0</v>
      </c>
      <c r="AJ9" s="183">
        <f>SUMIFS('(勿動)單價表'!$O:$O,'(勿動)單價表'!$B:$B,IF(AJ$2="國中英語","英語",AJ$2),'(勿動)單價表'!$C:$C,AJ$3,'(勿動)單價表'!$E:$E,AJ$4)+IF(AJ$2="社會",SUMIFS('(勿動)單價表'!$O:$O,'(勿動)單價表'!$B:$B,"社會(南億)",'(勿動)單價表'!$C:$C,AJ$3,'(勿動)單價表'!$E:$E,AJ$4),0)</f>
        <v>0</v>
      </c>
      <c r="AK9" s="183">
        <f>SUMIFS('(勿動)單價表'!$O:$O,'(勿動)單價表'!$B:$B,IF(AK$2="國中英語","英語",AK$2),'(勿動)單價表'!$C:$C,AK$3,'(勿動)單價表'!$E:$E,AK$4)+IF(AK$2="社會",SUMIFS('(勿動)單價表'!$O:$O,'(勿動)單價表'!$B:$B,"社會(南億)",'(勿動)單價表'!$C:$C,AK$3,'(勿動)單價表'!$E:$E,AK$4),0)</f>
        <v>0</v>
      </c>
      <c r="AL9" s="183">
        <f>SUMIFS('(勿動)單價表'!$O:$O,'(勿動)單價表'!$B:$B,IF(AL$2="國中英語","英語",AL$2),'(勿動)單價表'!$C:$C,AL$3,'(勿動)單價表'!$E:$E,AL$4)+IF(AL$2="社會",SUMIFS('(勿動)單價表'!$O:$O,'(勿動)單價表'!$B:$B,"社會(南億)",'(勿動)單價表'!$C:$C,AL$3,'(勿動)單價表'!$E:$E,AL$4),0)</f>
        <v>0</v>
      </c>
      <c r="AM9" s="183">
        <f>SUMIFS('(勿動)單價表'!$O:$O,'(勿動)單價表'!$B:$B,IF(AM$2="國中英語","英語",AM$2),'(勿動)單價表'!$C:$C,AM$3,'(勿動)單價表'!$E:$E,AM$4)+IF(AM$2="社會",SUMIFS('(勿動)單價表'!$O:$O,'(勿動)單價表'!$B:$B,"社會(南億)",'(勿動)單價表'!$C:$C,AM$3,'(勿動)單價表'!$E:$E,AM$4),0)</f>
        <v>0</v>
      </c>
      <c r="AN9" s="183">
        <f>SUMIFS('(勿動)單價表'!$O:$O,'(勿動)單價表'!$B:$B,IF(AN$2="國中英語","英語",AN$2),'(勿動)單價表'!$C:$C,AN$3,'(勿動)單價表'!$E:$E,AN$4)+IF(AN$2="社會",SUMIFS('(勿動)單價表'!$O:$O,'(勿動)單價表'!$B:$B,"社會(南億)",'(勿動)單價表'!$C:$C,AN$3,'(勿動)單價表'!$E:$E,AN$4),0)</f>
        <v>0</v>
      </c>
      <c r="AO9" s="183">
        <f>SUMIFS('(勿動)單價表'!$O:$O,'(勿動)單價表'!$B:$B,IF(AO$2="國中英語","英語",AO$2),'(勿動)單價表'!$C:$C,AO$3,'(勿動)單價表'!$E:$E,AO$4)+IF(AO$2="社會",SUMIFS('(勿動)單價表'!$O:$O,'(勿動)單價表'!$B:$B,"社會(南億)",'(勿動)單價表'!$C:$C,AO$3,'(勿動)單價表'!$E:$E,AO$4),0)</f>
        <v>0</v>
      </c>
      <c r="AP9" s="183">
        <f>SUMIFS('(勿動)單價表'!$O:$O,'(勿動)單價表'!$B:$B,IF(AP$2="國中英語","英語",AP$2),'(勿動)單價表'!$C:$C,AP$3,'(勿動)單價表'!$E:$E,AP$4)+IF(AP$2="社會",SUMIFS('(勿動)單價表'!$O:$O,'(勿動)單價表'!$B:$B,"社會(南億)",'(勿動)單價表'!$C:$C,AP$3,'(勿動)單價表'!$E:$E,AP$4),0)</f>
        <v>0</v>
      </c>
      <c r="AQ9" s="183">
        <f>SUMIFS('(勿動)單價表'!$O:$O,'(勿動)單價表'!$B:$B,IF(AQ$2="國中英語","英語",AQ$2),'(勿動)單價表'!$C:$C,AQ$3,'(勿動)單價表'!$E:$E,AQ$4)+IF(AQ$2="社會",SUMIFS('(勿動)單價表'!$O:$O,'(勿動)單價表'!$B:$B,"社會(南億)",'(勿動)單價表'!$C:$C,AQ$3,'(勿動)單價表'!$E:$E,AQ$4),0)</f>
        <v>0</v>
      </c>
      <c r="AR9" s="183">
        <f>SUMIFS('(勿動)單價表'!$O:$O,'(勿動)單價表'!$B:$B,IF(AR$2="國中英語","英語",AR$2),'(勿動)單價表'!$C:$C,AR$3,'(勿動)單價表'!$E:$E,AR$4)+IF(AR$2="社會",SUMIFS('(勿動)單價表'!$O:$O,'(勿動)單價表'!$B:$B,"社會(南億)",'(勿動)單價表'!$C:$C,AR$3,'(勿動)單價表'!$E:$E,AR$4),0)</f>
        <v>0</v>
      </c>
      <c r="AS9" s="183">
        <f>SUMIFS('(勿動)單價表'!$O:$O,'(勿動)單價表'!$B:$B,IF(AS$2="國中英語","英語",AS$2),'(勿動)單價表'!$C:$C,AS$3,'(勿動)單價表'!$E:$E,AS$4)+IF(AS$2="社會",SUMIFS('(勿動)單價表'!$O:$O,'(勿動)單價表'!$B:$B,"社會(南億)",'(勿動)單價表'!$C:$C,AS$3,'(勿動)單價表'!$E:$E,AS$4),0)</f>
        <v>0</v>
      </c>
      <c r="AT9" s="183">
        <f>SUMIFS('(勿動)單價表'!$O:$O,'(勿動)單價表'!$B:$B,IF(AT$2="國中英語","英語",AT$2),'(勿動)單價表'!$C:$C,AT$3,'(勿動)單價表'!$E:$E,AT$4)+IF(AT$2="社會",SUMIFS('(勿動)單價表'!$O:$O,'(勿動)單價表'!$B:$B,"社會(南億)",'(勿動)單價表'!$C:$C,AT$3,'(勿動)單價表'!$E:$E,AT$4),0)</f>
        <v>168</v>
      </c>
      <c r="AU9" s="183">
        <f>SUMIFS('(勿動)單價表'!$O:$O,'(勿動)單價表'!$B:$B,IF(AU$2="國中英語","英語",AU$2),'(勿動)單價表'!$C:$C,AU$3,'(勿動)單價表'!$E:$E,AU$4)+IF(AU$2="社會",SUMIFS('(勿動)單價表'!$O:$O,'(勿動)單價表'!$B:$B,"社會(南億)",'(勿動)單價表'!$C:$C,AU$3,'(勿動)單價表'!$E:$E,AU$4),0)</f>
        <v>0</v>
      </c>
      <c r="AV9" s="183">
        <f>SUMIFS('(勿動)單價表'!$O:$O,'(勿動)單價表'!$B:$B,IF(AV$2="國中英語","英語",AV$2),'(勿動)單價表'!$C:$C,AV$3,'(勿動)單價表'!$E:$E,AV$4)+IF(AV$2="社會",SUMIFS('(勿動)單價表'!$O:$O,'(勿動)單價表'!$B:$B,"社會(南億)",'(勿動)單價表'!$C:$C,AV$3,'(勿動)單價表'!$E:$E,AV$4),0)</f>
        <v>192</v>
      </c>
      <c r="AW9" s="183">
        <f>SUMIFS('(勿動)單價表'!$O:$O,'(勿動)單價表'!$B:$B,"科技",'(勿動)單價表'!$C:$C,AW$3,'(勿動)單價表'!$E:$E,AW$4)</f>
        <v>0</v>
      </c>
      <c r="AX9" s="183">
        <f>SUMIFS('(勿動)單價表'!$O:$O,'(勿動)單價表'!$B:$B,"科技",'(勿動)單價表'!$C:$C,AX$3,'(勿動)單價表'!$E:$E,AX$4)</f>
        <v>0</v>
      </c>
      <c r="AY9" s="183">
        <f>SUMIFS('(勿動)單價表'!$O:$O,'(勿動)單價表'!$B:$B,"科技2",'(勿動)單價表'!$C:$C,AY$3,'(勿動)單價表'!$E:$E,AY$4)</f>
        <v>0</v>
      </c>
      <c r="AZ9" s="183">
        <f>SUMIFS('(勿動)單價表'!$O:$O,'(勿動)單價表'!$B:$B,"科技2",'(勿動)單價表'!$C:$C,AZ$3,'(勿動)單價表'!$E:$E,AZ$4)</f>
        <v>0</v>
      </c>
    </row>
    <row r="10" spans="1:59" x14ac:dyDescent="0.25">
      <c r="A10" s="7" t="s">
        <v>47</v>
      </c>
      <c r="B10" s="183">
        <f>SUMIFS('(勿動)單價表'!$R:$R,'(勿動)單價表'!$B:$B,IF(B$2="國中英語","英語",B$2),'(勿動)單價表'!$C:$C,B$3,'(勿動)單價表'!$E:$E,B$4)+IF(B$2="社會",SUMIFS('(勿動)單價表'!$R:$R,'(勿動)單價表'!$B:$B,"社會(南億)",'(勿動)單價表'!$C:$C,B$3,'(勿動)單價表'!$E:$E,B$4),0)</f>
        <v>0</v>
      </c>
      <c r="C10" s="183">
        <f>SUMIFS('(勿動)單價表'!$R:$R,'(勿動)單價表'!$B:$B,IF(C$2="國中英語","英語",C$2),'(勿動)單價表'!$C:$C,C$3,'(勿動)單價表'!$E:$E,C$4)+IF(C$2="社會",SUMIFS('(勿動)單價表'!$R:$R,'(勿動)單價表'!$B:$B,"社會(南億)",'(勿動)單價表'!$C:$C,C$3,'(勿動)單價表'!$E:$E,C$4),0)</f>
        <v>0</v>
      </c>
      <c r="D10" s="183">
        <f>SUMIFS('(勿動)單價表'!$R:$R,'(勿動)單價表'!$B:$B,IF(D$2="國中英語","英語",D$2),'(勿動)單價表'!$C:$C,D$3,'(勿動)單價表'!$E:$E,D$4)+IF(D$2="社會",SUMIFS('(勿動)單價表'!$R:$R,'(勿動)單價表'!$B:$B,"社會(南億)",'(勿動)單價表'!$C:$C,D$3,'(勿動)單價表'!$E:$E,D$4),0)</f>
        <v>0</v>
      </c>
      <c r="E10" s="183">
        <f>SUMIFS('(勿動)單價表'!$R:$R,'(勿動)單價表'!$B:$B,IF(E$2="國中英語","英語",E$2),'(勿動)單價表'!$C:$C,E$3,'(勿動)單價表'!$E:$E,E$4)+IF(E$2="社會",SUMIFS('(勿動)單價表'!$R:$R,'(勿動)單價表'!$B:$B,"社會(南億)",'(勿動)單價表'!$C:$C,E$3,'(勿動)單價表'!$E:$E,E$4),0)</f>
        <v>0</v>
      </c>
      <c r="F10" s="183">
        <f>SUMIFS('(勿動)單價表'!$R:$R,'(勿動)單價表'!$B:$B,IF(F$2="國中英語","英語",F$2),'(勿動)單價表'!$C:$C,F$3,'(勿動)單價表'!$E:$E,F$4)+IF(F$2="社會",SUMIFS('(勿動)單價表'!$R:$R,'(勿動)單價表'!$B:$B,"社會(南億)",'(勿動)單價表'!$C:$C,F$3,'(勿動)單價表'!$E:$E,F$4),0)</f>
        <v>0</v>
      </c>
      <c r="G10" s="183">
        <f>SUMIFS('(勿動)單價表'!$R:$R,'(勿動)單價表'!$B:$B,IF(G$2="國中英語","英語",G$2),'(勿動)單價表'!$C:$C,G$3,'(勿動)單價表'!$E:$E,G$4)+IF(G$2="社會",SUMIFS('(勿動)單價表'!$R:$R,'(勿動)單價表'!$B:$B,"社會(南億)",'(勿動)單價表'!$C:$C,G$3,'(勿動)單價表'!$E:$E,G$4),0)</f>
        <v>0</v>
      </c>
      <c r="H10">
        <f>SUMIFS('(勿動)單價表'!$R:$R,'(勿動)單價表'!$B:$B,IF(H$2="國中英語","英語",H$2),'(勿動)單價表'!$C:$C,H$3,'(勿動)單價表'!$E:$E,H$4)+IF(H$2="社會",SUMIFS('(勿動)單價表'!$R:$R,'(勿動)單價表'!$B:$B,"社會(南億)",'(勿動)單價表'!$C:$C,H$3,'(勿動)單價表'!$E:$E,H$4),0)</f>
        <v>0</v>
      </c>
      <c r="I10">
        <f>SUMIFS('(勿動)單價表'!$R:$R,'(勿動)單價表'!$B:$B,IF(I$2="國中英語","英語",I$2),'(勿動)單價表'!$C:$C,I$3,'(勿動)單價表'!$E:$E,I$4)+IF(I$2="社會",SUMIFS('(勿動)單價表'!$R:$R,'(勿動)單價表'!$B:$B,"社會(南億)",'(勿動)單價表'!$C:$C,I$3,'(勿動)單價表'!$E:$E,I$4),0)</f>
        <v>0</v>
      </c>
      <c r="J10" s="183">
        <f>SUMIFS('(勿動)單價表'!$R:$R,'(勿動)單價表'!$B:$B,IF(J$2="國中英語","英語",J$2),'(勿動)單價表'!$C:$C,J$3,'(勿動)單價表'!$E:$E,J$4)+IF(J$2="社會",SUMIFS('(勿動)單價表'!$R:$R,'(勿動)單價表'!$B:$B,"社會(南億)",'(勿動)單價表'!$C:$C,J$3,'(勿動)單價表'!$E:$E,J$4),0)</f>
        <v>0</v>
      </c>
      <c r="K10" s="183">
        <f>SUMIFS('(勿動)單價表'!$R:$R,'(勿動)單價表'!$B:$B,IF(K$2="國中英語","英語",K$2),'(勿動)單價表'!$C:$C,K$3,'(勿動)單價表'!$E:$E,K$4)+IF(K$2="社會",SUMIFS('(勿動)單價表'!$R:$R,'(勿動)單價表'!$B:$B,"社會(南億)",'(勿動)單價表'!$C:$C,K$3,'(勿動)單價表'!$E:$E,K$4),0)</f>
        <v>0</v>
      </c>
      <c r="L10" s="183">
        <f>SUMIFS('(勿動)單價表'!$R:$R,'(勿動)單價表'!$B:$B,IF(L$2="國中英語","英語",L$2),'(勿動)單價表'!$C:$C,L$3,'(勿動)單價表'!$E:$E,L$4)+IF(L$2="社會",SUMIFS('(勿動)單價表'!$R:$R,'(勿動)單價表'!$B:$B,"社會(南億)",'(勿動)單價表'!$C:$C,L$3,'(勿動)單價表'!$E:$E,L$4),0)</f>
        <v>0</v>
      </c>
      <c r="M10" s="183">
        <f>SUMIFS('(勿動)單價表'!$R:$R,'(勿動)單價表'!$B:$B,IF(M$2="國中英語","英語",M$2),'(勿動)單價表'!$C:$C,M$3,'(勿動)單價表'!$E:$E,M$4)+IF(M$2="社會",SUMIFS('(勿動)單價表'!$R:$R,'(勿動)單價表'!$B:$B,"社會(南億)",'(勿動)單價表'!$C:$C,M$3,'(勿動)單價表'!$E:$E,M$4),0)</f>
        <v>0</v>
      </c>
      <c r="N10" s="183">
        <f>SUMIFS('(勿動)單價表'!$R:$R,'(勿動)單價表'!$B:$B,IF(N$2="國中英語","英語",N$2),'(勿動)單價表'!$C:$C,N$3,'(勿動)單價表'!$E:$E,N$4)+IF(N$2="社會",SUMIFS('(勿動)單價表'!$R:$R,'(勿動)單價表'!$B:$B,"社會(南億)",'(勿動)單價表'!$C:$C,N$3,'(勿動)單價表'!$E:$E,N$4),0)</f>
        <v>214</v>
      </c>
      <c r="O10" s="183">
        <f>SUMIFS('(勿動)單價表'!$R:$R,'(勿動)單價表'!$B:$B,"科技",'(勿動)單價表'!$C:$C,O$3,'(勿動)單價表'!$E:$E,O$4)</f>
        <v>133</v>
      </c>
      <c r="P10" s="183">
        <f>SUMIFS('(勿動)單價表'!$R:$R,'(勿動)單價表'!$B:$B,"科技",'(勿動)單價表'!$C:$C,P$3,'(勿動)單價表'!$E:$E,P$4)</f>
        <v>18</v>
      </c>
      <c r="Q10" s="183">
        <f>SUMIFS('(勿動)單價表'!$R:$R,'(勿動)單價表'!$B:$B,"科技2",'(勿動)單價表'!$C:$C,Q$3,'(勿動)單價表'!$E:$E,Q$4)</f>
        <v>135</v>
      </c>
      <c r="R10" s="183">
        <f>SUMIFS('(勿動)單價表'!$R:$R,'(勿動)單價表'!$B:$B,"科技2",'(勿動)單價表'!$C:$C,R$3,'(勿動)單價表'!$E:$E,R$4)</f>
        <v>51</v>
      </c>
      <c r="S10" s="183">
        <f>SUMIFS('(勿動)單價表'!$R:$R,'(勿動)單價表'!$B:$B,IF(S$2="國中英語","英語",S$2),'(勿動)單價表'!$C:$C,S$3,'(勿動)單價表'!$E:$E,S$4)+IF(S$2="社會",SUMIFS('(勿動)單價表'!$R:$R,'(勿動)單價表'!$B:$B,"社會(南億)",'(勿動)單價表'!$C:$C,S$3,'(勿動)單價表'!$E:$E,S$4),0)</f>
        <v>0</v>
      </c>
      <c r="T10" s="183">
        <f>SUMIFS('(勿動)單價表'!$R:$R,'(勿動)單價表'!$B:$B,IF(T$2="國中英語","英語",T$2),'(勿動)單價表'!$C:$C,T$3,'(勿動)單價表'!$E:$E,T$4)+IF(T$2="社會",SUMIFS('(勿動)單價表'!$R:$R,'(勿動)單價表'!$B:$B,"社會(南億)",'(勿動)單價表'!$C:$C,T$3,'(勿動)單價表'!$E:$E,T$4),0)</f>
        <v>0</v>
      </c>
      <c r="U10" s="183">
        <f>SUMIFS('(勿動)單價表'!$R:$R,'(勿動)單價表'!$B:$B,IF(U$2="國中英語","英語",U$2),'(勿動)單價表'!$C:$C,U$3,'(勿動)單價表'!$E:$E,U$4)+IF(U$2="社會",SUMIFS('(勿動)單價表'!$R:$R,'(勿動)單價表'!$B:$B,"社會(南億)",'(勿動)單價表'!$C:$C,U$3,'(勿動)單價表'!$E:$E,U$4),0)</f>
        <v>0</v>
      </c>
      <c r="V10" s="183">
        <f>SUMIFS('(勿動)單價表'!$R:$R,'(勿動)單價表'!$B:$B,IF(V$2="國中英語","英語",V$2),'(勿動)單價表'!$C:$C,V$3,'(勿動)單價表'!$E:$E,V$4)+IF(V$2="社會",SUMIFS('(勿動)單價表'!$R:$R,'(勿動)單價表'!$B:$B,"社會(南億)",'(勿動)單價表'!$C:$C,V$3,'(勿動)單價表'!$E:$E,V$4),0)</f>
        <v>0</v>
      </c>
      <c r="W10" s="183">
        <f>SUMIFS('(勿動)單價表'!$R:$R,'(勿動)單價表'!$B:$B,IF(W$2="國中英語","英語",W$2),'(勿動)單價表'!$C:$C,W$3,'(勿動)單價表'!$E:$E,W$4)+IF(W$2="社會",SUMIFS('(勿動)單價表'!$R:$R,'(勿動)單價表'!$B:$B,"社會(南億)",'(勿動)單價表'!$C:$C,W$3,'(勿動)單價表'!$E:$E,W$4),0)</f>
        <v>0</v>
      </c>
      <c r="X10" s="183">
        <f>SUMIFS('(勿動)單價表'!$R:$R,'(勿動)單價表'!$B:$B,IF(X$2="國中英語","英語",X$2),'(勿動)單價表'!$C:$C,X$3,'(勿動)單價表'!$E:$E,X$4)+IF(X$2="社會",SUMIFS('(勿動)單價表'!$R:$R,'(勿動)單價表'!$B:$B,"社會(南億)",'(勿動)單價表'!$C:$C,X$3,'(勿動)單價表'!$E:$E,X$4),0)</f>
        <v>0</v>
      </c>
      <c r="Y10">
        <f>SUMIFS('(勿動)單價表'!$R:$R,'(勿動)單價表'!$B:$B,IF(Y$2="國中英語","英語",Y$2),'(勿動)單價表'!$C:$C,Y$3,'(勿動)單價表'!$E:$E,Y$4)+IF(Y$2="社會",SUMIFS('(勿動)單價表'!$R:$R,'(勿動)單價表'!$B:$B,"社會(南億)",'(勿動)單價表'!$C:$C,Y$3,'(勿動)單價表'!$E:$E,Y$4),0)</f>
        <v>0</v>
      </c>
      <c r="Z10">
        <f>SUMIFS('(勿動)單價表'!$R:$R,'(勿動)單價表'!$B:$B,IF(Z$2="國中英語","英語",Z$2),'(勿動)單價表'!$C:$C,Z$3,'(勿動)單價表'!$E:$E,Z$4)+IF(Z$2="社會",SUMIFS('(勿動)單價表'!$R:$R,'(勿動)單價表'!$B:$B,"社會(南億)",'(勿動)單價表'!$C:$C,Z$3,'(勿動)單價表'!$E:$E,Z$4),0)</f>
        <v>0</v>
      </c>
      <c r="AA10" s="183">
        <f>SUMIFS('(勿動)單價表'!$R:$R,'(勿動)單價表'!$B:$B,IF(AA$2="國中英語","英語",AA$2),'(勿動)單價表'!$C:$C,AA$3,'(勿動)單價表'!$E:$E,AA$4)+IF(AA$2="社會",SUMIFS('(勿動)單價表'!$R:$R,'(勿動)單價表'!$B:$B,"社會(南億)",'(勿動)單價表'!$C:$C,AA$3,'(勿動)單價表'!$E:$E,AA$4),0)</f>
        <v>0</v>
      </c>
      <c r="AB10" s="183">
        <f>SUMIFS('(勿動)單價表'!$R:$R,'(勿動)單價表'!$B:$B,IF(AB$2="國中英語","英語",AB$2),'(勿動)單價表'!$C:$C,AB$3,'(勿動)單價表'!$E:$E,AB$4)+IF(AB$2="社會",SUMIFS('(勿動)單價表'!$R:$R,'(勿動)單價表'!$B:$B,"社會(南億)",'(勿動)單價表'!$C:$C,AB$3,'(勿動)單價表'!$E:$E,AB$4),0)</f>
        <v>0</v>
      </c>
      <c r="AC10" s="183">
        <f>SUMIFS('(勿動)單價表'!$R:$R,'(勿動)單價表'!$B:$B,IF(AC$2="國中英語","英語",AC$2),'(勿動)單價表'!$C:$C,AC$3,'(勿動)單價表'!$E:$E,AC$4)+IF(AC$2="社會",SUMIFS('(勿動)單價表'!$R:$R,'(勿動)單價表'!$B:$B,"社會(南億)",'(勿動)單價表'!$C:$C,AC$3,'(勿動)單價表'!$E:$E,AC$4),0)</f>
        <v>0</v>
      </c>
      <c r="AD10" s="183">
        <f>SUMIFS('(勿動)單價表'!$R:$R,'(勿動)單價表'!$B:$B,IF(AD$2="國中英語","英語",AD$2),'(勿動)單價表'!$C:$C,AD$3,'(勿動)單價表'!$E:$E,AD$4)+IF(AD$2="社會",SUMIFS('(勿動)單價表'!$R:$R,'(勿動)單價表'!$B:$B,"社會(南億)",'(勿動)單價表'!$C:$C,AD$3,'(勿動)單價表'!$E:$E,AD$4),0)</f>
        <v>0</v>
      </c>
      <c r="AE10" s="183">
        <f>SUMIFS('(勿動)單價表'!$R:$R,'(勿動)單價表'!$B:$B,IF(AE$2="國中英語","英語",AE$2),'(勿動)單價表'!$C:$C,AE$3,'(勿動)單價表'!$E:$E,AE$4)+IF(AE$2="社會",SUMIFS('(勿動)單價表'!$R:$R,'(勿動)單價表'!$B:$B,"社會(南億)",'(勿動)單價表'!$C:$C,AE$3,'(勿動)單價表'!$E:$E,AE$4),0)</f>
        <v>210</v>
      </c>
      <c r="AF10" s="183">
        <f>SUMIFS('(勿動)單價表'!$R:$R,'(勿動)單價表'!$B:$B,"科技",'(勿動)單價表'!$C:$C,AF$3,'(勿動)單價表'!$E:$E,AF$4)</f>
        <v>149</v>
      </c>
      <c r="AG10" s="183">
        <f>SUMIFS('(勿動)單價表'!$R:$R,'(勿動)單價表'!$B:$B,"科技",'(勿動)單價表'!$C:$C,AG$3,'(勿動)單價表'!$E:$E,AG$4)</f>
        <v>25</v>
      </c>
      <c r="AH10" s="183">
        <f>SUMIFS('(勿動)單價表'!$R:$R,'(勿動)單價表'!$B:$B,"科技2",'(勿動)單價表'!$C:$C,AH$3,'(勿動)單價表'!$E:$E,AH$4)</f>
        <v>216</v>
      </c>
      <c r="AI10" s="183">
        <f>SUMIFS('(勿動)單價表'!$R:$R,'(勿動)單價表'!$B:$B,"科技2",'(勿動)單價表'!$C:$C,AI$3,'(勿動)單價表'!$E:$E,AI$4)</f>
        <v>60</v>
      </c>
      <c r="AJ10" s="183">
        <f>SUMIFS('(勿動)單價表'!$R:$R,'(勿動)單價表'!$B:$B,IF(AJ$2="國中英語","英語",AJ$2),'(勿動)單價表'!$C:$C,AJ$3,'(勿動)單價表'!$E:$E,AJ$4)+IF(AJ$2="社會",SUMIFS('(勿動)單價表'!$R:$R,'(勿動)單價表'!$B:$B,"社會(南億)",'(勿動)單價表'!$C:$C,AJ$3,'(勿動)單價表'!$E:$E,AJ$4),0)</f>
        <v>0</v>
      </c>
      <c r="AK10" s="183">
        <f>SUMIFS('(勿動)單價表'!$R:$R,'(勿動)單價表'!$B:$B,IF(AK$2="國中英語","英語",AK$2),'(勿動)單價表'!$C:$C,AK$3,'(勿動)單價表'!$E:$E,AK$4)+IF(AK$2="社會",SUMIFS('(勿動)單價表'!$R:$R,'(勿動)單價表'!$B:$B,"社會(南億)",'(勿動)單價表'!$C:$C,AK$3,'(勿動)單價表'!$E:$E,AK$4),0)</f>
        <v>0</v>
      </c>
      <c r="AL10" s="183">
        <f>SUMIFS('(勿動)單價表'!$R:$R,'(勿動)單價表'!$B:$B,IF(AL$2="國中英語","英語",AL$2),'(勿動)單價表'!$C:$C,AL$3,'(勿動)單價表'!$E:$E,AL$4)+IF(AL$2="社會",SUMIFS('(勿動)單價表'!$R:$R,'(勿動)單價表'!$B:$B,"社會(南億)",'(勿動)單價表'!$C:$C,AL$3,'(勿動)單價表'!$E:$E,AL$4),0)</f>
        <v>0</v>
      </c>
      <c r="AM10" s="183">
        <f>SUMIFS('(勿動)單價表'!$R:$R,'(勿動)單價表'!$B:$B,IF(AM$2="國中英語","英語",AM$2),'(勿動)單價表'!$C:$C,AM$3,'(勿動)單價表'!$E:$E,AM$4)+IF(AM$2="社會",SUMIFS('(勿動)單價表'!$R:$R,'(勿動)單價表'!$B:$B,"社會(南億)",'(勿動)單價表'!$C:$C,AM$3,'(勿動)單價表'!$E:$E,AM$4),0)</f>
        <v>0</v>
      </c>
      <c r="AN10" s="183">
        <f>SUMIFS('(勿動)單價表'!$R:$R,'(勿動)單價表'!$B:$B,IF(AN$2="國中英語","英語",AN$2),'(勿動)單價表'!$C:$C,AN$3,'(勿動)單價表'!$E:$E,AN$4)+IF(AN$2="社會",SUMIFS('(勿動)單價表'!$R:$R,'(勿動)單價表'!$B:$B,"社會(南億)",'(勿動)單價表'!$C:$C,AN$3,'(勿動)單價表'!$E:$E,AN$4),0)</f>
        <v>0</v>
      </c>
      <c r="AO10" s="183">
        <f>SUMIFS('(勿動)單價表'!$R:$R,'(勿動)單價表'!$B:$B,IF(AO$2="國中英語","英語",AO$2),'(勿動)單價表'!$C:$C,AO$3,'(勿動)單價表'!$E:$E,AO$4)+IF(AO$2="社會",SUMIFS('(勿動)單價表'!$R:$R,'(勿動)單價表'!$B:$B,"社會(南億)",'(勿動)單價表'!$C:$C,AO$3,'(勿動)單價表'!$E:$E,AO$4),0)</f>
        <v>0</v>
      </c>
      <c r="AP10" s="183">
        <f>SUMIFS('(勿動)單價表'!$R:$R,'(勿動)單價表'!$B:$B,IF(AP$2="國中英語","英語",AP$2),'(勿動)單價表'!$C:$C,AP$3,'(勿動)單價表'!$E:$E,AP$4)+IF(AP$2="社會",SUMIFS('(勿動)單價表'!$R:$R,'(勿動)單價表'!$B:$B,"社會(南億)",'(勿動)單價表'!$C:$C,AP$3,'(勿動)單價表'!$E:$E,AP$4),0)</f>
        <v>0</v>
      </c>
      <c r="AQ10" s="183">
        <f>SUMIFS('(勿動)單價表'!$R:$R,'(勿動)單價表'!$B:$B,IF(AQ$2="國中英語","英語",AQ$2),'(勿動)單價表'!$C:$C,AQ$3,'(勿動)單價表'!$E:$E,AQ$4)+IF(AQ$2="社會",SUMIFS('(勿動)單價表'!$R:$R,'(勿動)單價表'!$B:$B,"社會(南億)",'(勿動)單價表'!$C:$C,AQ$3,'(勿動)單價表'!$E:$E,AQ$4),0)</f>
        <v>0</v>
      </c>
      <c r="AR10" s="183">
        <f>SUMIFS('(勿動)單價表'!$R:$R,'(勿動)單價表'!$B:$B,IF(AR$2="國中英語","英語",AR$2),'(勿動)單價表'!$C:$C,AR$3,'(勿動)單價表'!$E:$E,AR$4)+IF(AR$2="社會",SUMIFS('(勿動)單價表'!$R:$R,'(勿動)單價表'!$B:$B,"社會(南億)",'(勿動)單價表'!$C:$C,AR$3,'(勿動)單價表'!$E:$E,AR$4),0)</f>
        <v>0</v>
      </c>
      <c r="AS10" s="183">
        <f>SUMIFS('(勿動)單價表'!$R:$R,'(勿動)單價表'!$B:$B,IF(AS$2="國中英語","英語",AS$2),'(勿動)單價表'!$C:$C,AS$3,'(勿動)單價表'!$E:$E,AS$4)+IF(AS$2="社會",SUMIFS('(勿動)單價表'!$R:$R,'(勿動)單價表'!$B:$B,"社會(南億)",'(勿動)單價表'!$C:$C,AS$3,'(勿動)單價表'!$E:$E,AS$4),0)</f>
        <v>0</v>
      </c>
      <c r="AT10" s="183">
        <f>SUMIFS('(勿動)單價表'!$R:$R,'(勿動)單價表'!$B:$B,IF(AT$2="國中英語","英語",AT$2),'(勿動)單價表'!$C:$C,AT$3,'(勿動)單價表'!$E:$E,AT$4)+IF(AT$2="社會",SUMIFS('(勿動)單價表'!$R:$R,'(勿動)單價表'!$B:$B,"社會(南億)",'(勿動)單價表'!$C:$C,AT$3,'(勿動)單價表'!$E:$E,AT$4),0)</f>
        <v>0</v>
      </c>
      <c r="AU10" s="183">
        <f>SUMIFS('(勿動)單價表'!$R:$R,'(勿動)單價表'!$B:$B,IF(AU$2="國中英語","英語",AU$2),'(勿動)單價表'!$C:$C,AU$3,'(勿動)單價表'!$E:$E,AU$4)+IF(AU$2="社會",SUMIFS('(勿動)單價表'!$R:$R,'(勿動)單價表'!$B:$B,"社會(南億)",'(勿動)單價表'!$C:$C,AU$3,'(勿動)單價表'!$E:$E,AU$4),0)</f>
        <v>0</v>
      </c>
      <c r="AV10" s="183">
        <f>SUMIFS('(勿動)單價表'!$R:$R,'(勿動)單價表'!$B:$B,IF(AV$2="國中英語","英語",AV$2),'(勿動)單價表'!$C:$C,AV$3,'(勿動)單價表'!$E:$E,AV$4)+IF(AV$2="社會",SUMIFS('(勿動)單價表'!$R:$R,'(勿動)單價表'!$B:$B,"社會(南億)",'(勿動)單價表'!$C:$C,AV$3,'(勿動)單價表'!$E:$E,AV$4),0)</f>
        <v>170</v>
      </c>
      <c r="AW10" s="183">
        <f>SUMIFS('(勿動)單價表'!$R:$R,'(勿動)單價表'!$B:$B,"科技",'(勿動)單價表'!$C:$C,AW$3,'(勿動)單價表'!$E:$E,AW$4)</f>
        <v>184</v>
      </c>
      <c r="AX10" s="183">
        <f>SUMIFS('(勿動)單價表'!$R:$R,'(勿動)單價表'!$B:$B,"科技",'(勿動)單價表'!$C:$C,AX$3,'(勿動)單價表'!$E:$E,AX$4)</f>
        <v>22</v>
      </c>
      <c r="AY10" s="183">
        <f>SUMIFS('(勿動)單價表'!$R:$R,'(勿動)單價表'!$B:$B,"科技2",'(勿動)單價表'!$C:$C,AY$3,'(勿動)單價表'!$E:$E,AY$4)</f>
        <v>203</v>
      </c>
      <c r="AZ10" s="183">
        <f>SUMIFS('(勿動)單價表'!$R:$R,'(勿動)單價表'!$B:$B,"科技2",'(勿動)單價表'!$C:$C,AZ$3,'(勿動)單價表'!$E:$E,AZ$4)</f>
        <v>76</v>
      </c>
    </row>
    <row r="11" spans="1:59" x14ac:dyDescent="0.25">
      <c r="A11" s="8" t="s">
        <v>60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2">
        <v>0</v>
      </c>
      <c r="AZ11" s="22">
        <v>0</v>
      </c>
    </row>
    <row r="15" spans="1:59" x14ac:dyDescent="0.25">
      <c r="A15" s="61" t="s">
        <v>140</v>
      </c>
      <c r="B15" s="61" t="s">
        <v>141</v>
      </c>
    </row>
    <row r="16" spans="1:5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  <c r="T16" s="9">
        <v>20</v>
      </c>
      <c r="U16" s="9">
        <v>21</v>
      </c>
      <c r="V16" s="9">
        <v>22</v>
      </c>
      <c r="W16" s="9">
        <v>23</v>
      </c>
      <c r="X16" s="9">
        <v>24</v>
      </c>
      <c r="Y16" s="9">
        <v>25</v>
      </c>
      <c r="Z16" s="9">
        <v>26</v>
      </c>
      <c r="AA16" s="9">
        <v>27</v>
      </c>
      <c r="AB16" s="9">
        <v>28</v>
      </c>
      <c r="AC16" s="9">
        <v>29</v>
      </c>
      <c r="AD16" s="9">
        <v>30</v>
      </c>
      <c r="AE16" s="9">
        <v>31</v>
      </c>
      <c r="AF16" s="9">
        <v>32</v>
      </c>
      <c r="AG16" s="9">
        <v>33</v>
      </c>
      <c r="AH16" s="9">
        <v>34</v>
      </c>
      <c r="AI16" s="9">
        <v>35</v>
      </c>
      <c r="AJ16" s="9">
        <v>36</v>
      </c>
      <c r="AK16" s="9">
        <v>37</v>
      </c>
      <c r="AL16" s="9">
        <v>38</v>
      </c>
      <c r="AM16" s="9">
        <v>39</v>
      </c>
      <c r="AN16" s="9">
        <v>40</v>
      </c>
      <c r="AO16" s="9">
        <v>41</v>
      </c>
      <c r="AP16" s="9">
        <v>42</v>
      </c>
      <c r="AQ16" s="9">
        <v>43</v>
      </c>
      <c r="AR16" s="9">
        <v>44</v>
      </c>
      <c r="AS16" s="9">
        <v>45</v>
      </c>
      <c r="AT16" s="9">
        <v>46</v>
      </c>
      <c r="AU16" s="9">
        <v>47</v>
      </c>
      <c r="AV16" s="9">
        <v>48</v>
      </c>
      <c r="AW16" s="9">
        <v>49</v>
      </c>
      <c r="AX16" s="9">
        <v>50</v>
      </c>
      <c r="AY16" s="9">
        <v>51</v>
      </c>
      <c r="AZ16" s="9">
        <v>52</v>
      </c>
    </row>
    <row r="17" spans="1:52" ht="33" customHeight="1" x14ac:dyDescent="0.25">
      <c r="A17" s="5" t="s">
        <v>128</v>
      </c>
      <c r="B17" s="18" t="s">
        <v>34</v>
      </c>
      <c r="C17" s="18" t="s">
        <v>34</v>
      </c>
      <c r="D17" s="18" t="s">
        <v>35</v>
      </c>
      <c r="E17" s="18" t="s">
        <v>35</v>
      </c>
      <c r="F17" s="18" t="s">
        <v>36</v>
      </c>
      <c r="G17" s="18" t="s">
        <v>36</v>
      </c>
      <c r="H17" s="18" t="s">
        <v>37</v>
      </c>
      <c r="I17" s="18" t="s">
        <v>37</v>
      </c>
      <c r="J17" s="18" t="s">
        <v>139</v>
      </c>
      <c r="K17" s="18" t="s">
        <v>139</v>
      </c>
      <c r="L17" s="35" t="s">
        <v>135</v>
      </c>
      <c r="M17" s="35" t="s">
        <v>136</v>
      </c>
      <c r="N17" s="35" t="s">
        <v>41</v>
      </c>
      <c r="O17" s="35" t="s">
        <v>42</v>
      </c>
      <c r="P17" s="35" t="s">
        <v>42</v>
      </c>
      <c r="Q17" s="35" t="s">
        <v>42</v>
      </c>
      <c r="R17" s="35" t="s">
        <v>42</v>
      </c>
      <c r="S17" s="18" t="s">
        <v>34</v>
      </c>
      <c r="T17" s="18" t="s">
        <v>34</v>
      </c>
      <c r="U17" s="18" t="s">
        <v>35</v>
      </c>
      <c r="V17" s="18" t="s">
        <v>35</v>
      </c>
      <c r="W17" s="18" t="s">
        <v>36</v>
      </c>
      <c r="X17" s="18" t="s">
        <v>36</v>
      </c>
      <c r="Y17" s="18" t="s">
        <v>37</v>
      </c>
      <c r="Z17" s="18" t="s">
        <v>37</v>
      </c>
      <c r="AA17" s="18" t="s">
        <v>139</v>
      </c>
      <c r="AB17" s="18" t="s">
        <v>139</v>
      </c>
      <c r="AC17" s="35" t="s">
        <v>135</v>
      </c>
      <c r="AD17" s="35" t="s">
        <v>136</v>
      </c>
      <c r="AE17" s="35" t="s">
        <v>41</v>
      </c>
      <c r="AF17" s="35" t="s">
        <v>42</v>
      </c>
      <c r="AG17" s="35" t="s">
        <v>42</v>
      </c>
      <c r="AH17" s="35" t="s">
        <v>42</v>
      </c>
      <c r="AI17" s="35" t="s">
        <v>42</v>
      </c>
      <c r="AJ17" s="18" t="s">
        <v>34</v>
      </c>
      <c r="AK17" s="18" t="s">
        <v>34</v>
      </c>
      <c r="AL17" s="18" t="s">
        <v>35</v>
      </c>
      <c r="AM17" s="18" t="s">
        <v>35</v>
      </c>
      <c r="AN17" s="18" t="s">
        <v>36</v>
      </c>
      <c r="AO17" s="18" t="s">
        <v>36</v>
      </c>
      <c r="AP17" s="18" t="s">
        <v>37</v>
      </c>
      <c r="AQ17" s="18" t="s">
        <v>37</v>
      </c>
      <c r="AR17" s="18" t="s">
        <v>139</v>
      </c>
      <c r="AS17" s="18" t="s">
        <v>139</v>
      </c>
      <c r="AT17" s="35" t="s">
        <v>135</v>
      </c>
      <c r="AU17" s="35" t="s">
        <v>136</v>
      </c>
      <c r="AV17" s="35" t="s">
        <v>41</v>
      </c>
      <c r="AW17" s="35" t="s">
        <v>42</v>
      </c>
      <c r="AX17" s="35" t="s">
        <v>42</v>
      </c>
      <c r="AY17" s="35" t="s">
        <v>42</v>
      </c>
      <c r="AZ17" s="35" t="s">
        <v>42</v>
      </c>
    </row>
    <row r="18" spans="1:52" x14ac:dyDescent="0.25">
      <c r="A18" s="6" t="s">
        <v>9</v>
      </c>
      <c r="B18" s="19">
        <v>7</v>
      </c>
      <c r="C18" s="19">
        <v>7</v>
      </c>
      <c r="D18" s="19">
        <v>7</v>
      </c>
      <c r="E18" s="19">
        <v>7</v>
      </c>
      <c r="F18" s="19">
        <v>7</v>
      </c>
      <c r="G18" s="19">
        <v>7</v>
      </c>
      <c r="H18" s="19">
        <v>7</v>
      </c>
      <c r="I18" s="19">
        <v>7</v>
      </c>
      <c r="J18" s="19">
        <v>7</v>
      </c>
      <c r="K18" s="19">
        <v>7</v>
      </c>
      <c r="L18" s="19">
        <v>7</v>
      </c>
      <c r="M18" s="19">
        <v>7</v>
      </c>
      <c r="N18" s="19">
        <v>7</v>
      </c>
      <c r="O18" s="19">
        <v>7</v>
      </c>
      <c r="P18" s="19">
        <v>7</v>
      </c>
      <c r="Q18" s="19">
        <v>7</v>
      </c>
      <c r="R18" s="19">
        <v>7</v>
      </c>
      <c r="S18" s="19">
        <v>8</v>
      </c>
      <c r="T18" s="19">
        <v>8</v>
      </c>
      <c r="U18" s="19">
        <v>8</v>
      </c>
      <c r="V18" s="19">
        <v>8</v>
      </c>
      <c r="W18" s="19">
        <v>8</v>
      </c>
      <c r="X18" s="19">
        <v>8</v>
      </c>
      <c r="Y18" s="19">
        <v>8</v>
      </c>
      <c r="Z18" s="19">
        <v>8</v>
      </c>
      <c r="AA18" s="19">
        <v>8</v>
      </c>
      <c r="AB18" s="19">
        <v>8</v>
      </c>
      <c r="AC18" s="19">
        <v>8</v>
      </c>
      <c r="AD18" s="19">
        <v>8</v>
      </c>
      <c r="AE18" s="19">
        <v>8</v>
      </c>
      <c r="AF18" s="19">
        <v>8</v>
      </c>
      <c r="AG18" s="19">
        <v>8</v>
      </c>
      <c r="AH18" s="19">
        <v>8</v>
      </c>
      <c r="AI18" s="19">
        <v>8</v>
      </c>
      <c r="AJ18" s="19">
        <v>9</v>
      </c>
      <c r="AK18" s="19">
        <v>9</v>
      </c>
      <c r="AL18" s="19">
        <v>9</v>
      </c>
      <c r="AM18" s="19">
        <v>9</v>
      </c>
      <c r="AN18" s="19">
        <v>9</v>
      </c>
      <c r="AO18" s="19">
        <v>9</v>
      </c>
      <c r="AP18" s="19">
        <v>9</v>
      </c>
      <c r="AQ18" s="19">
        <v>9</v>
      </c>
      <c r="AR18" s="19">
        <v>9</v>
      </c>
      <c r="AS18" s="19">
        <v>9</v>
      </c>
      <c r="AT18" s="19">
        <v>9</v>
      </c>
      <c r="AU18" s="19">
        <v>9</v>
      </c>
      <c r="AV18" s="19">
        <v>9</v>
      </c>
      <c r="AW18" s="19">
        <v>9</v>
      </c>
      <c r="AX18" s="19">
        <v>9</v>
      </c>
      <c r="AY18" s="19">
        <v>9</v>
      </c>
      <c r="AZ18" s="19">
        <v>9</v>
      </c>
    </row>
    <row r="19" spans="1:52" x14ac:dyDescent="0.25">
      <c r="A19" s="6" t="s">
        <v>131</v>
      </c>
      <c r="B19" s="18" t="s">
        <v>48</v>
      </c>
      <c r="C19" s="18" t="s">
        <v>49</v>
      </c>
      <c r="D19" s="18" t="s">
        <v>48</v>
      </c>
      <c r="E19" s="18" t="s">
        <v>49</v>
      </c>
      <c r="F19" s="18" t="s">
        <v>48</v>
      </c>
      <c r="G19" s="18" t="s">
        <v>49</v>
      </c>
      <c r="H19" s="18" t="s">
        <v>48</v>
      </c>
      <c r="I19" s="18" t="s">
        <v>49</v>
      </c>
      <c r="J19" s="18" t="s">
        <v>48</v>
      </c>
      <c r="K19" s="18" t="s">
        <v>49</v>
      </c>
      <c r="L19" s="18" t="s">
        <v>48</v>
      </c>
      <c r="M19" s="18" t="s">
        <v>48</v>
      </c>
      <c r="N19" s="18" t="s">
        <v>48</v>
      </c>
      <c r="O19" s="18" t="s">
        <v>48</v>
      </c>
      <c r="P19" s="18" t="s">
        <v>49</v>
      </c>
      <c r="Q19" s="18" t="s">
        <v>48</v>
      </c>
      <c r="R19" s="18" t="s">
        <v>49</v>
      </c>
      <c r="S19" s="18" t="s">
        <v>48</v>
      </c>
      <c r="T19" s="18" t="s">
        <v>49</v>
      </c>
      <c r="U19" s="18" t="s">
        <v>48</v>
      </c>
      <c r="V19" s="18" t="s">
        <v>49</v>
      </c>
      <c r="W19" s="18" t="s">
        <v>48</v>
      </c>
      <c r="X19" s="18" t="s">
        <v>49</v>
      </c>
      <c r="Y19" s="18" t="s">
        <v>48</v>
      </c>
      <c r="Z19" s="18" t="s">
        <v>49</v>
      </c>
      <c r="AA19" s="18" t="s">
        <v>48</v>
      </c>
      <c r="AB19" s="18" t="s">
        <v>49</v>
      </c>
      <c r="AC19" s="18" t="s">
        <v>48</v>
      </c>
      <c r="AD19" s="18" t="s">
        <v>48</v>
      </c>
      <c r="AE19" s="18" t="s">
        <v>48</v>
      </c>
      <c r="AF19" s="18" t="s">
        <v>48</v>
      </c>
      <c r="AG19" s="18" t="s">
        <v>49</v>
      </c>
      <c r="AH19" s="18" t="s">
        <v>48</v>
      </c>
      <c r="AI19" s="18" t="s">
        <v>49</v>
      </c>
      <c r="AJ19" s="18" t="s">
        <v>48</v>
      </c>
      <c r="AK19" s="18" t="s">
        <v>49</v>
      </c>
      <c r="AL19" s="18" t="s">
        <v>48</v>
      </c>
      <c r="AM19" s="18" t="s">
        <v>49</v>
      </c>
      <c r="AN19" s="18" t="s">
        <v>48</v>
      </c>
      <c r="AO19" s="18" t="s">
        <v>49</v>
      </c>
      <c r="AP19" s="18" t="s">
        <v>48</v>
      </c>
      <c r="AQ19" s="18" t="s">
        <v>49</v>
      </c>
      <c r="AR19" s="18" t="s">
        <v>48</v>
      </c>
      <c r="AS19" s="18" t="s">
        <v>49</v>
      </c>
      <c r="AT19" s="18" t="s">
        <v>48</v>
      </c>
      <c r="AU19" s="18" t="s">
        <v>48</v>
      </c>
      <c r="AV19" s="18" t="s">
        <v>48</v>
      </c>
      <c r="AW19" s="18" t="s">
        <v>48</v>
      </c>
      <c r="AX19" s="18" t="s">
        <v>49</v>
      </c>
      <c r="AY19" s="18" t="s">
        <v>48</v>
      </c>
      <c r="AZ19" s="18" t="s">
        <v>49</v>
      </c>
    </row>
    <row r="20" spans="1:52" x14ac:dyDescent="0.25">
      <c r="A20" s="8" t="s">
        <v>59</v>
      </c>
      <c r="B20" s="20" t="s">
        <v>62</v>
      </c>
      <c r="C20" s="20" t="s">
        <v>62</v>
      </c>
      <c r="D20" s="20" t="s">
        <v>62</v>
      </c>
      <c r="E20" s="20" t="s">
        <v>62</v>
      </c>
      <c r="F20" s="20" t="s">
        <v>62</v>
      </c>
      <c r="G20" s="20" t="s">
        <v>62</v>
      </c>
      <c r="H20" s="20" t="s">
        <v>62</v>
      </c>
      <c r="I20" s="20" t="s">
        <v>62</v>
      </c>
      <c r="J20" s="20" t="s">
        <v>62</v>
      </c>
      <c r="K20" s="20" t="s">
        <v>62</v>
      </c>
      <c r="L20" s="20" t="s">
        <v>62</v>
      </c>
      <c r="M20" s="20" t="s">
        <v>62</v>
      </c>
      <c r="N20" s="20" t="s">
        <v>62</v>
      </c>
      <c r="O20" s="20" t="s">
        <v>62</v>
      </c>
      <c r="P20" s="20" t="s">
        <v>62</v>
      </c>
      <c r="Q20" s="20" t="s">
        <v>62</v>
      </c>
      <c r="R20" s="20" t="s">
        <v>62</v>
      </c>
      <c r="S20" s="20" t="s">
        <v>62</v>
      </c>
      <c r="T20" s="20" t="s">
        <v>62</v>
      </c>
      <c r="U20" s="20" t="s">
        <v>62</v>
      </c>
      <c r="V20" s="20" t="s">
        <v>62</v>
      </c>
      <c r="W20" s="20" t="s">
        <v>62</v>
      </c>
      <c r="X20" s="20" t="s">
        <v>62</v>
      </c>
      <c r="Y20" s="20" t="s">
        <v>62</v>
      </c>
      <c r="Z20" s="20" t="s">
        <v>62</v>
      </c>
      <c r="AA20" s="20" t="s">
        <v>62</v>
      </c>
      <c r="AB20" s="20" t="s">
        <v>62</v>
      </c>
      <c r="AC20" s="20" t="s">
        <v>62</v>
      </c>
      <c r="AD20" s="20" t="s">
        <v>62</v>
      </c>
      <c r="AE20" s="20" t="s">
        <v>62</v>
      </c>
      <c r="AF20" s="20" t="s">
        <v>62</v>
      </c>
      <c r="AG20" s="20" t="s">
        <v>62</v>
      </c>
      <c r="AH20" s="20" t="s">
        <v>62</v>
      </c>
      <c r="AI20" s="20" t="s">
        <v>62</v>
      </c>
      <c r="AJ20" s="20" t="s">
        <v>62</v>
      </c>
      <c r="AK20" s="20" t="s">
        <v>62</v>
      </c>
      <c r="AL20" s="20" t="s">
        <v>62</v>
      </c>
      <c r="AM20" s="20" t="s">
        <v>62</v>
      </c>
      <c r="AN20" s="20" t="s">
        <v>62</v>
      </c>
      <c r="AO20" s="20" t="s">
        <v>62</v>
      </c>
      <c r="AP20" s="20" t="s">
        <v>62</v>
      </c>
      <c r="AQ20" s="20" t="s">
        <v>62</v>
      </c>
      <c r="AR20" s="20" t="s">
        <v>62</v>
      </c>
      <c r="AS20" s="20" t="s">
        <v>62</v>
      </c>
      <c r="AT20" s="20" t="s">
        <v>62</v>
      </c>
      <c r="AU20" s="20" t="s">
        <v>62</v>
      </c>
      <c r="AV20" s="20" t="s">
        <v>62</v>
      </c>
      <c r="AW20" s="20" t="s">
        <v>62</v>
      </c>
      <c r="AX20" s="20" t="s">
        <v>62</v>
      </c>
      <c r="AY20" s="20" t="s">
        <v>62</v>
      </c>
      <c r="AZ20" s="20" t="s">
        <v>62</v>
      </c>
    </row>
    <row r="21" spans="1:52" x14ac:dyDescent="0.25">
      <c r="A21" s="7" t="s">
        <v>43</v>
      </c>
      <c r="B21" s="183">
        <v>130</v>
      </c>
      <c r="C21" s="183">
        <v>66</v>
      </c>
      <c r="D21" s="183">
        <v>191</v>
      </c>
      <c r="E21" s="183">
        <v>68</v>
      </c>
      <c r="F21" s="183">
        <v>144</v>
      </c>
      <c r="G21" s="183">
        <v>62</v>
      </c>
      <c r="H21" s="183">
        <v>158</v>
      </c>
      <c r="I21" s="183">
        <v>55</v>
      </c>
      <c r="J21" s="183">
        <v>105</v>
      </c>
      <c r="K21" s="183">
        <v>44</v>
      </c>
      <c r="L21" s="183">
        <v>134</v>
      </c>
      <c r="M21" s="183">
        <v>95</v>
      </c>
      <c r="N21" s="183">
        <v>166</v>
      </c>
      <c r="O21" s="183">
        <v>202</v>
      </c>
      <c r="P21" s="183">
        <v>71</v>
      </c>
      <c r="Q21" s="183" t="s">
        <v>138</v>
      </c>
      <c r="R21" s="183" t="s">
        <v>138</v>
      </c>
      <c r="S21" s="183">
        <v>137</v>
      </c>
      <c r="T21" s="183">
        <v>66</v>
      </c>
      <c r="U21" s="183">
        <v>230</v>
      </c>
      <c r="V21" s="183">
        <v>83</v>
      </c>
      <c r="W21" s="183">
        <v>152</v>
      </c>
      <c r="X21" s="183">
        <v>58</v>
      </c>
      <c r="Y21" s="183">
        <v>143</v>
      </c>
      <c r="Z21" s="183">
        <v>51</v>
      </c>
      <c r="AA21" s="183">
        <v>112</v>
      </c>
      <c r="AB21" s="183">
        <v>44</v>
      </c>
      <c r="AC21" s="183">
        <v>139</v>
      </c>
      <c r="AD21" s="183">
        <v>90</v>
      </c>
      <c r="AE21" s="183">
        <v>196</v>
      </c>
      <c r="AF21" s="183">
        <v>188</v>
      </c>
      <c r="AG21" s="183">
        <v>80</v>
      </c>
      <c r="AH21" s="183" t="s">
        <v>138</v>
      </c>
      <c r="AI21" s="183" t="s">
        <v>138</v>
      </c>
      <c r="AJ21" s="183">
        <v>122</v>
      </c>
      <c r="AK21" s="183">
        <v>64</v>
      </c>
      <c r="AL21" s="183">
        <v>195</v>
      </c>
      <c r="AM21" s="183">
        <v>71</v>
      </c>
      <c r="AN21" s="183">
        <v>156</v>
      </c>
      <c r="AO21" s="183">
        <v>62</v>
      </c>
      <c r="AP21" s="183">
        <v>142</v>
      </c>
      <c r="AQ21" s="183">
        <v>51</v>
      </c>
      <c r="AR21" s="183">
        <v>115</v>
      </c>
      <c r="AS21" s="183">
        <v>49</v>
      </c>
      <c r="AT21" s="183">
        <v>144</v>
      </c>
      <c r="AU21" s="183">
        <v>88</v>
      </c>
      <c r="AV21" s="183">
        <v>159</v>
      </c>
      <c r="AW21" s="183">
        <v>163</v>
      </c>
      <c r="AX21" s="183">
        <v>78</v>
      </c>
      <c r="AY21" s="183" t="s">
        <v>138</v>
      </c>
      <c r="AZ21" s="183" t="s">
        <v>138</v>
      </c>
    </row>
    <row r="22" spans="1:52" x14ac:dyDescent="0.25">
      <c r="A22" s="7" t="s">
        <v>44</v>
      </c>
      <c r="B22" s="183">
        <v>120</v>
      </c>
      <c r="C22" s="183">
        <v>73</v>
      </c>
      <c r="D22" s="183">
        <v>197</v>
      </c>
      <c r="E22" s="183">
        <v>55</v>
      </c>
      <c r="F22" s="183">
        <v>139</v>
      </c>
      <c r="G22" s="183">
        <v>60</v>
      </c>
      <c r="H22" s="183">
        <v>156</v>
      </c>
      <c r="I22" s="183">
        <v>59</v>
      </c>
      <c r="J22" s="183">
        <v>113</v>
      </c>
      <c r="K22" s="183">
        <v>51</v>
      </c>
      <c r="L22" s="183">
        <v>132</v>
      </c>
      <c r="M22" s="183">
        <v>89</v>
      </c>
      <c r="N22" s="183">
        <v>159</v>
      </c>
      <c r="O22" s="183">
        <v>202</v>
      </c>
      <c r="P22" s="183">
        <v>79</v>
      </c>
      <c r="Q22" s="183" t="s">
        <v>138</v>
      </c>
      <c r="R22" s="183" t="s">
        <v>138</v>
      </c>
      <c r="S22" s="183">
        <v>132</v>
      </c>
      <c r="T22" s="183">
        <v>88</v>
      </c>
      <c r="U22" s="183">
        <v>216</v>
      </c>
      <c r="V22" s="183">
        <v>59</v>
      </c>
      <c r="W22" s="183">
        <v>139</v>
      </c>
      <c r="X22" s="183">
        <v>60</v>
      </c>
      <c r="Y22" s="183">
        <v>147</v>
      </c>
      <c r="Z22" s="183">
        <v>54</v>
      </c>
      <c r="AA22" s="183">
        <v>122</v>
      </c>
      <c r="AB22" s="183">
        <v>43</v>
      </c>
      <c r="AC22" s="183">
        <v>145</v>
      </c>
      <c r="AD22" s="183">
        <v>95</v>
      </c>
      <c r="AE22" s="183">
        <v>181</v>
      </c>
      <c r="AF22" s="183">
        <v>181</v>
      </c>
      <c r="AG22" s="183">
        <v>56</v>
      </c>
      <c r="AH22" s="183" t="s">
        <v>138</v>
      </c>
      <c r="AI22" s="183" t="s">
        <v>138</v>
      </c>
      <c r="AJ22" s="183">
        <v>132</v>
      </c>
      <c r="AK22" s="183">
        <v>68</v>
      </c>
      <c r="AL22" s="183">
        <v>172</v>
      </c>
      <c r="AM22" s="183">
        <v>51</v>
      </c>
      <c r="AN22" s="183">
        <v>152</v>
      </c>
      <c r="AO22" s="183">
        <v>63</v>
      </c>
      <c r="AP22" s="183">
        <v>164</v>
      </c>
      <c r="AQ22" s="183">
        <v>72</v>
      </c>
      <c r="AR22" s="183">
        <v>123</v>
      </c>
      <c r="AS22" s="183">
        <v>53</v>
      </c>
      <c r="AT22" s="183">
        <v>187</v>
      </c>
      <c r="AU22" s="183">
        <v>97</v>
      </c>
      <c r="AV22" s="183">
        <v>167</v>
      </c>
      <c r="AW22" s="183">
        <v>207</v>
      </c>
      <c r="AX22" s="183">
        <v>57</v>
      </c>
      <c r="AY22" s="183" t="s">
        <v>138</v>
      </c>
      <c r="AZ22" s="183" t="s">
        <v>138</v>
      </c>
    </row>
    <row r="23" spans="1:52" x14ac:dyDescent="0.25">
      <c r="A23" s="7" t="s">
        <v>45</v>
      </c>
      <c r="B23" s="183">
        <v>153</v>
      </c>
      <c r="C23" s="183">
        <v>71</v>
      </c>
      <c r="D23" s="183">
        <v>219</v>
      </c>
      <c r="E23" s="183">
        <v>51</v>
      </c>
      <c r="F23" s="183">
        <v>152</v>
      </c>
      <c r="G23" s="183">
        <v>59</v>
      </c>
      <c r="H23" s="183">
        <v>211</v>
      </c>
      <c r="I23" s="183">
        <v>77</v>
      </c>
      <c r="J23" s="183">
        <v>137</v>
      </c>
      <c r="K23" s="183">
        <v>50</v>
      </c>
      <c r="L23" s="183">
        <v>174</v>
      </c>
      <c r="M23" s="183">
        <v>107</v>
      </c>
      <c r="N23" s="183" t="s">
        <v>138</v>
      </c>
      <c r="O23" s="183">
        <v>168</v>
      </c>
      <c r="P23" s="183">
        <v>46</v>
      </c>
      <c r="Q23" s="183" t="s">
        <v>138</v>
      </c>
      <c r="R23" s="183" t="s">
        <v>138</v>
      </c>
      <c r="S23" s="183">
        <v>138</v>
      </c>
      <c r="T23" s="183">
        <v>71</v>
      </c>
      <c r="U23" s="183">
        <v>227</v>
      </c>
      <c r="V23" s="183">
        <v>54</v>
      </c>
      <c r="W23" s="183">
        <v>162</v>
      </c>
      <c r="X23" s="183">
        <v>59</v>
      </c>
      <c r="Y23" s="183">
        <v>218</v>
      </c>
      <c r="Z23" s="183">
        <v>77</v>
      </c>
      <c r="AA23" s="183">
        <v>159</v>
      </c>
      <c r="AB23" s="183">
        <v>58</v>
      </c>
      <c r="AC23" s="183">
        <v>175</v>
      </c>
      <c r="AD23" s="183">
        <v>99</v>
      </c>
      <c r="AE23" s="183" t="s">
        <v>138</v>
      </c>
      <c r="AF23" s="183">
        <v>212</v>
      </c>
      <c r="AG23" s="183">
        <v>71</v>
      </c>
      <c r="AH23" s="183" t="s">
        <v>138</v>
      </c>
      <c r="AI23" s="183" t="s">
        <v>138</v>
      </c>
      <c r="AJ23" s="183">
        <v>154</v>
      </c>
      <c r="AK23" s="183">
        <v>69</v>
      </c>
      <c r="AL23" s="183">
        <v>220</v>
      </c>
      <c r="AM23" s="183">
        <v>48</v>
      </c>
      <c r="AN23" s="183">
        <v>171</v>
      </c>
      <c r="AO23" s="183">
        <v>54</v>
      </c>
      <c r="AP23" s="183">
        <v>230</v>
      </c>
      <c r="AQ23" s="183">
        <v>69</v>
      </c>
      <c r="AR23" s="183">
        <v>161</v>
      </c>
      <c r="AS23" s="183">
        <v>60</v>
      </c>
      <c r="AT23" s="183">
        <v>168</v>
      </c>
      <c r="AU23" s="183">
        <v>87</v>
      </c>
      <c r="AV23" s="183" t="s">
        <v>138</v>
      </c>
      <c r="AW23" s="183">
        <v>223</v>
      </c>
      <c r="AX23" s="183">
        <v>76</v>
      </c>
      <c r="AY23" s="183" t="s">
        <v>138</v>
      </c>
      <c r="AZ23" s="183" t="s">
        <v>138</v>
      </c>
    </row>
    <row r="24" spans="1:52" x14ac:dyDescent="0.25">
      <c r="A24" s="7" t="s">
        <v>46</v>
      </c>
      <c r="B24" s="183" t="s">
        <v>138</v>
      </c>
      <c r="C24" s="183" t="s">
        <v>138</v>
      </c>
      <c r="D24" s="183" t="s">
        <v>138</v>
      </c>
      <c r="E24" s="183" t="s">
        <v>138</v>
      </c>
      <c r="F24" s="183" t="s">
        <v>138</v>
      </c>
      <c r="G24" s="183" t="s">
        <v>138</v>
      </c>
      <c r="H24" s="183" t="s">
        <v>138</v>
      </c>
      <c r="I24" s="183" t="s">
        <v>138</v>
      </c>
      <c r="J24" s="183" t="s">
        <v>138</v>
      </c>
      <c r="K24" s="183" t="s">
        <v>138</v>
      </c>
      <c r="L24" s="183">
        <v>160</v>
      </c>
      <c r="M24" s="183" t="s">
        <v>138</v>
      </c>
      <c r="N24" s="183">
        <v>155</v>
      </c>
      <c r="O24" s="183" t="s">
        <v>138</v>
      </c>
      <c r="P24" s="183" t="s">
        <v>138</v>
      </c>
      <c r="Q24" s="183" t="s">
        <v>138</v>
      </c>
      <c r="R24" s="183" t="s">
        <v>138</v>
      </c>
      <c r="S24" s="183" t="s">
        <v>138</v>
      </c>
      <c r="T24" s="183" t="s">
        <v>138</v>
      </c>
      <c r="U24" s="183" t="s">
        <v>138</v>
      </c>
      <c r="V24" s="183" t="s">
        <v>138</v>
      </c>
      <c r="W24" s="183" t="s">
        <v>138</v>
      </c>
      <c r="X24" s="183" t="s">
        <v>138</v>
      </c>
      <c r="Y24" s="183" t="s">
        <v>138</v>
      </c>
      <c r="Z24" s="183" t="s">
        <v>138</v>
      </c>
      <c r="AA24" s="183" t="s">
        <v>138</v>
      </c>
      <c r="AB24" s="183" t="s">
        <v>138</v>
      </c>
      <c r="AC24" s="183">
        <v>147</v>
      </c>
      <c r="AD24" s="183" t="s">
        <v>138</v>
      </c>
      <c r="AE24" s="183">
        <v>183</v>
      </c>
      <c r="AF24" s="183" t="s">
        <v>138</v>
      </c>
      <c r="AG24" s="183" t="s">
        <v>138</v>
      </c>
      <c r="AH24" s="183" t="s">
        <v>138</v>
      </c>
      <c r="AI24" s="183" t="s">
        <v>138</v>
      </c>
      <c r="AJ24" s="183" t="s">
        <v>138</v>
      </c>
      <c r="AK24" s="183" t="s">
        <v>138</v>
      </c>
      <c r="AL24" s="183" t="s">
        <v>138</v>
      </c>
      <c r="AM24" s="183" t="s">
        <v>138</v>
      </c>
      <c r="AN24" s="183" t="s">
        <v>138</v>
      </c>
      <c r="AO24" s="183" t="s">
        <v>138</v>
      </c>
      <c r="AP24" s="183" t="s">
        <v>138</v>
      </c>
      <c r="AQ24" s="183" t="s">
        <v>138</v>
      </c>
      <c r="AR24" s="183" t="s">
        <v>138</v>
      </c>
      <c r="AS24" s="183" t="s">
        <v>138</v>
      </c>
      <c r="AT24" s="183">
        <v>162</v>
      </c>
      <c r="AU24" s="183" t="s">
        <v>138</v>
      </c>
      <c r="AV24" s="183">
        <v>180</v>
      </c>
      <c r="AW24" s="183" t="s">
        <v>138</v>
      </c>
      <c r="AX24" s="183" t="s">
        <v>138</v>
      </c>
      <c r="AY24" s="183" t="s">
        <v>138</v>
      </c>
      <c r="AZ24" s="183" t="s">
        <v>138</v>
      </c>
    </row>
    <row r="25" spans="1:52" x14ac:dyDescent="0.25">
      <c r="A25" s="7" t="s">
        <v>47</v>
      </c>
      <c r="B25" s="183" t="s">
        <v>138</v>
      </c>
      <c r="C25" s="183" t="s">
        <v>138</v>
      </c>
      <c r="D25" s="183" t="s">
        <v>138</v>
      </c>
      <c r="E25" s="183" t="s">
        <v>138</v>
      </c>
      <c r="F25" s="183" t="s">
        <v>138</v>
      </c>
      <c r="G25" s="183" t="s">
        <v>138</v>
      </c>
      <c r="J25" s="183" t="s">
        <v>138</v>
      </c>
      <c r="K25" s="183" t="s">
        <v>138</v>
      </c>
      <c r="L25" s="183" t="s">
        <v>138</v>
      </c>
      <c r="M25" s="183" t="s">
        <v>138</v>
      </c>
      <c r="N25" s="183">
        <v>203</v>
      </c>
      <c r="O25" s="183">
        <v>133</v>
      </c>
      <c r="P25" s="183">
        <v>18</v>
      </c>
      <c r="Q25" s="183">
        <v>135</v>
      </c>
      <c r="R25" s="183">
        <v>51</v>
      </c>
      <c r="S25" s="183" t="s">
        <v>138</v>
      </c>
      <c r="T25" s="183" t="s">
        <v>138</v>
      </c>
      <c r="U25" s="183" t="s">
        <v>138</v>
      </c>
      <c r="V25" s="183" t="s">
        <v>138</v>
      </c>
      <c r="W25" s="183" t="s">
        <v>138</v>
      </c>
      <c r="X25" s="183" t="s">
        <v>138</v>
      </c>
      <c r="AA25" s="183" t="s">
        <v>138</v>
      </c>
      <c r="AB25" s="183" t="s">
        <v>138</v>
      </c>
      <c r="AC25" s="183" t="s">
        <v>138</v>
      </c>
      <c r="AD25" s="183" t="s">
        <v>138</v>
      </c>
      <c r="AE25" s="183">
        <v>196</v>
      </c>
      <c r="AF25" s="183">
        <v>149</v>
      </c>
      <c r="AG25" s="183">
        <v>25</v>
      </c>
      <c r="AH25" s="183">
        <v>216</v>
      </c>
      <c r="AI25" s="183">
        <v>60</v>
      </c>
      <c r="AJ25" s="183" t="s">
        <v>138</v>
      </c>
      <c r="AK25" s="183" t="s">
        <v>138</v>
      </c>
      <c r="AL25" s="183" t="s">
        <v>138</v>
      </c>
      <c r="AM25" s="183" t="s">
        <v>138</v>
      </c>
      <c r="AN25" s="183" t="s">
        <v>138</v>
      </c>
      <c r="AO25" s="183" t="s">
        <v>138</v>
      </c>
      <c r="AP25" s="183" t="s">
        <v>138</v>
      </c>
      <c r="AQ25" s="183" t="s">
        <v>138</v>
      </c>
      <c r="AR25" s="183" t="s">
        <v>138</v>
      </c>
      <c r="AS25" s="183" t="s">
        <v>138</v>
      </c>
      <c r="AT25" s="183" t="s">
        <v>138</v>
      </c>
      <c r="AU25" s="183" t="s">
        <v>138</v>
      </c>
      <c r="AV25" s="183">
        <v>200</v>
      </c>
      <c r="AW25" s="183">
        <v>184</v>
      </c>
      <c r="AX25" s="183">
        <v>22</v>
      </c>
      <c r="AY25" s="183">
        <v>203</v>
      </c>
      <c r="AZ25" s="183">
        <v>76</v>
      </c>
    </row>
    <row r="26" spans="1:52" x14ac:dyDescent="0.25">
      <c r="A26" s="8">
        <v>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2">
        <v>0</v>
      </c>
      <c r="AZ26" s="22">
        <v>0</v>
      </c>
    </row>
    <row r="28" spans="1:52" x14ac:dyDescent="0.25">
      <c r="B28" s="183" t="s">
        <v>34</v>
      </c>
      <c r="C28" s="183" t="s">
        <v>34</v>
      </c>
      <c r="D28" s="183" t="s">
        <v>35</v>
      </c>
      <c r="E28" s="183" t="s">
        <v>35</v>
      </c>
      <c r="F28" s="183" t="s">
        <v>36</v>
      </c>
      <c r="G28" s="183" t="s">
        <v>36</v>
      </c>
      <c r="H28" s="183" t="s">
        <v>37</v>
      </c>
      <c r="I28" s="183" t="s">
        <v>37</v>
      </c>
      <c r="J28" s="183" t="s">
        <v>38</v>
      </c>
      <c r="K28" s="183" t="s">
        <v>38</v>
      </c>
      <c r="L28" s="183" t="s">
        <v>135</v>
      </c>
      <c r="M28" s="183" t="s">
        <v>136</v>
      </c>
      <c r="N28" s="183" t="s">
        <v>41</v>
      </c>
      <c r="O28" s="183" t="s">
        <v>42</v>
      </c>
      <c r="P28" s="183" t="s">
        <v>42</v>
      </c>
      <c r="Q28" s="183" t="s">
        <v>100</v>
      </c>
      <c r="R28" s="183" t="s">
        <v>100</v>
      </c>
      <c r="S28" s="183" t="s">
        <v>34</v>
      </c>
      <c r="T28" s="183" t="s">
        <v>34</v>
      </c>
      <c r="U28" s="183" t="s">
        <v>35</v>
      </c>
      <c r="V28" s="183" t="s">
        <v>35</v>
      </c>
      <c r="W28" s="183" t="s">
        <v>36</v>
      </c>
      <c r="X28" s="183" t="s">
        <v>36</v>
      </c>
      <c r="Y28" s="183" t="s">
        <v>37</v>
      </c>
      <c r="Z28" s="183" t="s">
        <v>37</v>
      </c>
      <c r="AA28" s="183" t="s">
        <v>38</v>
      </c>
      <c r="AB28" s="183" t="s">
        <v>38</v>
      </c>
      <c r="AC28" s="183" t="s">
        <v>135</v>
      </c>
      <c r="AD28" s="183" t="s">
        <v>136</v>
      </c>
      <c r="AE28" s="183" t="s">
        <v>41</v>
      </c>
      <c r="AF28" s="183" t="s">
        <v>42</v>
      </c>
      <c r="AG28" s="183" t="s">
        <v>42</v>
      </c>
      <c r="AH28" s="183" t="s">
        <v>100</v>
      </c>
      <c r="AI28" s="183" t="s">
        <v>100</v>
      </c>
      <c r="AJ28" s="183" t="s">
        <v>34</v>
      </c>
      <c r="AK28" s="183" t="s">
        <v>34</v>
      </c>
      <c r="AL28" s="183" t="s">
        <v>35</v>
      </c>
      <c r="AM28" s="183" t="s">
        <v>35</v>
      </c>
      <c r="AN28" s="183" t="s">
        <v>36</v>
      </c>
      <c r="AO28" s="183" t="s">
        <v>36</v>
      </c>
      <c r="AP28" s="183" t="s">
        <v>37</v>
      </c>
      <c r="AQ28" s="183" t="s">
        <v>37</v>
      </c>
      <c r="AR28" s="183" t="s">
        <v>38</v>
      </c>
      <c r="AS28" s="183" t="s">
        <v>38</v>
      </c>
      <c r="AT28" s="183" t="s">
        <v>135</v>
      </c>
      <c r="AU28" s="183" t="s">
        <v>136</v>
      </c>
      <c r="AV28" s="183" t="s">
        <v>41</v>
      </c>
      <c r="AW28" s="183" t="s">
        <v>42</v>
      </c>
      <c r="AX28" s="183" t="s">
        <v>42</v>
      </c>
      <c r="AY28" s="183" t="s">
        <v>100</v>
      </c>
      <c r="AZ28" s="183" t="s">
        <v>100</v>
      </c>
    </row>
    <row r="29" spans="1:52" x14ac:dyDescent="0.25">
      <c r="B29" s="183">
        <v>7</v>
      </c>
      <c r="C29" s="183">
        <v>7</v>
      </c>
      <c r="D29" s="183">
        <v>7</v>
      </c>
      <c r="E29" s="183">
        <v>7</v>
      </c>
      <c r="F29" s="183">
        <v>7</v>
      </c>
      <c r="G29" s="183">
        <v>7</v>
      </c>
      <c r="H29" s="183">
        <v>7</v>
      </c>
      <c r="I29" s="183">
        <v>7</v>
      </c>
      <c r="J29" s="183">
        <v>7</v>
      </c>
      <c r="K29" s="183">
        <v>7</v>
      </c>
      <c r="L29" s="183">
        <v>7</v>
      </c>
      <c r="M29" s="183">
        <v>7</v>
      </c>
      <c r="N29" s="183">
        <v>7</v>
      </c>
      <c r="O29" s="183">
        <v>7</v>
      </c>
      <c r="P29" s="183">
        <v>7</v>
      </c>
      <c r="Q29" s="183">
        <v>7</v>
      </c>
      <c r="R29" s="183">
        <v>7</v>
      </c>
      <c r="S29" s="183">
        <v>8</v>
      </c>
      <c r="T29" s="183">
        <v>8</v>
      </c>
      <c r="U29" s="183">
        <v>8</v>
      </c>
      <c r="V29" s="183">
        <v>8</v>
      </c>
      <c r="W29" s="183">
        <v>8</v>
      </c>
      <c r="X29" s="183">
        <v>8</v>
      </c>
      <c r="Y29" s="183">
        <v>8</v>
      </c>
      <c r="Z29" s="183">
        <v>8</v>
      </c>
      <c r="AA29" s="183">
        <v>8</v>
      </c>
      <c r="AB29" s="183">
        <v>8</v>
      </c>
      <c r="AC29" s="183">
        <v>8</v>
      </c>
      <c r="AD29" s="183">
        <v>8</v>
      </c>
      <c r="AE29" s="183">
        <v>8</v>
      </c>
      <c r="AF29" s="183">
        <v>8</v>
      </c>
      <c r="AG29" s="183">
        <v>8</v>
      </c>
      <c r="AH29" s="183">
        <v>8</v>
      </c>
      <c r="AI29" s="183">
        <v>8</v>
      </c>
      <c r="AJ29" s="183">
        <v>9</v>
      </c>
      <c r="AK29" s="183">
        <v>9</v>
      </c>
      <c r="AL29" s="183">
        <v>9</v>
      </c>
      <c r="AM29" s="183">
        <v>9</v>
      </c>
      <c r="AN29" s="183">
        <v>9</v>
      </c>
      <c r="AO29" s="183">
        <v>9</v>
      </c>
      <c r="AP29" s="183">
        <v>9</v>
      </c>
      <c r="AQ29" s="183">
        <v>9</v>
      </c>
      <c r="AR29" s="183">
        <v>9</v>
      </c>
      <c r="AS29" s="183">
        <v>9</v>
      </c>
      <c r="AT29" s="183">
        <v>9</v>
      </c>
      <c r="AU29" s="183">
        <v>9</v>
      </c>
      <c r="AV29" s="183">
        <v>9</v>
      </c>
      <c r="AW29" s="183">
        <v>9</v>
      </c>
      <c r="AX29" s="183">
        <v>9</v>
      </c>
      <c r="AY29" s="183">
        <v>9</v>
      </c>
      <c r="AZ29" s="183">
        <v>9</v>
      </c>
    </row>
    <row r="30" spans="1:52" x14ac:dyDescent="0.25">
      <c r="B30" s="183">
        <v>1</v>
      </c>
      <c r="C30" s="183">
        <v>1</v>
      </c>
      <c r="D30" s="183">
        <v>1</v>
      </c>
      <c r="E30" s="183">
        <v>1</v>
      </c>
      <c r="F30" s="183">
        <v>1</v>
      </c>
      <c r="G30" s="183">
        <v>1</v>
      </c>
      <c r="H30" s="183">
        <v>1</v>
      </c>
      <c r="I30" s="183">
        <v>1</v>
      </c>
      <c r="J30" s="183">
        <v>1</v>
      </c>
      <c r="K30" s="183">
        <v>1</v>
      </c>
      <c r="L30" s="183">
        <v>1</v>
      </c>
      <c r="M30" s="183">
        <v>1</v>
      </c>
      <c r="N30" s="183">
        <v>1</v>
      </c>
      <c r="O30" s="183">
        <v>1</v>
      </c>
      <c r="P30" s="183">
        <v>1</v>
      </c>
      <c r="Q30" s="183">
        <v>2</v>
      </c>
      <c r="R30" s="183">
        <v>2</v>
      </c>
      <c r="S30" s="183">
        <v>3</v>
      </c>
      <c r="T30" s="183">
        <v>3</v>
      </c>
      <c r="U30" s="183">
        <v>3</v>
      </c>
      <c r="V30" s="183">
        <v>3</v>
      </c>
      <c r="W30" s="183">
        <v>3</v>
      </c>
      <c r="X30" s="183">
        <v>3</v>
      </c>
      <c r="Y30" s="183">
        <v>3</v>
      </c>
      <c r="Z30" s="183">
        <v>3</v>
      </c>
      <c r="AA30" s="183">
        <v>3</v>
      </c>
      <c r="AB30" s="183">
        <v>3</v>
      </c>
      <c r="AC30" s="183">
        <v>3</v>
      </c>
      <c r="AD30" s="183">
        <v>3</v>
      </c>
      <c r="AE30" s="183">
        <v>3</v>
      </c>
      <c r="AF30" s="183">
        <v>3</v>
      </c>
      <c r="AG30" s="183">
        <v>3</v>
      </c>
      <c r="AH30" s="183">
        <v>4</v>
      </c>
      <c r="AI30" s="183">
        <v>4</v>
      </c>
      <c r="AJ30" s="183">
        <v>5</v>
      </c>
      <c r="AK30" s="183">
        <v>5</v>
      </c>
      <c r="AL30" s="183">
        <v>5</v>
      </c>
      <c r="AM30" s="183">
        <v>5</v>
      </c>
      <c r="AN30" s="183">
        <v>5</v>
      </c>
      <c r="AO30" s="183">
        <v>5</v>
      </c>
      <c r="AP30" s="183">
        <v>5</v>
      </c>
      <c r="AQ30" s="183">
        <v>5</v>
      </c>
      <c r="AR30" s="183">
        <v>5</v>
      </c>
      <c r="AS30" s="183">
        <v>5</v>
      </c>
      <c r="AT30" s="183">
        <v>5</v>
      </c>
      <c r="AU30" s="183">
        <v>5</v>
      </c>
      <c r="AV30" s="183">
        <v>5</v>
      </c>
      <c r="AW30" s="183">
        <v>5</v>
      </c>
      <c r="AX30" s="183">
        <v>5</v>
      </c>
      <c r="AY30" s="183">
        <v>6</v>
      </c>
      <c r="AZ30" s="183">
        <v>6</v>
      </c>
    </row>
    <row r="31" spans="1:52" x14ac:dyDescent="0.25">
      <c r="B31" s="183" t="s">
        <v>48</v>
      </c>
      <c r="C31" s="183" t="s">
        <v>49</v>
      </c>
      <c r="D31" s="183" t="s">
        <v>48</v>
      </c>
      <c r="E31" s="183" t="s">
        <v>49</v>
      </c>
      <c r="F31" s="183" t="s">
        <v>48</v>
      </c>
      <c r="G31" s="183" t="s">
        <v>49</v>
      </c>
      <c r="H31" s="183" t="s">
        <v>48</v>
      </c>
      <c r="I31" s="183" t="s">
        <v>49</v>
      </c>
      <c r="J31" s="183" t="s">
        <v>48</v>
      </c>
      <c r="K31" s="183" t="s">
        <v>49</v>
      </c>
      <c r="L31" s="183" t="s">
        <v>48</v>
      </c>
      <c r="M31" s="183" t="s">
        <v>48</v>
      </c>
      <c r="N31" s="183" t="s">
        <v>48</v>
      </c>
      <c r="O31" s="183" t="s">
        <v>48</v>
      </c>
      <c r="P31" s="183" t="s">
        <v>49</v>
      </c>
      <c r="Q31" s="183" t="s">
        <v>48</v>
      </c>
      <c r="R31" s="183" t="s">
        <v>49</v>
      </c>
      <c r="S31" s="183" t="s">
        <v>48</v>
      </c>
      <c r="T31" s="183" t="s">
        <v>49</v>
      </c>
      <c r="U31" s="183" t="s">
        <v>48</v>
      </c>
      <c r="V31" s="183" t="s">
        <v>49</v>
      </c>
      <c r="W31" s="183" t="s">
        <v>48</v>
      </c>
      <c r="X31" s="183" t="s">
        <v>49</v>
      </c>
      <c r="Y31" s="183" t="s">
        <v>48</v>
      </c>
      <c r="Z31" s="183" t="s">
        <v>49</v>
      </c>
      <c r="AA31" s="183" t="s">
        <v>48</v>
      </c>
      <c r="AB31" s="183" t="s">
        <v>49</v>
      </c>
      <c r="AC31" s="183" t="s">
        <v>48</v>
      </c>
      <c r="AD31" s="183" t="s">
        <v>48</v>
      </c>
      <c r="AE31" s="183" t="s">
        <v>48</v>
      </c>
      <c r="AF31" s="183" t="s">
        <v>48</v>
      </c>
      <c r="AG31" s="183" t="s">
        <v>49</v>
      </c>
      <c r="AH31" s="183" t="s">
        <v>48</v>
      </c>
      <c r="AI31" s="183" t="s">
        <v>49</v>
      </c>
      <c r="AJ31" s="183" t="s">
        <v>48</v>
      </c>
      <c r="AK31" s="183" t="s">
        <v>49</v>
      </c>
      <c r="AL31" s="183" t="s">
        <v>48</v>
      </c>
      <c r="AM31" s="183" t="s">
        <v>49</v>
      </c>
      <c r="AN31" s="183" t="s">
        <v>48</v>
      </c>
      <c r="AO31" s="183" t="s">
        <v>49</v>
      </c>
      <c r="AP31" s="183" t="s">
        <v>48</v>
      </c>
      <c r="AQ31" s="183" t="s">
        <v>49</v>
      </c>
      <c r="AR31" s="183" t="s">
        <v>48</v>
      </c>
      <c r="AS31" s="183" t="s">
        <v>49</v>
      </c>
      <c r="AT31" s="183" t="s">
        <v>48</v>
      </c>
      <c r="AU31" s="183" t="s">
        <v>48</v>
      </c>
      <c r="AV31" s="183" t="s">
        <v>48</v>
      </c>
      <c r="AW31" s="183" t="s">
        <v>48</v>
      </c>
      <c r="AX31" s="183" t="s">
        <v>49</v>
      </c>
      <c r="AY31" s="183" t="s">
        <v>48</v>
      </c>
      <c r="AZ31" s="183" t="s">
        <v>49</v>
      </c>
    </row>
    <row r="32" spans="1:52" x14ac:dyDescent="0.25">
      <c r="A32" s="7" t="s">
        <v>43</v>
      </c>
      <c r="B32" s="183">
        <v>130</v>
      </c>
      <c r="C32" s="183">
        <v>66</v>
      </c>
      <c r="D32" s="183">
        <v>191</v>
      </c>
      <c r="E32" s="183">
        <v>68</v>
      </c>
      <c r="F32" s="183">
        <v>144</v>
      </c>
      <c r="G32" s="183">
        <v>62</v>
      </c>
      <c r="H32" s="183">
        <v>158</v>
      </c>
      <c r="I32" s="183">
        <v>55</v>
      </c>
      <c r="J32" s="183">
        <v>105</v>
      </c>
      <c r="K32" s="183">
        <v>44</v>
      </c>
      <c r="L32" s="183">
        <v>134</v>
      </c>
      <c r="M32" s="183">
        <v>95</v>
      </c>
      <c r="N32" s="183">
        <v>166</v>
      </c>
      <c r="O32" s="183">
        <v>202</v>
      </c>
      <c r="P32" s="183">
        <v>71</v>
      </c>
      <c r="Q32" s="183" t="s">
        <v>138</v>
      </c>
      <c r="R32" s="183" t="s">
        <v>138</v>
      </c>
      <c r="S32" s="183">
        <v>137</v>
      </c>
      <c r="T32" s="183">
        <v>66</v>
      </c>
      <c r="U32" s="183">
        <v>230</v>
      </c>
      <c r="V32" s="183">
        <v>83</v>
      </c>
      <c r="W32" s="183">
        <v>152</v>
      </c>
      <c r="X32" s="183">
        <v>58</v>
      </c>
      <c r="Y32" s="183">
        <v>143</v>
      </c>
      <c r="Z32" s="183">
        <v>51</v>
      </c>
      <c r="AA32" s="183">
        <v>112</v>
      </c>
      <c r="AB32" s="183">
        <v>44</v>
      </c>
      <c r="AC32" s="183">
        <v>139</v>
      </c>
      <c r="AD32" s="183">
        <v>90</v>
      </c>
      <c r="AE32" s="183">
        <v>196</v>
      </c>
      <c r="AF32" s="183">
        <v>188</v>
      </c>
      <c r="AG32" s="183">
        <v>80</v>
      </c>
      <c r="AH32" s="183" t="s">
        <v>138</v>
      </c>
      <c r="AI32" s="183" t="s">
        <v>138</v>
      </c>
      <c r="AJ32" s="183">
        <v>122</v>
      </c>
      <c r="AK32" s="183">
        <v>64</v>
      </c>
      <c r="AL32" s="183">
        <v>195</v>
      </c>
      <c r="AM32" s="183">
        <v>71</v>
      </c>
      <c r="AN32" s="183">
        <v>156</v>
      </c>
      <c r="AO32" s="183">
        <v>62</v>
      </c>
      <c r="AP32" s="183">
        <v>142</v>
      </c>
      <c r="AQ32" s="183">
        <v>51</v>
      </c>
      <c r="AR32" s="183">
        <v>115</v>
      </c>
      <c r="AS32" s="183">
        <v>49</v>
      </c>
      <c r="AT32" s="183">
        <v>144</v>
      </c>
      <c r="AU32" s="183">
        <v>88</v>
      </c>
      <c r="AV32" s="183">
        <v>159</v>
      </c>
      <c r="AW32" s="183">
        <v>163</v>
      </c>
      <c r="AX32" s="183">
        <v>78</v>
      </c>
      <c r="AY32" s="183" t="s">
        <v>138</v>
      </c>
      <c r="AZ32" s="183" t="s">
        <v>138</v>
      </c>
    </row>
    <row r="33" spans="1:52" x14ac:dyDescent="0.25">
      <c r="A33" s="7" t="s">
        <v>44</v>
      </c>
      <c r="B33" s="183">
        <v>120</v>
      </c>
      <c r="C33" s="183">
        <v>73</v>
      </c>
      <c r="D33" s="183">
        <v>197</v>
      </c>
      <c r="E33" s="183">
        <v>55</v>
      </c>
      <c r="F33" s="183">
        <v>139</v>
      </c>
      <c r="G33" s="183">
        <v>60</v>
      </c>
      <c r="H33" s="183">
        <v>156</v>
      </c>
      <c r="I33" s="183">
        <v>59</v>
      </c>
      <c r="J33" s="183">
        <v>113</v>
      </c>
      <c r="K33" s="183">
        <v>51</v>
      </c>
      <c r="L33" s="183">
        <v>132</v>
      </c>
      <c r="M33" s="183">
        <v>89</v>
      </c>
      <c r="N33" s="183">
        <v>159</v>
      </c>
      <c r="O33" s="183">
        <v>202</v>
      </c>
      <c r="P33" s="183">
        <v>79</v>
      </c>
      <c r="Q33" s="183" t="s">
        <v>138</v>
      </c>
      <c r="R33" s="183" t="s">
        <v>138</v>
      </c>
      <c r="S33" s="183">
        <v>132</v>
      </c>
      <c r="T33" s="183">
        <v>88</v>
      </c>
      <c r="U33" s="183">
        <v>216</v>
      </c>
      <c r="V33" s="183">
        <v>59</v>
      </c>
      <c r="W33" s="183">
        <v>139</v>
      </c>
      <c r="X33" s="183">
        <v>60</v>
      </c>
      <c r="Y33" s="183">
        <v>147</v>
      </c>
      <c r="Z33" s="183">
        <v>54</v>
      </c>
      <c r="AA33" s="183">
        <v>122</v>
      </c>
      <c r="AB33" s="183">
        <v>43</v>
      </c>
      <c r="AC33" s="183">
        <v>145</v>
      </c>
      <c r="AD33" s="183">
        <v>95</v>
      </c>
      <c r="AE33" s="183">
        <v>181</v>
      </c>
      <c r="AF33" s="183">
        <v>181</v>
      </c>
      <c r="AG33" s="183">
        <v>56</v>
      </c>
      <c r="AH33" s="183" t="s">
        <v>138</v>
      </c>
      <c r="AI33" s="183" t="s">
        <v>138</v>
      </c>
      <c r="AJ33" s="183">
        <v>132</v>
      </c>
      <c r="AK33" s="183">
        <v>68</v>
      </c>
      <c r="AL33" s="183">
        <v>172</v>
      </c>
      <c r="AM33" s="183">
        <v>51</v>
      </c>
      <c r="AN33" s="183">
        <v>152</v>
      </c>
      <c r="AO33" s="183">
        <v>63</v>
      </c>
      <c r="AP33" s="183">
        <v>164</v>
      </c>
      <c r="AQ33" s="183">
        <v>72</v>
      </c>
      <c r="AR33" s="183">
        <v>123</v>
      </c>
      <c r="AS33" s="183">
        <v>53</v>
      </c>
      <c r="AT33" s="183">
        <v>187</v>
      </c>
      <c r="AU33" s="183">
        <v>97</v>
      </c>
      <c r="AV33" s="183">
        <v>167</v>
      </c>
      <c r="AW33" s="183">
        <v>207</v>
      </c>
      <c r="AX33" s="183">
        <v>57</v>
      </c>
      <c r="AY33" s="183" t="s">
        <v>138</v>
      </c>
      <c r="AZ33" s="183" t="s">
        <v>138</v>
      </c>
    </row>
    <row r="34" spans="1:52" x14ac:dyDescent="0.25">
      <c r="A34" s="7" t="s">
        <v>45</v>
      </c>
      <c r="B34" s="183">
        <v>153</v>
      </c>
      <c r="C34" s="183">
        <v>71</v>
      </c>
      <c r="D34" s="183">
        <v>219</v>
      </c>
      <c r="E34" s="183">
        <v>51</v>
      </c>
      <c r="F34" s="183">
        <v>152</v>
      </c>
      <c r="G34" s="183">
        <v>59</v>
      </c>
      <c r="J34" s="183">
        <v>137</v>
      </c>
      <c r="K34" s="183">
        <v>50</v>
      </c>
      <c r="L34" s="183">
        <v>174</v>
      </c>
      <c r="M34" s="183">
        <v>107</v>
      </c>
      <c r="N34" s="183" t="s">
        <v>138</v>
      </c>
      <c r="O34" s="183">
        <v>168</v>
      </c>
      <c r="P34" s="183">
        <v>46</v>
      </c>
      <c r="Q34" s="183" t="s">
        <v>138</v>
      </c>
      <c r="R34" s="183" t="s">
        <v>138</v>
      </c>
      <c r="S34" s="183">
        <v>138</v>
      </c>
      <c r="T34" s="183">
        <v>71</v>
      </c>
      <c r="U34" s="183">
        <v>227</v>
      </c>
      <c r="V34" s="183">
        <v>54</v>
      </c>
      <c r="W34" s="183">
        <v>162</v>
      </c>
      <c r="X34" s="183">
        <v>59</v>
      </c>
      <c r="AA34" s="183">
        <v>159</v>
      </c>
      <c r="AB34" s="183">
        <v>58</v>
      </c>
      <c r="AC34" s="183">
        <v>175</v>
      </c>
      <c r="AD34" s="183">
        <v>99</v>
      </c>
      <c r="AE34" s="183" t="s">
        <v>138</v>
      </c>
      <c r="AF34" s="183">
        <v>212</v>
      </c>
      <c r="AG34" s="183">
        <v>71</v>
      </c>
      <c r="AH34" s="183" t="s">
        <v>138</v>
      </c>
      <c r="AI34" s="183" t="s">
        <v>138</v>
      </c>
      <c r="AJ34" s="183">
        <v>154</v>
      </c>
      <c r="AK34" s="183">
        <v>69</v>
      </c>
      <c r="AL34" s="183">
        <v>220</v>
      </c>
      <c r="AM34" s="183">
        <v>48</v>
      </c>
      <c r="AN34" s="183">
        <v>171</v>
      </c>
      <c r="AO34" s="183">
        <v>54</v>
      </c>
      <c r="AP34" s="183">
        <v>230</v>
      </c>
      <c r="AQ34" s="183">
        <v>69</v>
      </c>
      <c r="AR34" s="183">
        <v>161</v>
      </c>
      <c r="AS34" s="183">
        <v>60</v>
      </c>
      <c r="AT34" s="183">
        <v>168</v>
      </c>
      <c r="AU34" s="183">
        <v>87</v>
      </c>
      <c r="AV34" s="183" t="s">
        <v>138</v>
      </c>
      <c r="AW34" s="183">
        <v>223</v>
      </c>
      <c r="AX34" s="183">
        <v>76</v>
      </c>
      <c r="AY34" s="183" t="s">
        <v>138</v>
      </c>
      <c r="AZ34" s="183" t="s">
        <v>138</v>
      </c>
    </row>
    <row r="35" spans="1:52" x14ac:dyDescent="0.25">
      <c r="A35" s="7" t="s">
        <v>46</v>
      </c>
      <c r="B35" s="183" t="s">
        <v>138</v>
      </c>
      <c r="C35" s="183" t="s">
        <v>138</v>
      </c>
      <c r="D35" s="183" t="s">
        <v>138</v>
      </c>
      <c r="E35" s="183" t="s">
        <v>138</v>
      </c>
      <c r="F35" s="183" t="s">
        <v>138</v>
      </c>
      <c r="G35" s="183" t="s">
        <v>138</v>
      </c>
      <c r="H35" s="183" t="s">
        <v>138</v>
      </c>
      <c r="I35" s="183" t="s">
        <v>138</v>
      </c>
      <c r="J35" s="183" t="s">
        <v>138</v>
      </c>
      <c r="K35" s="183" t="s">
        <v>138</v>
      </c>
      <c r="L35" s="183">
        <v>160</v>
      </c>
      <c r="M35" s="183" t="s">
        <v>138</v>
      </c>
      <c r="N35" s="183">
        <v>155</v>
      </c>
      <c r="O35" s="183" t="s">
        <v>138</v>
      </c>
      <c r="P35" s="183" t="s">
        <v>138</v>
      </c>
      <c r="Q35" s="183" t="s">
        <v>138</v>
      </c>
      <c r="R35" s="183" t="s">
        <v>138</v>
      </c>
      <c r="S35" s="183" t="s">
        <v>138</v>
      </c>
      <c r="T35" s="183" t="s">
        <v>138</v>
      </c>
      <c r="U35" s="183" t="s">
        <v>138</v>
      </c>
      <c r="V35" s="183" t="s">
        <v>138</v>
      </c>
      <c r="W35" s="183" t="s">
        <v>138</v>
      </c>
      <c r="X35" s="183" t="s">
        <v>138</v>
      </c>
      <c r="Y35" s="183" t="s">
        <v>138</v>
      </c>
      <c r="Z35" s="183" t="s">
        <v>138</v>
      </c>
      <c r="AA35" s="183" t="s">
        <v>138</v>
      </c>
      <c r="AB35" s="183" t="s">
        <v>138</v>
      </c>
      <c r="AC35" s="183">
        <v>147</v>
      </c>
      <c r="AD35" s="183" t="s">
        <v>138</v>
      </c>
      <c r="AE35" s="183">
        <v>183</v>
      </c>
      <c r="AF35" s="183" t="s">
        <v>138</v>
      </c>
      <c r="AG35" s="183" t="s">
        <v>138</v>
      </c>
      <c r="AH35" s="183" t="s">
        <v>138</v>
      </c>
      <c r="AI35" s="183" t="s">
        <v>138</v>
      </c>
      <c r="AJ35" s="183" t="s">
        <v>138</v>
      </c>
      <c r="AK35" s="183" t="s">
        <v>138</v>
      </c>
      <c r="AL35" s="183" t="s">
        <v>138</v>
      </c>
      <c r="AM35" s="183" t="s">
        <v>138</v>
      </c>
      <c r="AN35" s="183" t="s">
        <v>138</v>
      </c>
      <c r="AO35" s="183" t="s">
        <v>138</v>
      </c>
      <c r="AP35" s="183" t="s">
        <v>138</v>
      </c>
      <c r="AQ35" s="183" t="s">
        <v>138</v>
      </c>
      <c r="AR35" s="183" t="s">
        <v>138</v>
      </c>
      <c r="AS35" s="183" t="s">
        <v>138</v>
      </c>
      <c r="AT35" s="183">
        <v>162</v>
      </c>
      <c r="AU35" s="183" t="s">
        <v>138</v>
      </c>
      <c r="AV35" s="183">
        <v>180</v>
      </c>
      <c r="AW35" s="183" t="s">
        <v>138</v>
      </c>
      <c r="AX35" s="183" t="s">
        <v>138</v>
      </c>
      <c r="AY35" s="183" t="s">
        <v>138</v>
      </c>
      <c r="AZ35" s="183" t="s">
        <v>138</v>
      </c>
    </row>
    <row r="36" spans="1:52" x14ac:dyDescent="0.25">
      <c r="A36" s="7" t="s">
        <v>47</v>
      </c>
      <c r="B36" s="183" t="s">
        <v>138</v>
      </c>
      <c r="C36" s="183" t="s">
        <v>138</v>
      </c>
      <c r="D36" s="183" t="s">
        <v>138</v>
      </c>
      <c r="E36" s="183" t="s">
        <v>138</v>
      </c>
      <c r="F36" s="183" t="s">
        <v>138</v>
      </c>
      <c r="G36" s="183" t="s">
        <v>138</v>
      </c>
      <c r="H36" s="183">
        <v>211</v>
      </c>
      <c r="I36" s="183">
        <v>77</v>
      </c>
      <c r="J36" s="183" t="s">
        <v>138</v>
      </c>
      <c r="K36" s="183" t="s">
        <v>138</v>
      </c>
      <c r="L36" s="183" t="s">
        <v>138</v>
      </c>
      <c r="M36" s="183" t="s">
        <v>138</v>
      </c>
      <c r="N36" s="183">
        <v>203</v>
      </c>
      <c r="O36" s="183">
        <v>133</v>
      </c>
      <c r="P36" s="183">
        <v>18</v>
      </c>
      <c r="Q36" s="183">
        <v>135</v>
      </c>
      <c r="R36" s="183">
        <v>51</v>
      </c>
      <c r="S36" s="183" t="s">
        <v>138</v>
      </c>
      <c r="T36" s="183" t="s">
        <v>138</v>
      </c>
      <c r="U36" s="183" t="s">
        <v>138</v>
      </c>
      <c r="V36" s="183" t="s">
        <v>138</v>
      </c>
      <c r="W36" s="183" t="s">
        <v>138</v>
      </c>
      <c r="X36" s="183" t="s">
        <v>138</v>
      </c>
      <c r="Y36" s="183">
        <v>218</v>
      </c>
      <c r="Z36" s="183">
        <v>77</v>
      </c>
      <c r="AA36" s="183" t="s">
        <v>138</v>
      </c>
      <c r="AB36" s="183" t="s">
        <v>138</v>
      </c>
      <c r="AC36" s="183" t="s">
        <v>138</v>
      </c>
      <c r="AD36" s="183" t="s">
        <v>138</v>
      </c>
      <c r="AE36" s="183">
        <v>196</v>
      </c>
      <c r="AF36" s="183">
        <v>149</v>
      </c>
      <c r="AG36" s="183">
        <v>25</v>
      </c>
      <c r="AH36" s="183">
        <v>216</v>
      </c>
      <c r="AI36" s="183">
        <v>60</v>
      </c>
      <c r="AJ36" s="183" t="s">
        <v>138</v>
      </c>
      <c r="AK36" s="183" t="s">
        <v>138</v>
      </c>
      <c r="AL36" s="183" t="s">
        <v>138</v>
      </c>
      <c r="AM36" s="183" t="s">
        <v>138</v>
      </c>
      <c r="AN36" s="183" t="s">
        <v>138</v>
      </c>
      <c r="AO36" s="183" t="s">
        <v>138</v>
      </c>
      <c r="AP36" s="183" t="s">
        <v>138</v>
      </c>
      <c r="AQ36" s="183" t="s">
        <v>138</v>
      </c>
      <c r="AR36" s="183" t="s">
        <v>138</v>
      </c>
      <c r="AS36" s="183" t="s">
        <v>138</v>
      </c>
      <c r="AT36" s="183" t="s">
        <v>138</v>
      </c>
      <c r="AU36" s="183" t="s">
        <v>138</v>
      </c>
      <c r="AV36" s="183">
        <v>200</v>
      </c>
      <c r="AW36" s="183">
        <v>184</v>
      </c>
      <c r="AX36" s="183">
        <v>22</v>
      </c>
      <c r="AY36" s="183">
        <v>203</v>
      </c>
      <c r="AZ36" s="183">
        <v>76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142</v>
      </c>
      <c r="B1" t="s">
        <v>143</v>
      </c>
    </row>
    <row r="2" spans="1:2" x14ac:dyDescent="0.25">
      <c r="A2" t="s">
        <v>144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(必填)統計表</vt:lpstr>
      <vt:lpstr>汰換年相反</vt:lpstr>
      <vt:lpstr>(必填)花東B表</vt:lpstr>
      <vt:lpstr>(勿動)單價表</vt:lpstr>
      <vt:lpstr>工作表3</vt:lpstr>
      <vt:lpstr>抬頭</vt:lpstr>
      <vt:lpstr>'(必填)統計表'!Print_Area</vt:lpstr>
      <vt:lpstr>汰換年相反!Print_Area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教育處-005</cp:lastModifiedBy>
  <cp:lastPrinted>2026-02-02T07:19:02Z</cp:lastPrinted>
  <dcterms:created xsi:type="dcterms:W3CDTF">2021-09-06T06:24:56Z</dcterms:created>
  <dcterms:modified xsi:type="dcterms:W3CDTF">2026-02-02T07:28:37Z</dcterms:modified>
</cp:coreProperties>
</file>