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59" yWindow="-13" windowWidth="12489" windowHeight="10630"/>
  </bookViews>
  <sheets>
    <sheet name="統計表" sheetId="4" r:id="rId1"/>
    <sheet name="工作表2" sheetId="7" state="hidden" r:id="rId2"/>
    <sheet name="抬頭" sheetId="2" state="hidden" r:id="rId3"/>
  </sheets>
  <definedNames>
    <definedName name="_xlnm.Print_Area" localSheetId="0">統計表!$A$1:$S$29</definedName>
    <definedName name="三年級英語">工作表2!$BQ$4:$BQ$7</definedName>
    <definedName name="六年級英語">工作表2!$BY$4:$BY$10</definedName>
    <definedName name="四五年級英語">工作表2!$BT$4:$BT$9</definedName>
    <definedName name="版本">工作表2!$A$4:$A$7</definedName>
    <definedName name="臺北市市立松山國小書籍需求統計">#REF!</definedName>
  </definedNames>
  <calcPr calcId="152511"/>
</workbook>
</file>

<file path=xl/calcChain.xml><?xml version="1.0" encoding="utf-8"?>
<calcChain xmlns="http://schemas.openxmlformats.org/spreadsheetml/2006/main">
  <c r="M15" i="4" l="1"/>
  <c r="L15" i="4"/>
  <c r="M13" i="4"/>
  <c r="L13" i="4"/>
  <c r="M11" i="4"/>
  <c r="L11" i="4"/>
  <c r="M9" i="4"/>
  <c r="L9" i="4"/>
  <c r="P15" i="4"/>
  <c r="O15" i="4"/>
  <c r="N15" i="4"/>
  <c r="K15" i="4"/>
  <c r="J15" i="4"/>
  <c r="I15" i="4"/>
  <c r="H15" i="4"/>
  <c r="G15" i="4"/>
  <c r="F15" i="4"/>
  <c r="P13" i="4"/>
  <c r="O13" i="4"/>
  <c r="N13" i="4"/>
  <c r="K13" i="4"/>
  <c r="J13" i="4"/>
  <c r="I13" i="4"/>
  <c r="H13" i="4"/>
  <c r="G13" i="4"/>
  <c r="F13" i="4"/>
  <c r="P11" i="4"/>
  <c r="O11" i="4"/>
  <c r="N11" i="4"/>
  <c r="K11" i="4"/>
  <c r="J11" i="4"/>
  <c r="I11" i="4"/>
  <c r="H11" i="4"/>
  <c r="G11" i="4"/>
  <c r="F11" i="4"/>
  <c r="P9" i="4"/>
  <c r="O9" i="4"/>
  <c r="N9" i="4"/>
  <c r="K9" i="4"/>
  <c r="J9" i="4"/>
  <c r="I9" i="4"/>
  <c r="H9" i="4"/>
  <c r="G9" i="4"/>
  <c r="F9" i="4"/>
  <c r="E15" i="4"/>
  <c r="D15" i="4"/>
  <c r="E13" i="4"/>
  <c r="D13" i="4"/>
  <c r="E11" i="4"/>
  <c r="D11" i="4"/>
  <c r="E9" i="4"/>
  <c r="D9" i="4"/>
  <c r="G7" i="4"/>
  <c r="F7" i="4"/>
  <c r="E7" i="4"/>
  <c r="D7" i="4"/>
  <c r="N7" i="4"/>
  <c r="W6" i="4"/>
  <c r="Y6" i="4"/>
  <c r="C7" i="4"/>
  <c r="B7" i="4"/>
  <c r="N5" i="4"/>
  <c r="W5" i="4"/>
  <c r="Y5" i="4"/>
  <c r="F5" i="4"/>
  <c r="G5" i="4"/>
  <c r="E5" i="4"/>
  <c r="D5" i="4"/>
  <c r="C5" i="4"/>
  <c r="B5" i="4"/>
  <c r="W10" i="4"/>
  <c r="Y10" i="4"/>
  <c r="V10" i="4"/>
  <c r="X10" i="4"/>
  <c r="Q15" i="4"/>
  <c r="W9" i="4"/>
  <c r="Y9" i="4"/>
  <c r="Q13" i="4"/>
  <c r="Q12" i="4"/>
  <c r="S12" i="4"/>
  <c r="V9" i="4"/>
  <c r="X9" i="4"/>
  <c r="W8" i="4"/>
  <c r="Y8" i="4"/>
  <c r="V8" i="4"/>
  <c r="X8" i="4"/>
  <c r="Q10" i="4"/>
  <c r="S10" i="4"/>
  <c r="W7" i="4"/>
  <c r="Y7" i="4"/>
  <c r="Q8" i="4"/>
  <c r="S8" i="4"/>
  <c r="Q9" i="4"/>
  <c r="V6" i="4"/>
  <c r="X6" i="4"/>
  <c r="Q7" i="4"/>
  <c r="V5" i="4"/>
  <c r="X5" i="4"/>
  <c r="Q5" i="4"/>
  <c r="Q4" i="4"/>
  <c r="S4" i="4"/>
  <c r="Q11" i="4"/>
  <c r="Q14" i="4"/>
  <c r="S14" i="4"/>
  <c r="V7" i="4"/>
  <c r="X7" i="4"/>
  <c r="Q6" i="4"/>
  <c r="S6" i="4"/>
  <c r="Y11" i="4"/>
  <c r="Q19" i="4"/>
  <c r="X11" i="4"/>
  <c r="Q18" i="4"/>
  <c r="R16" i="4"/>
  <c r="Q20" i="4"/>
</calcChain>
</file>

<file path=xl/sharedStrings.xml><?xml version="1.0" encoding="utf-8"?>
<sst xmlns="http://schemas.openxmlformats.org/spreadsheetml/2006/main" count="278" uniqueCount="94">
  <si>
    <t>抬頭1</t>
  </si>
  <si>
    <t>抬頭2</t>
  </si>
  <si>
    <t>花蓮縣縣立玉里國中學校與學生用書補助統計</t>
  </si>
  <si>
    <t>年級</t>
    <phoneticPr fontId="3" type="noConversion"/>
  </si>
  <si>
    <t>數學</t>
    <phoneticPr fontId="3" type="noConversion"/>
  </si>
  <si>
    <t>社會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</si>
  <si>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</si>
  <si>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</si>
  <si>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</si>
  <si>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每人補助金額</t>
    <phoneticPr fontId="3" type="noConversion"/>
  </si>
  <si>
    <t>補助
學生數</t>
    <phoneticPr fontId="3" type="noConversion"/>
  </si>
  <si>
    <r>
      <t xml:space="preserve">年級
</t>
    </r>
    <r>
      <rPr>
        <sz val="10"/>
        <color indexed="8"/>
        <rFont val="標楷體"/>
        <family val="4"/>
        <charset val="136"/>
      </rPr>
      <t>補助金額</t>
    </r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</si>
  <si>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</si>
  <si>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</si>
  <si>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</si>
  <si>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</si>
  <si>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</si>
  <si>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</si>
  <si>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</si>
  <si>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補助對象：本縣公立國民中小學之學生、私立國民中小學原住民族籍學生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</si>
  <si>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</si>
  <si>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</si>
  <si>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</si>
  <si>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</si>
  <si>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</si>
  <si>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校長：</t>
    <phoneticPr fontId="3" type="noConversion"/>
  </si>
  <si>
    <t>承辦人聯絡電話：</t>
    <phoneticPr fontId="3" type="noConversion"/>
  </si>
  <si>
    <t>無</t>
  </si>
  <si>
    <t>110學年度第1學期審定本與藝能科教科書補助金額統計表</t>
  </si>
  <si>
    <t>花蓮縣</t>
    <phoneticPr fontId="3" type="noConversion"/>
  </si>
  <si>
    <t>學校名稱</t>
  </si>
  <si>
    <t>1.請將本表列印核章後，於110年9月24日(星期五)前，掃描上傳至校務系統。</t>
    <phoneticPr fontId="3" type="noConversion"/>
  </si>
  <si>
    <t>審定本教科書補助合計</t>
    <phoneticPr fontId="3" type="noConversion"/>
  </si>
  <si>
    <t>藝能科教科書補助合計</t>
    <phoneticPr fontId="3" type="noConversion"/>
  </si>
  <si>
    <r>
      <rPr>
        <sz val="7.5"/>
        <rFont val="標楷體"/>
        <family val="4"/>
        <charset val="136"/>
      </rPr>
      <t>學習領域(科)</t>
    </r>
  </si>
  <si>
    <r>
      <rPr>
        <sz val="7.5"/>
        <rFont val="標楷體"/>
        <family val="4"/>
        <charset val="136"/>
      </rPr>
      <t xml:space="preserve">適用
</t>
    </r>
    <r>
      <rPr>
        <sz val="7.5"/>
        <rFont val="標楷體"/>
        <family val="4"/>
        <charset val="136"/>
      </rPr>
      <t>年級</t>
    </r>
  </si>
  <si>
    <r>
      <rPr>
        <sz val="7.5"/>
        <rFont val="標楷體"/>
        <family val="4"/>
        <charset val="136"/>
      </rPr>
      <t>類別</t>
    </r>
  </si>
  <si>
    <r>
      <rPr>
        <sz val="7.5"/>
        <rFont val="標楷體"/>
        <family val="4"/>
        <charset val="136"/>
      </rPr>
      <t>國語</t>
    </r>
  </si>
  <si>
    <r>
      <rPr>
        <sz val="7.5"/>
        <rFont val="標楷體"/>
        <family val="4"/>
        <charset val="136"/>
      </rPr>
      <t>課本</t>
    </r>
  </si>
  <si>
    <r>
      <rPr>
        <sz val="7.5"/>
        <rFont val="標楷體"/>
        <family val="4"/>
        <charset val="136"/>
      </rPr>
      <t>習作</t>
    </r>
  </si>
  <si>
    <r>
      <rPr>
        <sz val="7.5"/>
        <rFont val="標楷體"/>
        <family val="4"/>
        <charset val="136"/>
      </rPr>
      <t>數學</t>
    </r>
  </si>
  <si>
    <r>
      <rPr>
        <sz val="7.5"/>
        <rFont val="標楷體"/>
        <family val="4"/>
        <charset val="136"/>
      </rPr>
      <t>生活</t>
    </r>
  </si>
  <si>
    <r>
      <rPr>
        <sz val="7.5"/>
        <rFont val="標楷體"/>
        <family val="4"/>
        <charset val="136"/>
      </rPr>
      <t>健康與體育</t>
    </r>
  </si>
  <si>
    <r>
      <rPr>
        <sz val="7.5"/>
        <rFont val="標楷體"/>
        <family val="4"/>
        <charset val="136"/>
      </rPr>
      <t>自然科學</t>
    </r>
  </si>
  <si>
    <r>
      <rPr>
        <sz val="7.5"/>
        <rFont val="標楷體"/>
        <family val="4"/>
        <charset val="136"/>
      </rPr>
      <t>綜合活動</t>
    </r>
  </si>
  <si>
    <r>
      <rPr>
        <sz val="7.5"/>
        <rFont val="標楷體"/>
        <family val="4"/>
        <charset val="136"/>
      </rPr>
      <t>社會</t>
    </r>
  </si>
  <si>
    <r>
      <rPr>
        <sz val="7.5"/>
        <rFont val="標楷體"/>
        <family val="4"/>
        <charset val="136"/>
      </rPr>
      <t>藝術</t>
    </r>
  </si>
  <si>
    <r>
      <rPr>
        <sz val="7.5"/>
        <rFont val="標楷體"/>
        <family val="4"/>
        <charset val="136"/>
      </rPr>
      <t>英語</t>
    </r>
  </si>
  <si>
    <r>
      <rPr>
        <sz val="7.5"/>
        <rFont val="標楷體"/>
        <family val="4"/>
        <charset val="136"/>
      </rPr>
      <t>數學(乙版)</t>
    </r>
  </si>
  <si>
    <r>
      <rPr>
        <sz val="7.5"/>
        <rFont val="標楷體"/>
        <family val="4"/>
        <charset val="136"/>
      </rPr>
      <t>自然與生活科技</t>
    </r>
  </si>
  <si>
    <r>
      <rPr>
        <sz val="7.5"/>
        <rFont val="標楷體"/>
        <family val="4"/>
        <charset val="136"/>
      </rPr>
      <t>藝術與人文</t>
    </r>
  </si>
  <si>
    <r>
      <rPr>
        <sz val="7.5"/>
        <rFont val="標楷體"/>
        <family val="4"/>
        <charset val="136"/>
      </rPr>
      <t>社會(乙版)</t>
    </r>
  </si>
  <si>
    <t>康軒</t>
    <phoneticPr fontId="1" type="noConversion"/>
  </si>
  <si>
    <t>翰林</t>
    <phoneticPr fontId="1" type="noConversion"/>
  </si>
  <si>
    <t>南一</t>
    <phoneticPr fontId="1" type="noConversion"/>
  </si>
  <si>
    <t>無</t>
    <phoneticPr fontId="2" type="noConversion"/>
  </si>
  <si>
    <t>自然與生活科技</t>
    <phoneticPr fontId="3" type="noConversion"/>
  </si>
  <si>
    <t>國語</t>
    <phoneticPr fontId="3" type="noConversion"/>
  </si>
  <si>
    <t>生活</t>
    <phoneticPr fontId="3" type="noConversion"/>
  </si>
  <si>
    <t>一年級</t>
    <phoneticPr fontId="3" type="noConversion"/>
  </si>
  <si>
    <t>二年級</t>
    <phoneticPr fontId="3" type="noConversion"/>
  </si>
  <si>
    <t>三年級</t>
    <phoneticPr fontId="3" type="noConversion"/>
  </si>
  <si>
    <t>四年級</t>
    <phoneticPr fontId="3" type="noConversion"/>
  </si>
  <si>
    <t>五年級</t>
    <phoneticPr fontId="3" type="noConversion"/>
  </si>
  <si>
    <t>六年級</t>
    <phoneticPr fontId="3" type="noConversion"/>
  </si>
  <si>
    <t>康軒 Wonder World</t>
    <phoneticPr fontId="1" type="noConversion"/>
  </si>
  <si>
    <t>翰林 Here We Go</t>
    <phoneticPr fontId="1" type="noConversion"/>
  </si>
  <si>
    <t>何嘉仁 Super Fun</t>
    <phoneticPr fontId="1" type="noConversion"/>
  </si>
  <si>
    <t>何嘉仁 Story.com</t>
    <phoneticPr fontId="1" type="noConversion"/>
  </si>
  <si>
    <t>何嘉仁 eSTAR</t>
    <phoneticPr fontId="1" type="noConversion"/>
  </si>
  <si>
    <t>翰林 Dino on the go</t>
    <phoneticPr fontId="1" type="noConversion"/>
  </si>
  <si>
    <t>康軒 Hello,Kids!</t>
    <phoneticPr fontId="1" type="noConversion"/>
  </si>
  <si>
    <t>康軒 Follow Me.</t>
    <phoneticPr fontId="1" type="noConversion"/>
  </si>
  <si>
    <t>康軒 Follow Me.</t>
    <phoneticPr fontId="1" type="noConversion"/>
  </si>
  <si>
    <t>翰林 Dino on the go</t>
    <phoneticPr fontId="1" type="noConversion"/>
  </si>
  <si>
    <t>何嘉仁 Give Me
Five</t>
    <phoneticPr fontId="1" type="noConversion"/>
  </si>
  <si>
    <t>何嘉仁 eSTAR</t>
    <phoneticPr fontId="1" type="noConversion"/>
  </si>
  <si>
    <t>藝術(與人文)</t>
    <phoneticPr fontId="3" type="noConversion"/>
  </si>
  <si>
    <r>
      <rPr>
        <sz val="7.5"/>
        <color indexed="8"/>
        <rFont val="標楷體"/>
        <family val="4"/>
        <charset val="136"/>
      </rPr>
      <t>無</t>
    </r>
    <phoneticPr fontId="1" type="noConversion"/>
  </si>
  <si>
    <t>原住民族籍學生補助金額</t>
    <phoneticPr fontId="3" type="noConversion"/>
  </si>
  <si>
    <t>110學年度第1學期全校原住民族籍補助金額</t>
    <phoneticPr fontId="3" type="noConversion"/>
  </si>
  <si>
    <t>2.請將本表列印核章後，於110年9月24日(星期五)前，掃描上傳至校務系統。</t>
    <phoneticPr fontId="1" type="noConversion"/>
  </si>
  <si>
    <t>3.倘學生同時有「原住民族籍」及「低收入戶或中低收入戶身分」，請優先以「低收入戶或中低收
入戶身分」申請國教署補助「花東地區接受義務教育學生書籍費」。</t>
    <phoneticPr fontId="1" type="noConversion"/>
  </si>
  <si>
    <t>1.學校名稱及黃色塊欄位請一一填列，列印建議以「橫向」、「窄邊界」、縮小「95%」最佳。</t>
    <phoneticPr fontId="1" type="noConversion"/>
  </si>
  <si>
    <t>審定本</t>
  </si>
  <si>
    <t>藝能科</t>
  </si>
  <si>
    <t>審定本
合計</t>
  </si>
  <si>
    <t>藝能科
合計</t>
  </si>
  <si>
    <t>一</t>
  </si>
  <si>
    <t>二</t>
  </si>
  <si>
    <t>三</t>
  </si>
  <si>
    <t>四</t>
  </si>
  <si>
    <t>五</t>
  </si>
  <si>
    <t>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</si>
</sst>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4" formatCode="#,##0_ "/>
  </numFmts>
  <fonts count="23" x14ac:knownFonts="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7.5"/>
      <name val="標楷體"/>
      <family val="4"/>
      <charset val="136"/>
    </font>
    <font>
      <b/>
      <sz val="7.5"/>
      <name val="標楷體"/>
      <family val="4"/>
      <charset val="136"/>
    </font>
    <font>
      <sz val="7.5"/>
      <name val="標楷體"/>
      <family val="4"/>
      <charset val="136"/>
    </font>
    <font>
      <sz val="7.5"/>
      <name val="標楷體"/>
      <family val="4"/>
      <charset val="136"/>
    </font>
    <font>
      <sz val="7.5"/>
      <color indexed="8"/>
      <name val="標楷體"/>
      <family val="4"/>
      <charset val="136"/>
    </font>
    <font>
      <sz val="10"/>
      <color rgb="FF000000"/>
      <name val="Times New Roman"/>
      <family val="1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7.5"/>
      <color rgb="FF000000"/>
      <name val="標楷體"/>
      <family val="4"/>
      <charset val="136"/>
    </font>
    <font>
      <sz val="7.5"/>
      <color rgb="FFFF0000"/>
      <name val="標楷體"/>
      <family val="4"/>
      <charset val="136"/>
    </font>
    <font>
      <sz val="10"/>
      <color rgb="FF000000"/>
      <name val="Segoe UI Black"/>
      <family val="2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1" fillId="0" borderId="12" xfId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1" fontId="16" fillId="0" borderId="12" xfId="1" applyNumberFormat="1" applyFont="1" applyFill="1" applyBorder="1" applyAlignment="1">
      <alignment horizontal="center" vertical="center" shrinkToFit="1"/>
    </xf>
    <xf numFmtId="1" fontId="16" fillId="0" borderId="2" xfId="1" applyNumberFormat="1" applyFont="1" applyFill="1" applyBorder="1" applyAlignment="1">
      <alignment horizontal="center" vertical="center" shrinkToFit="1"/>
    </xf>
    <xf numFmtId="0" fontId="7" fillId="0" borderId="13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1" fontId="16" fillId="2" borderId="12" xfId="1" applyNumberFormat="1" applyFont="1" applyFill="1" applyBorder="1" applyAlignment="1">
      <alignment horizontal="center" vertical="center" shrinkToFit="1"/>
    </xf>
    <xf numFmtId="1" fontId="16" fillId="2" borderId="2" xfId="1" applyNumberFormat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1" fontId="16" fillId="0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wrapText="1"/>
    </xf>
    <xf numFmtId="1" fontId="16" fillId="0" borderId="0" xfId="1" applyNumberFormat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0" fontId="8" fillId="2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/>
    </xf>
    <xf numFmtId="1" fontId="16" fillId="0" borderId="3" xfId="1" applyNumberFormat="1" applyFont="1" applyFill="1" applyBorder="1" applyAlignment="1">
      <alignment horizontal="center" vertical="center" wrapText="1" shrinkToFit="1"/>
    </xf>
    <xf numFmtId="1" fontId="16" fillId="2" borderId="3" xfId="1" applyNumberFormat="1" applyFont="1" applyFill="1" applyBorder="1" applyAlignment="1">
      <alignment horizontal="center" vertical="center" wrapText="1" shrinkToFit="1"/>
    </xf>
    <xf numFmtId="1" fontId="16" fillId="2" borderId="12" xfId="1" applyNumberFormat="1" applyFont="1" applyFill="1" applyBorder="1" applyAlignment="1">
      <alignment horizontal="center" vertical="center" shrinkToFit="1"/>
    </xf>
    <xf numFmtId="1" fontId="16" fillId="0" borderId="12" xfId="1" applyNumberFormat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41" fontId="13" fillId="0" borderId="4" xfId="0" applyNumberFormat="1" applyFont="1" applyFill="1" applyBorder="1" applyAlignment="1" applyProtection="1">
      <alignment vertical="center"/>
    </xf>
    <xf numFmtId="41" fontId="15" fillId="0" borderId="2" xfId="0" applyNumberFormat="1" applyFont="1" applyFill="1" applyBorder="1" applyAlignment="1" applyProtection="1">
      <alignment vertical="center"/>
    </xf>
    <xf numFmtId="41" fontId="0" fillId="0" borderId="0" xfId="0" applyNumberFormat="1"/>
    <xf numFmtId="41" fontId="15" fillId="4" borderId="6" xfId="0" applyNumberFormat="1" applyFont="1" applyFill="1" applyBorder="1" applyAlignment="1" applyProtection="1">
      <alignment horizontal="center" vertical="center"/>
    </xf>
    <xf numFmtId="41" fontId="15" fillId="4" borderId="7" xfId="0" applyNumberFormat="1" applyFont="1" applyFill="1" applyBorder="1" applyAlignment="1" applyProtection="1">
      <alignment horizontal="center" vertical="center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184" fontId="13" fillId="0" borderId="5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184" fontId="13" fillId="3" borderId="5" xfId="0" applyNumberFormat="1" applyFont="1" applyFill="1" applyBorder="1" applyAlignment="1" applyProtection="1">
      <alignment vertical="center"/>
      <protection locked="0"/>
    </xf>
    <xf numFmtId="184" fontId="13" fillId="3" borderId="4" xfId="0" applyNumberFormat="1" applyFont="1" applyFill="1" applyBorder="1" applyAlignment="1" applyProtection="1">
      <alignment vertical="center"/>
      <protection locked="0"/>
    </xf>
    <xf numFmtId="184" fontId="13" fillId="0" borderId="5" xfId="0" applyNumberFormat="1" applyFont="1" applyFill="1" applyBorder="1" applyAlignment="1" applyProtection="1">
      <alignment vertical="center"/>
    </xf>
    <xf numFmtId="184" fontId="13" fillId="0" borderId="4" xfId="0" applyNumberFormat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13" fillId="0" borderId="5" xfId="0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184" fontId="5" fillId="0" borderId="2" xfId="0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 applyProtection="1">
      <alignment horizontal="right" vertical="center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right" vertical="center"/>
      <protection locked="0"/>
    </xf>
    <xf numFmtId="184" fontId="13" fillId="0" borderId="2" xfId="0" applyNumberFormat="1" applyFont="1" applyFill="1" applyBorder="1" applyAlignment="1" applyProtection="1">
      <alignment horizontal="right" vertical="center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right" vertical="center"/>
      <protection locked="0"/>
    </xf>
    <xf numFmtId="0" fontId="13" fillId="0" borderId="8" xfId="0" applyFont="1" applyFill="1" applyBorder="1" applyAlignment="1" applyProtection="1">
      <alignment horizontal="right" vertical="center"/>
      <protection locked="0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" fontId="16" fillId="2" borderId="2" xfId="1" applyNumberFormat="1" applyFont="1" applyFill="1" applyBorder="1" applyAlignment="1">
      <alignment horizontal="center" vertical="center" shrinkToFit="1"/>
    </xf>
    <xf numFmtId="1" fontId="16" fillId="0" borderId="2" xfId="1" applyNumberFormat="1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zoomScale="110" zoomScaleNormal="110" workbookViewId="0">
      <selection activeCell="S33" sqref="S33"/>
    </sheetView>
  </sheetViews>
  <sheetFormatPr defaultRowHeight="13.75" x14ac:dyDescent="0.25"/>
  <cols>
    <col min="1" max="1" width="9.28515625" style="3" customWidth="1"/>
    <col min="2" max="13" width="7.85546875" style="3" customWidth="1"/>
    <col min="14" max="16" width="9.85546875" style="3" customWidth="1"/>
    <col min="17" max="17" width="11.140625" style="3" customWidth="1"/>
    <col min="18" max="18" width="13.42578125" style="3" customWidth="1"/>
    <col min="19" max="19" width="20.140625" style="3" customWidth="1"/>
    <col min="21" max="25" width="0" hidden="1" customWidth="1"/>
  </cols>
  <sheetData>
    <row r="1" spans="1:25" ht="22.25" x14ac:dyDescent="0.25">
      <c r="C1" s="1"/>
      <c r="D1" s="5" t="s">
        <v>29</v>
      </c>
      <c r="E1" s="61" t="s">
        <v>30</v>
      </c>
      <c r="F1" s="61"/>
      <c r="G1" s="61"/>
      <c r="H1" s="61"/>
      <c r="I1" s="61"/>
      <c r="J1" s="61"/>
      <c r="K1" s="4" t="s">
        <v>28</v>
      </c>
      <c r="L1" s="1"/>
      <c r="M1" s="1"/>
      <c r="N1" s="1"/>
      <c r="O1" s="1"/>
      <c r="P1" s="1"/>
      <c r="Q1" s="1"/>
      <c r="R1" s="1"/>
    </row>
    <row r="2" spans="1:25" ht="24.9" customHeight="1" x14ac:dyDescent="0.25">
      <c r="A2" s="59" t="s">
        <v>3</v>
      </c>
      <c r="B2" s="62" t="s">
        <v>58</v>
      </c>
      <c r="C2" s="63"/>
      <c r="D2" s="66" t="s">
        <v>57</v>
      </c>
      <c r="E2" s="67"/>
      <c r="F2" s="66" t="s">
        <v>4</v>
      </c>
      <c r="G2" s="67"/>
      <c r="H2" s="66" t="s">
        <v>5</v>
      </c>
      <c r="I2" s="67"/>
      <c r="J2" s="72" t="s">
        <v>56</v>
      </c>
      <c r="K2" s="73"/>
      <c r="L2" s="66" t="s">
        <v>6</v>
      </c>
      <c r="M2" s="67"/>
      <c r="N2" s="39" t="s">
        <v>7</v>
      </c>
      <c r="O2" s="39" t="s">
        <v>8</v>
      </c>
      <c r="P2" s="40" t="s">
        <v>77</v>
      </c>
      <c r="Q2" s="69" t="s">
        <v>9</v>
      </c>
      <c r="R2" s="68" t="s">
        <v>10</v>
      </c>
      <c r="S2" s="69" t="s">
        <v>11</v>
      </c>
    </row>
    <row r="3" spans="1:25" ht="24.9" customHeight="1" x14ac:dyDescent="0.25">
      <c r="A3" s="60"/>
      <c r="B3" s="7" t="s">
        <v>12</v>
      </c>
      <c r="C3" s="7" t="s">
        <v>13</v>
      </c>
      <c r="D3" s="7" t="s">
        <v>12</v>
      </c>
      <c r="E3" s="7" t="s">
        <v>13</v>
      </c>
      <c r="F3" s="7" t="s">
        <v>12</v>
      </c>
      <c r="G3" s="7" t="s">
        <v>14</v>
      </c>
      <c r="H3" s="7" t="s">
        <v>15</v>
      </c>
      <c r="I3" s="7" t="s">
        <v>16</v>
      </c>
      <c r="J3" s="7" t="s">
        <v>12</v>
      </c>
      <c r="K3" s="7" t="s">
        <v>13</v>
      </c>
      <c r="L3" s="7" t="s">
        <v>17</v>
      </c>
      <c r="M3" s="7" t="s">
        <v>13</v>
      </c>
      <c r="N3" s="7" t="s">
        <v>12</v>
      </c>
      <c r="O3" s="7" t="s">
        <v>18</v>
      </c>
      <c r="P3" s="7" t="s">
        <v>17</v>
      </c>
      <c r="Q3" s="69"/>
      <c r="R3" s="68"/>
      <c r="S3" s="69"/>
    </row>
    <row r="4" spans="1:25" ht="20.149999999999999" customHeight="1" x14ac:dyDescent="0.25">
      <c r="A4" s="55" t="s">
        <v>59</v>
      </c>
      <c r="B4" s="57" t="s">
        <v>27</v>
      </c>
      <c r="C4" s="58"/>
      <c r="D4" s="57" t="s">
        <v>27</v>
      </c>
      <c r="E4" s="58"/>
      <c r="F4" s="57" t="s">
        <v>27</v>
      </c>
      <c r="G4" s="58"/>
      <c r="H4" s="44">
        <v>0</v>
      </c>
      <c r="I4" s="45"/>
      <c r="J4" s="44">
        <v>0</v>
      </c>
      <c r="K4" s="45"/>
      <c r="L4" s="44">
        <v>0</v>
      </c>
      <c r="M4" s="45"/>
      <c r="N4" s="38" t="s">
        <v>27</v>
      </c>
      <c r="O4" s="44">
        <v>0</v>
      </c>
      <c r="P4" s="45"/>
      <c r="Q4" s="48">
        <f>SUM(B5:P5)</f>
        <v>0</v>
      </c>
      <c r="R4" s="50"/>
      <c r="S4" s="52">
        <f>Q4*R4</f>
        <v>0</v>
      </c>
      <c r="V4" t="s">
        <v>84</v>
      </c>
      <c r="W4" t="s">
        <v>85</v>
      </c>
      <c r="X4" t="s">
        <v>86</v>
      </c>
      <c r="Y4" t="s">
        <v>87</v>
      </c>
    </row>
    <row r="5" spans="1:25" ht="20.149999999999999" customHeight="1" x14ac:dyDescent="0.25">
      <c r="A5" s="56"/>
      <c r="B5" s="41">
        <f>VLOOKUP($B$4,工作表2!$A$4:$BO$8,6,FALSE)</f>
        <v>0</v>
      </c>
      <c r="C5" s="41">
        <f>VLOOKUP($B$4,工作表2!$A$4:$BO$8,7,FALSE)</f>
        <v>0</v>
      </c>
      <c r="D5" s="41">
        <f>VLOOKUP($D$4,工作表2!$A$4:$BO$8,2,FALSE)</f>
        <v>0</v>
      </c>
      <c r="E5" s="41">
        <f>VLOOKUP($D$4,工作表2!$A$4:$BO$8,3,FALSE)</f>
        <v>0</v>
      </c>
      <c r="F5" s="41">
        <f>VLOOKUP($F$4,工作表2!$A$4:$BO$8,4,FALSE)</f>
        <v>0</v>
      </c>
      <c r="G5" s="41">
        <f>VLOOKUP($F$4,工作表2!$A$4:$BO$8,5,FALSE)</f>
        <v>0</v>
      </c>
      <c r="H5" s="44">
        <v>0</v>
      </c>
      <c r="I5" s="45"/>
      <c r="J5" s="44">
        <v>0</v>
      </c>
      <c r="K5" s="45"/>
      <c r="L5" s="44">
        <v>0</v>
      </c>
      <c r="M5" s="45"/>
      <c r="N5" s="41">
        <f>VLOOKUP($N$4,工作表2!$A$4:$BO$8,8,FALSE)</f>
        <v>0</v>
      </c>
      <c r="O5" s="44">
        <v>0</v>
      </c>
      <c r="P5" s="45"/>
      <c r="Q5" s="49">
        <f>SUM(D5:P5)</f>
        <v>0</v>
      </c>
      <c r="R5" s="51"/>
      <c r="S5" s="53"/>
      <c r="U5" t="s">
        <v>88</v>
      </c>
      <c r="V5" s="43">
        <f>SUM(B5:G5)</f>
        <v>0</v>
      </c>
      <c r="W5" s="43">
        <f>N5</f>
        <v>0</v>
      </c>
      <c r="X5" s="43">
        <f>V5*$R$4</f>
        <v>0</v>
      </c>
      <c r="Y5" s="43">
        <f>W5*$R$4</f>
        <v>0</v>
      </c>
    </row>
    <row r="6" spans="1:25" ht="20.149999999999999" customHeight="1" x14ac:dyDescent="0.25">
      <c r="A6" s="59" t="s">
        <v>60</v>
      </c>
      <c r="B6" s="57" t="s">
        <v>27</v>
      </c>
      <c r="C6" s="58"/>
      <c r="D6" s="57" t="s">
        <v>27</v>
      </c>
      <c r="E6" s="58"/>
      <c r="F6" s="57" t="s">
        <v>27</v>
      </c>
      <c r="G6" s="58"/>
      <c r="H6" s="44">
        <v>0</v>
      </c>
      <c r="I6" s="45"/>
      <c r="J6" s="44">
        <v>0</v>
      </c>
      <c r="K6" s="45"/>
      <c r="L6" s="44">
        <v>0</v>
      </c>
      <c r="M6" s="45"/>
      <c r="N6" s="38" t="s">
        <v>27</v>
      </c>
      <c r="O6" s="44">
        <v>0</v>
      </c>
      <c r="P6" s="45"/>
      <c r="Q6" s="48">
        <f>SUM(B7:P7)</f>
        <v>0</v>
      </c>
      <c r="R6" s="50"/>
      <c r="S6" s="52">
        <f>Q6*R6</f>
        <v>0</v>
      </c>
      <c r="U6" t="s">
        <v>89</v>
      </c>
      <c r="V6" s="43">
        <f>SUM(B7:G7)</f>
        <v>0</v>
      </c>
      <c r="W6" s="43">
        <f>N7</f>
        <v>0</v>
      </c>
      <c r="X6" s="43">
        <f>V6*$R$6</f>
        <v>0</v>
      </c>
      <c r="Y6" s="43">
        <f>W6*$R$6</f>
        <v>0</v>
      </c>
    </row>
    <row r="7" spans="1:25" ht="20.149999999999999" customHeight="1" x14ac:dyDescent="0.25">
      <c r="A7" s="60"/>
      <c r="B7" s="41">
        <f>VLOOKUP($B6,工作表2!$A$4:$BO$8,13,FALSE)</f>
        <v>0</v>
      </c>
      <c r="C7" s="41">
        <f>VLOOKUP($B6,工作表2!$A$4:$BO$8,14,FALSE)</f>
        <v>0</v>
      </c>
      <c r="D7" s="41">
        <f>VLOOKUP($D6,工作表2!$A$4:$BO$8,9,FALSE)</f>
        <v>0</v>
      </c>
      <c r="E7" s="41">
        <f>VLOOKUP($D6,工作表2!$A$4:$BO$8,10,FALSE)</f>
        <v>0</v>
      </c>
      <c r="F7" s="41">
        <f>VLOOKUP($F6,工作表2!$A$4:$BO$8,11,FALSE)</f>
        <v>0</v>
      </c>
      <c r="G7" s="41">
        <f>VLOOKUP($F6,工作表2!$A$4:$BO$8,12,FALSE)</f>
        <v>0</v>
      </c>
      <c r="H7" s="44">
        <v>0</v>
      </c>
      <c r="I7" s="45"/>
      <c r="J7" s="44">
        <v>0</v>
      </c>
      <c r="K7" s="45"/>
      <c r="L7" s="44">
        <v>0</v>
      </c>
      <c r="M7" s="45"/>
      <c r="N7" s="41">
        <f>VLOOKUP($N6,工作表2!$A$4:$BO$8,15,FALSE)</f>
        <v>0</v>
      </c>
      <c r="O7" s="44">
        <v>0</v>
      </c>
      <c r="P7" s="45"/>
      <c r="Q7" s="49">
        <f>SUM(D7:P7)</f>
        <v>0</v>
      </c>
      <c r="R7" s="51"/>
      <c r="S7" s="53"/>
      <c r="U7" t="s">
        <v>90</v>
      </c>
      <c r="V7" s="43">
        <f>SUM(D9:M9)</f>
        <v>0</v>
      </c>
      <c r="W7" s="43">
        <f>SUM(N9:P9)</f>
        <v>0</v>
      </c>
      <c r="X7" s="43">
        <f>V7*$R$8</f>
        <v>0</v>
      </c>
      <c r="Y7" s="43">
        <f>W7*$R$8</f>
        <v>0</v>
      </c>
    </row>
    <row r="8" spans="1:25" ht="20.149999999999999" customHeight="1" x14ac:dyDescent="0.25">
      <c r="A8" s="55" t="s">
        <v>61</v>
      </c>
      <c r="B8" s="44">
        <v>0</v>
      </c>
      <c r="C8" s="45"/>
      <c r="D8" s="57" t="s">
        <v>27</v>
      </c>
      <c r="E8" s="58"/>
      <c r="F8" s="57" t="s">
        <v>27</v>
      </c>
      <c r="G8" s="58"/>
      <c r="H8" s="57" t="s">
        <v>27</v>
      </c>
      <c r="I8" s="58"/>
      <c r="J8" s="57" t="s">
        <v>27</v>
      </c>
      <c r="K8" s="58"/>
      <c r="L8" s="46" t="s">
        <v>27</v>
      </c>
      <c r="M8" s="47"/>
      <c r="N8" s="38" t="s">
        <v>27</v>
      </c>
      <c r="O8" s="38" t="s">
        <v>27</v>
      </c>
      <c r="P8" s="38" t="s">
        <v>27</v>
      </c>
      <c r="Q8" s="48">
        <f>SUM(B9:P9)</f>
        <v>0</v>
      </c>
      <c r="R8" s="50"/>
      <c r="S8" s="52">
        <f>Q8*R8</f>
        <v>0</v>
      </c>
      <c r="U8" t="s">
        <v>91</v>
      </c>
      <c r="V8" s="43">
        <f>SUM(D11:M11)</f>
        <v>0</v>
      </c>
      <c r="W8" s="43">
        <f>SUM(N11:P11)</f>
        <v>0</v>
      </c>
      <c r="X8" s="43">
        <f>V8*$R$10</f>
        <v>0</v>
      </c>
      <c r="Y8" s="43">
        <f>W8*$R$10</f>
        <v>0</v>
      </c>
    </row>
    <row r="9" spans="1:25" ht="20.149999999999999" customHeight="1" x14ac:dyDescent="0.25">
      <c r="A9" s="56"/>
      <c r="B9" s="44">
        <v>0</v>
      </c>
      <c r="C9" s="45"/>
      <c r="D9" s="41">
        <f>VLOOKUP($D8,工作表2!$A$4:$BO$8,19,FALSE)</f>
        <v>0</v>
      </c>
      <c r="E9" s="41">
        <f>VLOOKUP($D8,工作表2!$A$4:$BO$8,20,FALSE)</f>
        <v>0</v>
      </c>
      <c r="F9" s="41">
        <f>VLOOKUP($F8,工作表2!$A$4:$BO$8,21,FALSE)</f>
        <v>0</v>
      </c>
      <c r="G9" s="41">
        <f>VLOOKUP($F8,工作表2!$A$4:$BO$8,22,FALSE)</f>
        <v>0</v>
      </c>
      <c r="H9" s="41">
        <f>VLOOKUP($H8,工作表2!$A$4:$BO$8,23,FALSE)</f>
        <v>0</v>
      </c>
      <c r="I9" s="41">
        <f>VLOOKUP($H8,工作表2!$A$4:$BO$8,24,FALSE)</f>
        <v>0</v>
      </c>
      <c r="J9" s="41">
        <f>VLOOKUP($J8,工作表2!$A$4:$BO$8,16,FALSE)</f>
        <v>0</v>
      </c>
      <c r="K9" s="41">
        <f>VLOOKUP($J8,工作表2!$A$4:$BO$8,17,FALSE)</f>
        <v>0</v>
      </c>
      <c r="L9" s="42">
        <f>VLOOKUP($L8,工作表2!$BQ$4:$BS$7,2,FALSE)</f>
        <v>0</v>
      </c>
      <c r="M9" s="42">
        <f>VLOOKUP($L8,工作表2!$BQ$4:$BS$7,3,FALSE)</f>
        <v>0</v>
      </c>
      <c r="N9" s="41">
        <f>VLOOKUP($N8,工作表2!$A$4:$BO$8,25,FALSE)</f>
        <v>0</v>
      </c>
      <c r="O9" s="41">
        <f>VLOOKUP($O8,工作表2!$A$4:$BO$8,18,FALSE)</f>
        <v>0</v>
      </c>
      <c r="P9" s="41">
        <f>VLOOKUP($P8,工作表2!$A$4:$BO$8,26,FALSE)</f>
        <v>0</v>
      </c>
      <c r="Q9" s="49">
        <f>SUM(D9:P9)</f>
        <v>0</v>
      </c>
      <c r="R9" s="51"/>
      <c r="S9" s="53"/>
      <c r="U9" t="s">
        <v>92</v>
      </c>
      <c r="V9" s="43">
        <f>SUM(D13:M13)</f>
        <v>0</v>
      </c>
      <c r="W9" s="43">
        <f>SUM(N13:P13)</f>
        <v>0</v>
      </c>
      <c r="X9" s="43">
        <f>V9*$R$12</f>
        <v>0</v>
      </c>
      <c r="Y9" s="43">
        <f>W9*$R$12</f>
        <v>0</v>
      </c>
    </row>
    <row r="10" spans="1:25" ht="20.149999999999999" customHeight="1" x14ac:dyDescent="0.25">
      <c r="A10" s="55" t="s">
        <v>62</v>
      </c>
      <c r="B10" s="44">
        <v>0</v>
      </c>
      <c r="C10" s="45"/>
      <c r="D10" s="57" t="s">
        <v>27</v>
      </c>
      <c r="E10" s="58"/>
      <c r="F10" s="57" t="s">
        <v>27</v>
      </c>
      <c r="G10" s="58"/>
      <c r="H10" s="57" t="s">
        <v>27</v>
      </c>
      <c r="I10" s="58"/>
      <c r="J10" s="57" t="s">
        <v>27</v>
      </c>
      <c r="K10" s="58"/>
      <c r="L10" s="46" t="s">
        <v>27</v>
      </c>
      <c r="M10" s="47"/>
      <c r="N10" s="38" t="s">
        <v>27</v>
      </c>
      <c r="O10" s="38" t="s">
        <v>27</v>
      </c>
      <c r="P10" s="38" t="s">
        <v>27</v>
      </c>
      <c r="Q10" s="48">
        <f>SUM(B11:P11)</f>
        <v>0</v>
      </c>
      <c r="R10" s="50"/>
      <c r="S10" s="52">
        <f>Q10*R10</f>
        <v>0</v>
      </c>
      <c r="U10" t="s">
        <v>93</v>
      </c>
      <c r="V10" s="43">
        <f>SUM(D15:M15)</f>
        <v>0</v>
      </c>
      <c r="W10" s="43">
        <f>SUM(N15:P15)</f>
        <v>0</v>
      </c>
      <c r="X10" s="43">
        <f>V10*$R$14</f>
        <v>0</v>
      </c>
      <c r="Y10" s="43">
        <f>W10*$R$14</f>
        <v>0</v>
      </c>
    </row>
    <row r="11" spans="1:25" ht="20.149999999999999" customHeight="1" x14ac:dyDescent="0.25">
      <c r="A11" s="56"/>
      <c r="B11" s="44">
        <v>0</v>
      </c>
      <c r="C11" s="45"/>
      <c r="D11" s="41">
        <f>VLOOKUP($D10,工作表2!$A$4:$BO$8,27,FALSE)</f>
        <v>0</v>
      </c>
      <c r="E11" s="41">
        <f>VLOOKUP($D10,工作表2!$A$4:$BO$8,28,FALSE)</f>
        <v>0</v>
      </c>
      <c r="F11" s="41">
        <f>VLOOKUP($F10,工作表2!$A$4:$BO$8,29,FALSE)</f>
        <v>0</v>
      </c>
      <c r="G11" s="41">
        <f>VLOOKUP($F10,工作表2!$A$4:$BO$8,30,FALSE)</f>
        <v>0</v>
      </c>
      <c r="H11" s="41">
        <f>VLOOKUP($H10,工作表2!$A$4:$BO$8,33,FALSE)</f>
        <v>0</v>
      </c>
      <c r="I11" s="41">
        <f>VLOOKUP($H10,工作表2!$A$4:$BO$8,34,FALSE)</f>
        <v>0</v>
      </c>
      <c r="J11" s="41">
        <f>VLOOKUP($J10,工作表2!$A$4:$BO$8,35,FALSE)</f>
        <v>0</v>
      </c>
      <c r="K11" s="41">
        <f>VLOOKUP($J10,工作表2!$A$4:$BO$8,36,FALSE)</f>
        <v>0</v>
      </c>
      <c r="L11" s="42">
        <f>VLOOKUP($L10,工作表2!$BT$4:$BX$9,2,FALSE)</f>
        <v>0</v>
      </c>
      <c r="M11" s="42">
        <f>VLOOKUP($L10,工作表2!$BT$4:$BX$9,3,FALSE)</f>
        <v>0</v>
      </c>
      <c r="N11" s="41">
        <f>VLOOKUP($N10,工作表2!$A$4:$BO$8,37,FALSE)</f>
        <v>0</v>
      </c>
      <c r="O11" s="41">
        <f>VLOOKUP($O10,工作表2!$A$4:$BO$8,38,FALSE)</f>
        <v>0</v>
      </c>
      <c r="P11" s="41">
        <f>VLOOKUP($P10,工作表2!$A$4:$BO$8,39,FALSE)</f>
        <v>0</v>
      </c>
      <c r="Q11" s="49">
        <f>SUM(D11:P11)</f>
        <v>0</v>
      </c>
      <c r="R11" s="51"/>
      <c r="S11" s="53"/>
      <c r="X11">
        <f>SUM(X5:X10)</f>
        <v>0</v>
      </c>
      <c r="Y11">
        <f>SUM(Y5:Y10)</f>
        <v>0</v>
      </c>
    </row>
    <row r="12" spans="1:25" ht="20.149999999999999" customHeight="1" x14ac:dyDescent="0.25">
      <c r="A12" s="59" t="s">
        <v>63</v>
      </c>
      <c r="B12" s="44">
        <v>0</v>
      </c>
      <c r="C12" s="45"/>
      <c r="D12" s="57" t="s">
        <v>27</v>
      </c>
      <c r="E12" s="58"/>
      <c r="F12" s="57" t="s">
        <v>27</v>
      </c>
      <c r="G12" s="58"/>
      <c r="H12" s="57" t="s">
        <v>27</v>
      </c>
      <c r="I12" s="58"/>
      <c r="J12" s="57" t="s">
        <v>27</v>
      </c>
      <c r="K12" s="58"/>
      <c r="L12" s="46" t="s">
        <v>27</v>
      </c>
      <c r="M12" s="47"/>
      <c r="N12" s="38" t="s">
        <v>27</v>
      </c>
      <c r="O12" s="38" t="s">
        <v>27</v>
      </c>
      <c r="P12" s="38" t="s">
        <v>27</v>
      </c>
      <c r="Q12" s="48">
        <f>SUM(B13:P13)</f>
        <v>0</v>
      </c>
      <c r="R12" s="50"/>
      <c r="S12" s="52">
        <f>Q12*R12</f>
        <v>0</v>
      </c>
    </row>
    <row r="13" spans="1:25" ht="20.149999999999999" customHeight="1" x14ac:dyDescent="0.25">
      <c r="A13" s="60"/>
      <c r="B13" s="44">
        <v>0</v>
      </c>
      <c r="C13" s="45"/>
      <c r="D13" s="41">
        <f>VLOOKUP($D12,工作表2!$A$4:$BO$8,40,FALSE)</f>
        <v>0</v>
      </c>
      <c r="E13" s="41">
        <f>VLOOKUP($D12,工作表2!$A$4:$BO$8,41,FALSE)</f>
        <v>0</v>
      </c>
      <c r="F13" s="41">
        <f>VLOOKUP($F12,工作表2!$A$4:$BO$8,42,FALSE)</f>
        <v>0</v>
      </c>
      <c r="G13" s="41">
        <f>VLOOKUP($F12,工作表2!$A$4:$BO$8,43,FALSE)</f>
        <v>0</v>
      </c>
      <c r="H13" s="41">
        <f>VLOOKUP($H12,工作表2!$A$4:$BO$8,46,FALSE)</f>
        <v>0</v>
      </c>
      <c r="I13" s="41">
        <f>VLOOKUP($H12,工作表2!$A$4:$BO$8,47,FALSE)</f>
        <v>0</v>
      </c>
      <c r="J13" s="41">
        <f>VLOOKUP($J12,工作表2!$A$4:$BO$8,50,FALSE)</f>
        <v>0</v>
      </c>
      <c r="K13" s="41">
        <f>VLOOKUP($J12,工作表2!$A$4:$BO$8,51,FALSE)</f>
        <v>0</v>
      </c>
      <c r="L13" s="42">
        <f>VLOOKUP($L12,工作表2!$BT$4:$BX$9,4,FALSE)</f>
        <v>0</v>
      </c>
      <c r="M13" s="42">
        <f>VLOOKUP($L12,工作表2!$BT$4:$BX$9,5,FALSE)</f>
        <v>0</v>
      </c>
      <c r="N13" s="41">
        <f>VLOOKUP($N12,工作表2!$A$4:$BO$8,52,FALSE)</f>
        <v>0</v>
      </c>
      <c r="O13" s="41">
        <f>VLOOKUP($O12,工作表2!$A$4:$BO$8,53,FALSE)</f>
        <v>0</v>
      </c>
      <c r="P13" s="41">
        <f>VLOOKUP($P12,工作表2!$A$4:$BO$8,54,FALSE)</f>
        <v>0</v>
      </c>
      <c r="Q13" s="49">
        <f>SUM(D13:P13)</f>
        <v>0</v>
      </c>
      <c r="R13" s="51"/>
      <c r="S13" s="53"/>
    </row>
    <row r="14" spans="1:25" ht="20.149999999999999" customHeight="1" x14ac:dyDescent="0.25">
      <c r="A14" s="55" t="s">
        <v>64</v>
      </c>
      <c r="B14" s="44">
        <v>0</v>
      </c>
      <c r="C14" s="45"/>
      <c r="D14" s="57" t="s">
        <v>27</v>
      </c>
      <c r="E14" s="58"/>
      <c r="F14" s="57" t="s">
        <v>27</v>
      </c>
      <c r="G14" s="58"/>
      <c r="H14" s="57" t="s">
        <v>27</v>
      </c>
      <c r="I14" s="58"/>
      <c r="J14" s="57" t="s">
        <v>27</v>
      </c>
      <c r="K14" s="58"/>
      <c r="L14" s="46" t="s">
        <v>27</v>
      </c>
      <c r="M14" s="47"/>
      <c r="N14" s="38" t="s">
        <v>27</v>
      </c>
      <c r="O14" s="38" t="s">
        <v>27</v>
      </c>
      <c r="P14" s="38" t="s">
        <v>27</v>
      </c>
      <c r="Q14" s="48">
        <f>SUM(B15:P15)</f>
        <v>0</v>
      </c>
      <c r="R14" s="50"/>
      <c r="S14" s="52">
        <f>Q14*R14</f>
        <v>0</v>
      </c>
    </row>
    <row r="15" spans="1:25" ht="20.149999999999999" customHeight="1" x14ac:dyDescent="0.25">
      <c r="A15" s="56"/>
      <c r="B15" s="44">
        <v>0</v>
      </c>
      <c r="C15" s="45"/>
      <c r="D15" s="41">
        <f>VLOOKUP($D14,工作表2!$A$4:$BO$8,55,FALSE)</f>
        <v>0</v>
      </c>
      <c r="E15" s="41">
        <f>VLOOKUP($D14,工作表2!$A$4:$BO$8,56,FALSE)</f>
        <v>0</v>
      </c>
      <c r="F15" s="41">
        <f>VLOOKUP($F14,工作表2!$A$4:$BO$8,57,FALSE)</f>
        <v>0</v>
      </c>
      <c r="G15" s="41">
        <f>VLOOKUP($F14,工作表2!$A$4:$BO$8,58,FALSE)</f>
        <v>0</v>
      </c>
      <c r="H15" s="41">
        <f>VLOOKUP($H14,工作表2!$A$4:$BO$8,61,FALSE)</f>
        <v>0</v>
      </c>
      <c r="I15" s="41">
        <f>VLOOKUP($H14,工作表2!$A$4:$BO$8,62,FALSE)</f>
        <v>0</v>
      </c>
      <c r="J15" s="41">
        <f>VLOOKUP($J14,工作表2!$A$4:$BO$8,63,FALSE)</f>
        <v>0</v>
      </c>
      <c r="K15" s="41">
        <f>VLOOKUP($J14,工作表2!$A$4:$BO$8,64,FALSE)</f>
        <v>0</v>
      </c>
      <c r="L15" s="42">
        <f>VLOOKUP($L14,工作表2!$BY$4:$CA$10,2,FALSE)</f>
        <v>0</v>
      </c>
      <c r="M15" s="42">
        <f>VLOOKUP($L14,工作表2!$BY$4:$CA$10,3,FALSE)</f>
        <v>0</v>
      </c>
      <c r="N15" s="41">
        <f>VLOOKUP($N14,工作表2!$A$4:$BO$8,65,FALSE)</f>
        <v>0</v>
      </c>
      <c r="O15" s="41">
        <f>VLOOKUP($O14,工作表2!$A$4:$BO$8,66,FALSE)</f>
        <v>0</v>
      </c>
      <c r="P15" s="41">
        <f>VLOOKUP($P14,工作表2!$A$4:$BO$8,67,FALSE)</f>
        <v>0</v>
      </c>
      <c r="Q15" s="49">
        <f>SUM(D15:P15)</f>
        <v>0</v>
      </c>
      <c r="R15" s="51"/>
      <c r="S15" s="53"/>
    </row>
    <row r="16" spans="1:25" ht="20.149999999999999" customHeight="1" x14ac:dyDescent="0.25">
      <c r="A16" s="74" t="s">
        <v>79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1">
        <f>SUM(S4:S15)</f>
        <v>0</v>
      </c>
      <c r="S16" s="71"/>
    </row>
    <row r="17" spans="1:19" ht="16.39999999999999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0.149999999999999" customHeight="1" x14ac:dyDescent="0.25">
      <c r="A18" s="65" t="s">
        <v>32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4">
        <f>X11</f>
        <v>0</v>
      </c>
      <c r="R18" s="64"/>
      <c r="S18" s="64"/>
    </row>
    <row r="19" spans="1:19" ht="20.149999999999999" customHeight="1" x14ac:dyDescent="0.25">
      <c r="A19" s="65" t="s">
        <v>33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4">
        <f>Y11</f>
        <v>0</v>
      </c>
      <c r="R19" s="64"/>
      <c r="S19" s="64"/>
    </row>
    <row r="20" spans="1:19" ht="20.149999999999999" customHeight="1" x14ac:dyDescent="0.25">
      <c r="A20" s="70" t="s">
        <v>80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1">
        <f>SUM(Q18:S19)</f>
        <v>0</v>
      </c>
      <c r="R20" s="71"/>
      <c r="S20" s="71"/>
    </row>
    <row r="21" spans="1:19" ht="16.39999999999999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6.399999999999999" x14ac:dyDescent="0.25">
      <c r="A22" s="2" t="s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6.399999999999999" x14ac:dyDescent="0.25">
      <c r="A23" s="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6.399999999999999" x14ac:dyDescent="0.25">
      <c r="A24" s="2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6.399999999999999" x14ac:dyDescent="0.25">
      <c r="A25" s="2" t="s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6.39999999999999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6.399999999999999" x14ac:dyDescent="0.25">
      <c r="A27" s="2" t="s">
        <v>22</v>
      </c>
      <c r="B27" s="2"/>
      <c r="C27" s="2"/>
      <c r="D27" s="2"/>
      <c r="E27" s="2"/>
      <c r="F27" s="2"/>
      <c r="G27" s="2"/>
      <c r="H27" s="2" t="s">
        <v>23</v>
      </c>
      <c r="I27" s="2"/>
      <c r="K27" s="2"/>
      <c r="L27" s="2"/>
      <c r="N27" s="2" t="s">
        <v>24</v>
      </c>
      <c r="P27" s="2"/>
      <c r="R27" s="2" t="s">
        <v>25</v>
      </c>
      <c r="S27" s="2"/>
    </row>
    <row r="28" spans="1:19" ht="16.39999999999999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6.399999999999999" x14ac:dyDescent="0.25">
      <c r="A29" s="2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6.399999999999999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2" spans="1:19" ht="16.399999999999999" x14ac:dyDescent="0.25">
      <c r="B32" s="2"/>
      <c r="C32" s="2"/>
    </row>
    <row r="34" spans="1:21" ht="22.25" x14ac:dyDescent="0.25">
      <c r="A34" s="6" t="s">
        <v>83</v>
      </c>
      <c r="T34" s="3"/>
      <c r="U34" s="3"/>
    </row>
    <row r="35" spans="1:21" ht="22.25" x14ac:dyDescent="0.25">
      <c r="A35" s="6" t="s">
        <v>81</v>
      </c>
      <c r="T35" s="3"/>
      <c r="U35" s="3"/>
    </row>
    <row r="36" spans="1:21" ht="47.95" customHeight="1" x14ac:dyDescent="0.25">
      <c r="A36" s="54" t="s">
        <v>82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94">
    <mergeCell ref="A20:P20"/>
    <mergeCell ref="Q20:S20"/>
    <mergeCell ref="A4:A5"/>
    <mergeCell ref="A6:A7"/>
    <mergeCell ref="A8:A9"/>
    <mergeCell ref="J2:K2"/>
    <mergeCell ref="L2:M2"/>
    <mergeCell ref="S2:S3"/>
    <mergeCell ref="A16:Q16"/>
    <mergeCell ref="R16:S16"/>
    <mergeCell ref="A19:P19"/>
    <mergeCell ref="R2:R3"/>
    <mergeCell ref="Q2:Q3"/>
    <mergeCell ref="D4:E4"/>
    <mergeCell ref="F4:G4"/>
    <mergeCell ref="H4:I4"/>
    <mergeCell ref="J4:K4"/>
    <mergeCell ref="L4:M4"/>
    <mergeCell ref="D2:E2"/>
    <mergeCell ref="F2:G2"/>
    <mergeCell ref="H2:I2"/>
    <mergeCell ref="Q4:Q5"/>
    <mergeCell ref="Q6:Q7"/>
    <mergeCell ref="Q8:Q9"/>
    <mergeCell ref="D6:E6"/>
    <mergeCell ref="D8:E8"/>
    <mergeCell ref="F6:G6"/>
    <mergeCell ref="F8:G8"/>
    <mergeCell ref="H6:I6"/>
    <mergeCell ref="H8:I8"/>
    <mergeCell ref="Q18:S18"/>
    <mergeCell ref="Q19:S19"/>
    <mergeCell ref="A18:P18"/>
    <mergeCell ref="B15:C15"/>
    <mergeCell ref="J6:K6"/>
    <mergeCell ref="J8:K8"/>
    <mergeCell ref="L6:M6"/>
    <mergeCell ref="L8:M8"/>
    <mergeCell ref="R6:R7"/>
    <mergeCell ref="R8:R9"/>
    <mergeCell ref="B2:C2"/>
    <mergeCell ref="A10:A11"/>
    <mergeCell ref="D10:E10"/>
    <mergeCell ref="F10:G10"/>
    <mergeCell ref="H10:I10"/>
    <mergeCell ref="J10:K10"/>
    <mergeCell ref="B4:C4"/>
    <mergeCell ref="B6:C6"/>
    <mergeCell ref="B8:C8"/>
    <mergeCell ref="A2:A3"/>
    <mergeCell ref="L12:M12"/>
    <mergeCell ref="L10:M10"/>
    <mergeCell ref="Q10:Q11"/>
    <mergeCell ref="R10:R11"/>
    <mergeCell ref="S10:S11"/>
    <mergeCell ref="E1:J1"/>
    <mergeCell ref="R4:R5"/>
    <mergeCell ref="S4:S5"/>
    <mergeCell ref="S6:S7"/>
    <mergeCell ref="S8:S9"/>
    <mergeCell ref="F14:G14"/>
    <mergeCell ref="H14:I14"/>
    <mergeCell ref="J14:K14"/>
    <mergeCell ref="A12:A13"/>
    <mergeCell ref="D12:E12"/>
    <mergeCell ref="F12:G12"/>
    <mergeCell ref="H12:I12"/>
    <mergeCell ref="J12:K12"/>
    <mergeCell ref="L14:M14"/>
    <mergeCell ref="Q14:Q15"/>
    <mergeCell ref="R14:R15"/>
    <mergeCell ref="S14:S15"/>
    <mergeCell ref="A36:U36"/>
    <mergeCell ref="Q12:Q13"/>
    <mergeCell ref="R12:R13"/>
    <mergeCell ref="S12:S13"/>
    <mergeCell ref="A14:A15"/>
    <mergeCell ref="D14:E14"/>
    <mergeCell ref="B10:C10"/>
    <mergeCell ref="B12:C12"/>
    <mergeCell ref="B14:C14"/>
    <mergeCell ref="O6:P6"/>
    <mergeCell ref="O5:P5"/>
    <mergeCell ref="O4:P4"/>
    <mergeCell ref="O7:P7"/>
    <mergeCell ref="B9:C9"/>
    <mergeCell ref="B11:C11"/>
    <mergeCell ref="B13:C13"/>
    <mergeCell ref="H5:I5"/>
    <mergeCell ref="H7:I7"/>
    <mergeCell ref="J5:K5"/>
    <mergeCell ref="J7:K7"/>
    <mergeCell ref="L5:M5"/>
    <mergeCell ref="L7:M7"/>
  </mergeCells>
  <phoneticPr fontId="3" type="noConversion"/>
  <dataValidations count="4">
    <dataValidation type="list" allowBlank="1" showInputMessage="1" showErrorMessage="1" sqref="F4 F14 B6 N4 D6 F6 N10:P10 N12:P12 N6 D8 F8 H8 J8 J14 D14 N14:P14 N8:P8 D10 F10 H10 J10 H14 D12 F12 H12 J12 B4:D4">
      <formula1>版本</formula1>
    </dataValidation>
    <dataValidation type="list" allowBlank="1" showInputMessage="1" showErrorMessage="1" sqref="L8:M8">
      <formula1>三年級英語</formula1>
    </dataValidation>
    <dataValidation type="list" allowBlank="1" showInputMessage="1" showErrorMessage="1" sqref="L10:M10 L12:M12">
      <formula1>四五年級英語</formula1>
    </dataValidation>
    <dataValidation type="list" allowBlank="1" showInputMessage="1" showErrorMessage="1" sqref="L14:M14">
      <formula1>六年級英語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"/>
  <sheetViews>
    <sheetView workbookViewId="0">
      <pane xSplit="1" ySplit="3" topLeftCell="BF4" activePane="bottomRight" state="frozen"/>
      <selection pane="topRight" activeCell="B1" sqref="B1"/>
      <selection pane="bottomLeft" activeCell="A4" sqref="A4"/>
      <selection pane="bottomRight" activeCell="BV5" sqref="BV5"/>
    </sheetView>
  </sheetViews>
  <sheetFormatPr defaultRowHeight="13.75" x14ac:dyDescent="0.25"/>
  <sheetData>
    <row r="1" spans="1:79" ht="18.350000000000001" x14ac:dyDescent="0.25">
      <c r="A1" s="10" t="s">
        <v>34</v>
      </c>
      <c r="B1" s="17" t="s">
        <v>37</v>
      </c>
      <c r="C1" s="17" t="s">
        <v>37</v>
      </c>
      <c r="D1" s="17" t="s">
        <v>40</v>
      </c>
      <c r="E1" s="17" t="s">
        <v>40</v>
      </c>
      <c r="F1" s="17" t="s">
        <v>41</v>
      </c>
      <c r="G1" s="17" t="s">
        <v>41</v>
      </c>
      <c r="H1" s="17" t="s">
        <v>42</v>
      </c>
      <c r="I1" s="10" t="s">
        <v>37</v>
      </c>
      <c r="J1" s="10" t="s">
        <v>37</v>
      </c>
      <c r="K1" s="10" t="s">
        <v>40</v>
      </c>
      <c r="L1" s="10" t="s">
        <v>40</v>
      </c>
      <c r="M1" s="10" t="s">
        <v>41</v>
      </c>
      <c r="N1" s="10" t="s">
        <v>41</v>
      </c>
      <c r="O1" s="10" t="s">
        <v>42</v>
      </c>
      <c r="P1" s="17" t="s">
        <v>43</v>
      </c>
      <c r="Q1" s="17" t="s">
        <v>43</v>
      </c>
      <c r="R1" s="17" t="s">
        <v>44</v>
      </c>
      <c r="S1" s="17" t="s">
        <v>37</v>
      </c>
      <c r="T1" s="17" t="s">
        <v>37</v>
      </c>
      <c r="U1" s="17" t="s">
        <v>40</v>
      </c>
      <c r="V1" s="17" t="s">
        <v>40</v>
      </c>
      <c r="W1" s="17" t="s">
        <v>45</v>
      </c>
      <c r="X1" s="17" t="s">
        <v>45</v>
      </c>
      <c r="Y1" s="17" t="s">
        <v>42</v>
      </c>
      <c r="Z1" s="17" t="s">
        <v>46</v>
      </c>
      <c r="AA1" s="10" t="s">
        <v>37</v>
      </c>
      <c r="AB1" s="10" t="s">
        <v>37</v>
      </c>
      <c r="AC1" s="10" t="s">
        <v>40</v>
      </c>
      <c r="AD1" s="10" t="s">
        <v>40</v>
      </c>
      <c r="AE1" s="10" t="s">
        <v>48</v>
      </c>
      <c r="AF1" s="10" t="s">
        <v>48</v>
      </c>
      <c r="AG1" s="10" t="s">
        <v>45</v>
      </c>
      <c r="AH1" s="10" t="s">
        <v>45</v>
      </c>
      <c r="AI1" s="10" t="s">
        <v>49</v>
      </c>
      <c r="AJ1" s="10" t="s">
        <v>49</v>
      </c>
      <c r="AK1" s="10" t="s">
        <v>42</v>
      </c>
      <c r="AL1" s="10" t="s">
        <v>44</v>
      </c>
      <c r="AM1" s="10" t="s">
        <v>50</v>
      </c>
      <c r="AN1" s="17" t="s">
        <v>37</v>
      </c>
      <c r="AO1" s="17" t="s">
        <v>37</v>
      </c>
      <c r="AP1" s="17" t="s">
        <v>40</v>
      </c>
      <c r="AQ1" s="17" t="s">
        <v>40</v>
      </c>
      <c r="AR1" s="17" t="s">
        <v>48</v>
      </c>
      <c r="AS1" s="17" t="s">
        <v>48</v>
      </c>
      <c r="AT1" s="17" t="s">
        <v>45</v>
      </c>
      <c r="AU1" s="17" t="s">
        <v>45</v>
      </c>
      <c r="AV1" s="17" t="s">
        <v>51</v>
      </c>
      <c r="AW1" s="17" t="s">
        <v>51</v>
      </c>
      <c r="AX1" s="17" t="s">
        <v>49</v>
      </c>
      <c r="AY1" s="17" t="s">
        <v>49</v>
      </c>
      <c r="AZ1" s="17" t="s">
        <v>42</v>
      </c>
      <c r="BA1" s="17" t="s">
        <v>44</v>
      </c>
      <c r="BB1" s="17" t="s">
        <v>50</v>
      </c>
      <c r="BC1" s="10" t="s">
        <v>37</v>
      </c>
      <c r="BD1" s="10" t="s">
        <v>37</v>
      </c>
      <c r="BE1" s="10" t="s">
        <v>40</v>
      </c>
      <c r="BF1" s="10" t="s">
        <v>40</v>
      </c>
      <c r="BG1" s="10" t="s">
        <v>48</v>
      </c>
      <c r="BH1" s="10" t="s">
        <v>48</v>
      </c>
      <c r="BI1" s="10" t="s">
        <v>45</v>
      </c>
      <c r="BJ1" s="10" t="s">
        <v>45</v>
      </c>
      <c r="BK1" s="10" t="s">
        <v>49</v>
      </c>
      <c r="BL1" s="10" t="s">
        <v>49</v>
      </c>
      <c r="BM1" s="10" t="s">
        <v>42</v>
      </c>
      <c r="BN1" s="21" t="s">
        <v>44</v>
      </c>
      <c r="BO1" s="25" t="s">
        <v>50</v>
      </c>
      <c r="BP1" s="23"/>
      <c r="BQ1" s="76" t="s">
        <v>47</v>
      </c>
      <c r="BR1" s="76"/>
      <c r="BS1" s="27" t="s">
        <v>47</v>
      </c>
      <c r="BT1" s="77" t="s">
        <v>47</v>
      </c>
      <c r="BU1" s="77"/>
      <c r="BV1" s="25" t="s">
        <v>47</v>
      </c>
      <c r="BW1" s="27" t="s">
        <v>47</v>
      </c>
      <c r="BX1" s="27" t="s">
        <v>47</v>
      </c>
      <c r="BY1" s="77" t="s">
        <v>47</v>
      </c>
      <c r="BZ1" s="77"/>
      <c r="CA1" s="25" t="s">
        <v>47</v>
      </c>
    </row>
    <row r="2" spans="1:79" ht="18.350000000000001" x14ac:dyDescent="0.25">
      <c r="A2" s="11" t="s">
        <v>35</v>
      </c>
      <c r="B2" s="18">
        <v>1</v>
      </c>
      <c r="C2" s="18">
        <v>1</v>
      </c>
      <c r="D2" s="18">
        <v>1</v>
      </c>
      <c r="E2" s="18">
        <v>1</v>
      </c>
      <c r="F2" s="18">
        <v>1</v>
      </c>
      <c r="G2" s="18">
        <v>1</v>
      </c>
      <c r="H2" s="18">
        <v>1</v>
      </c>
      <c r="I2" s="13">
        <v>2</v>
      </c>
      <c r="J2" s="13">
        <v>2</v>
      </c>
      <c r="K2" s="13">
        <v>2</v>
      </c>
      <c r="L2" s="13">
        <v>2</v>
      </c>
      <c r="M2" s="13">
        <v>2</v>
      </c>
      <c r="N2" s="13">
        <v>2</v>
      </c>
      <c r="O2" s="13">
        <v>2</v>
      </c>
      <c r="P2" s="18">
        <v>3</v>
      </c>
      <c r="Q2" s="18">
        <v>3</v>
      </c>
      <c r="R2" s="18">
        <v>3</v>
      </c>
      <c r="S2" s="18">
        <v>3</v>
      </c>
      <c r="T2" s="18">
        <v>3</v>
      </c>
      <c r="U2" s="18">
        <v>3</v>
      </c>
      <c r="V2" s="18">
        <v>3</v>
      </c>
      <c r="W2" s="18">
        <v>3</v>
      </c>
      <c r="X2" s="18">
        <v>3</v>
      </c>
      <c r="Y2" s="18">
        <v>3</v>
      </c>
      <c r="Z2" s="18">
        <v>3</v>
      </c>
      <c r="AA2" s="13">
        <v>4</v>
      </c>
      <c r="AB2" s="13">
        <v>4</v>
      </c>
      <c r="AC2" s="13">
        <v>4</v>
      </c>
      <c r="AD2" s="13">
        <v>4</v>
      </c>
      <c r="AE2" s="13">
        <v>4</v>
      </c>
      <c r="AF2" s="13">
        <v>4</v>
      </c>
      <c r="AG2" s="13">
        <v>4</v>
      </c>
      <c r="AH2" s="13">
        <v>4</v>
      </c>
      <c r="AI2" s="13">
        <v>4</v>
      </c>
      <c r="AJ2" s="13">
        <v>4</v>
      </c>
      <c r="AK2" s="13">
        <v>4</v>
      </c>
      <c r="AL2" s="13">
        <v>4</v>
      </c>
      <c r="AM2" s="13">
        <v>4</v>
      </c>
      <c r="AN2" s="18">
        <v>5</v>
      </c>
      <c r="AO2" s="18">
        <v>5</v>
      </c>
      <c r="AP2" s="18">
        <v>5</v>
      </c>
      <c r="AQ2" s="18">
        <v>5</v>
      </c>
      <c r="AR2" s="18">
        <v>5</v>
      </c>
      <c r="AS2" s="18">
        <v>5</v>
      </c>
      <c r="AT2" s="18">
        <v>5</v>
      </c>
      <c r="AU2" s="18">
        <v>5</v>
      </c>
      <c r="AV2" s="18">
        <v>5</v>
      </c>
      <c r="AW2" s="18">
        <v>5</v>
      </c>
      <c r="AX2" s="18">
        <v>5</v>
      </c>
      <c r="AY2" s="18">
        <v>5</v>
      </c>
      <c r="AZ2" s="18">
        <v>5</v>
      </c>
      <c r="BA2" s="18">
        <v>5</v>
      </c>
      <c r="BB2" s="18">
        <v>5</v>
      </c>
      <c r="BC2" s="13">
        <v>6</v>
      </c>
      <c r="BD2" s="13">
        <v>6</v>
      </c>
      <c r="BE2" s="13">
        <v>6</v>
      </c>
      <c r="BF2" s="13">
        <v>6</v>
      </c>
      <c r="BG2" s="13">
        <v>6</v>
      </c>
      <c r="BH2" s="13">
        <v>6</v>
      </c>
      <c r="BI2" s="13">
        <v>6</v>
      </c>
      <c r="BJ2" s="13">
        <v>6</v>
      </c>
      <c r="BK2" s="13">
        <v>6</v>
      </c>
      <c r="BL2" s="13">
        <v>6</v>
      </c>
      <c r="BM2" s="13">
        <v>6</v>
      </c>
      <c r="BN2" s="22">
        <v>6</v>
      </c>
      <c r="BO2" s="14">
        <v>6</v>
      </c>
      <c r="BP2" s="24"/>
      <c r="BQ2" s="78">
        <v>3</v>
      </c>
      <c r="BR2" s="78"/>
      <c r="BS2" s="19">
        <v>3</v>
      </c>
      <c r="BT2" s="79">
        <v>4</v>
      </c>
      <c r="BU2" s="79"/>
      <c r="BV2" s="14">
        <v>4</v>
      </c>
      <c r="BW2" s="19">
        <v>5</v>
      </c>
      <c r="BX2" s="19">
        <v>5</v>
      </c>
      <c r="BY2" s="79">
        <v>6</v>
      </c>
      <c r="BZ2" s="79"/>
      <c r="CA2" s="14">
        <v>6</v>
      </c>
    </row>
    <row r="3" spans="1:79" x14ac:dyDescent="0.25">
      <c r="A3" s="10" t="s">
        <v>36</v>
      </c>
      <c r="B3" s="17" t="s">
        <v>38</v>
      </c>
      <c r="C3" s="17" t="s">
        <v>39</v>
      </c>
      <c r="D3" s="17" t="s">
        <v>38</v>
      </c>
      <c r="E3" s="17" t="s">
        <v>39</v>
      </c>
      <c r="F3" s="17" t="s">
        <v>38</v>
      </c>
      <c r="G3" s="17" t="s">
        <v>39</v>
      </c>
      <c r="H3" s="17" t="s">
        <v>38</v>
      </c>
      <c r="I3" s="10" t="s">
        <v>38</v>
      </c>
      <c r="J3" s="10" t="s">
        <v>39</v>
      </c>
      <c r="K3" s="10" t="s">
        <v>38</v>
      </c>
      <c r="L3" s="10" t="s">
        <v>39</v>
      </c>
      <c r="M3" s="10" t="s">
        <v>38</v>
      </c>
      <c r="N3" s="10" t="s">
        <v>39</v>
      </c>
      <c r="O3" s="10" t="s">
        <v>38</v>
      </c>
      <c r="P3" s="17" t="s">
        <v>38</v>
      </c>
      <c r="Q3" s="17" t="s">
        <v>39</v>
      </c>
      <c r="R3" s="17" t="s">
        <v>38</v>
      </c>
      <c r="S3" s="17" t="s">
        <v>38</v>
      </c>
      <c r="T3" s="17" t="s">
        <v>39</v>
      </c>
      <c r="U3" s="17" t="s">
        <v>38</v>
      </c>
      <c r="V3" s="17" t="s">
        <v>39</v>
      </c>
      <c r="W3" s="17" t="s">
        <v>38</v>
      </c>
      <c r="X3" s="17" t="s">
        <v>39</v>
      </c>
      <c r="Y3" s="17" t="s">
        <v>38</v>
      </c>
      <c r="Z3" s="17" t="s">
        <v>38</v>
      </c>
      <c r="AA3" s="10" t="s">
        <v>38</v>
      </c>
      <c r="AB3" s="10" t="s">
        <v>39</v>
      </c>
      <c r="AC3" s="10" t="s">
        <v>38</v>
      </c>
      <c r="AD3" s="10" t="s">
        <v>39</v>
      </c>
      <c r="AE3" s="10" t="s">
        <v>38</v>
      </c>
      <c r="AF3" s="10" t="s">
        <v>39</v>
      </c>
      <c r="AG3" s="10" t="s">
        <v>38</v>
      </c>
      <c r="AH3" s="10" t="s">
        <v>39</v>
      </c>
      <c r="AI3" s="10" t="s">
        <v>38</v>
      </c>
      <c r="AJ3" s="10" t="s">
        <v>39</v>
      </c>
      <c r="AK3" s="10" t="s">
        <v>38</v>
      </c>
      <c r="AL3" s="10" t="s">
        <v>38</v>
      </c>
      <c r="AM3" s="10" t="s">
        <v>38</v>
      </c>
      <c r="AN3" s="17" t="s">
        <v>38</v>
      </c>
      <c r="AO3" s="17" t="s">
        <v>39</v>
      </c>
      <c r="AP3" s="17" t="s">
        <v>38</v>
      </c>
      <c r="AQ3" s="17" t="s">
        <v>39</v>
      </c>
      <c r="AR3" s="17" t="s">
        <v>38</v>
      </c>
      <c r="AS3" s="17" t="s">
        <v>39</v>
      </c>
      <c r="AT3" s="17" t="s">
        <v>38</v>
      </c>
      <c r="AU3" s="17" t="s">
        <v>39</v>
      </c>
      <c r="AV3" s="17" t="s">
        <v>38</v>
      </c>
      <c r="AW3" s="17" t="s">
        <v>39</v>
      </c>
      <c r="AX3" s="17" t="s">
        <v>38</v>
      </c>
      <c r="AY3" s="17" t="s">
        <v>39</v>
      </c>
      <c r="AZ3" s="17" t="s">
        <v>38</v>
      </c>
      <c r="BA3" s="17" t="s">
        <v>38</v>
      </c>
      <c r="BB3" s="17" t="s">
        <v>38</v>
      </c>
      <c r="BC3" s="10" t="s">
        <v>38</v>
      </c>
      <c r="BD3" s="10" t="s">
        <v>39</v>
      </c>
      <c r="BE3" s="10" t="s">
        <v>38</v>
      </c>
      <c r="BF3" s="10" t="s">
        <v>39</v>
      </c>
      <c r="BG3" s="10" t="s">
        <v>38</v>
      </c>
      <c r="BH3" s="10" t="s">
        <v>39</v>
      </c>
      <c r="BI3" s="10" t="s">
        <v>38</v>
      </c>
      <c r="BJ3" s="10" t="s">
        <v>39</v>
      </c>
      <c r="BK3" s="10" t="s">
        <v>38</v>
      </c>
      <c r="BL3" s="10" t="s">
        <v>39</v>
      </c>
      <c r="BM3" s="10" t="s">
        <v>38</v>
      </c>
      <c r="BN3" s="21" t="s">
        <v>38</v>
      </c>
      <c r="BO3" s="25" t="s">
        <v>38</v>
      </c>
      <c r="BP3" s="23"/>
      <c r="BQ3" s="76" t="s">
        <v>38</v>
      </c>
      <c r="BR3" s="76"/>
      <c r="BS3" s="27" t="s">
        <v>39</v>
      </c>
      <c r="BT3" s="77" t="s">
        <v>38</v>
      </c>
      <c r="BU3" s="77"/>
      <c r="BV3" s="25" t="s">
        <v>39</v>
      </c>
      <c r="BW3" s="27" t="s">
        <v>38</v>
      </c>
      <c r="BX3" s="27" t="s">
        <v>39</v>
      </c>
      <c r="BY3" s="77" t="s">
        <v>38</v>
      </c>
      <c r="BZ3" s="77"/>
      <c r="CA3" s="25" t="s">
        <v>39</v>
      </c>
    </row>
    <row r="4" spans="1:79" ht="27.5" x14ac:dyDescent="0.25">
      <c r="A4" s="8" t="s">
        <v>52</v>
      </c>
      <c r="B4" s="18">
        <v>122</v>
      </c>
      <c r="C4" s="18">
        <v>85</v>
      </c>
      <c r="D4" s="18">
        <v>72</v>
      </c>
      <c r="E4" s="18">
        <v>105</v>
      </c>
      <c r="F4" s="18">
        <v>97</v>
      </c>
      <c r="G4" s="18">
        <v>35</v>
      </c>
      <c r="H4" s="18">
        <v>78</v>
      </c>
      <c r="I4" s="13">
        <v>86</v>
      </c>
      <c r="J4" s="13">
        <v>56</v>
      </c>
      <c r="K4" s="13">
        <v>78</v>
      </c>
      <c r="L4" s="13">
        <v>100</v>
      </c>
      <c r="M4" s="13">
        <v>80</v>
      </c>
      <c r="N4" s="13">
        <v>28</v>
      </c>
      <c r="O4" s="13">
        <v>70</v>
      </c>
      <c r="P4" s="18">
        <v>68</v>
      </c>
      <c r="Q4" s="18">
        <v>35</v>
      </c>
      <c r="R4" s="18">
        <v>49</v>
      </c>
      <c r="S4" s="18">
        <v>81</v>
      </c>
      <c r="T4" s="18">
        <v>55</v>
      </c>
      <c r="U4" s="18">
        <v>76</v>
      </c>
      <c r="V4" s="18">
        <v>93</v>
      </c>
      <c r="W4" s="18">
        <v>61</v>
      </c>
      <c r="X4" s="18">
        <v>26</v>
      </c>
      <c r="Y4" s="18">
        <v>74</v>
      </c>
      <c r="Z4" s="18">
        <v>100</v>
      </c>
      <c r="AA4" s="13">
        <v>63</v>
      </c>
      <c r="AB4" s="13">
        <v>47</v>
      </c>
      <c r="AC4" s="13">
        <v>63</v>
      </c>
      <c r="AD4" s="13">
        <v>91</v>
      </c>
      <c r="AE4" s="10">
        <v>0</v>
      </c>
      <c r="AF4" s="10">
        <v>0</v>
      </c>
      <c r="AG4" s="13">
        <v>48</v>
      </c>
      <c r="AH4" s="13">
        <v>18</v>
      </c>
      <c r="AI4" s="13">
        <v>46</v>
      </c>
      <c r="AJ4" s="13">
        <v>27</v>
      </c>
      <c r="AK4" s="13">
        <v>62</v>
      </c>
      <c r="AL4" s="13">
        <v>35</v>
      </c>
      <c r="AM4" s="13">
        <v>65</v>
      </c>
      <c r="AN4" s="18">
        <v>57</v>
      </c>
      <c r="AO4" s="18">
        <v>45</v>
      </c>
      <c r="AP4" s="18">
        <v>65</v>
      </c>
      <c r="AQ4" s="18">
        <v>98</v>
      </c>
      <c r="AR4" s="17">
        <v>0</v>
      </c>
      <c r="AS4" s="17">
        <v>0</v>
      </c>
      <c r="AT4" s="18">
        <v>58</v>
      </c>
      <c r="AU4" s="18">
        <v>17</v>
      </c>
      <c r="AV4" s="17">
        <v>0</v>
      </c>
      <c r="AW4" s="17">
        <v>0</v>
      </c>
      <c r="AX4" s="18">
        <v>48</v>
      </c>
      <c r="AY4" s="18">
        <v>27</v>
      </c>
      <c r="AZ4" s="18">
        <v>62</v>
      </c>
      <c r="BA4" s="18">
        <v>37</v>
      </c>
      <c r="BB4" s="18">
        <v>70</v>
      </c>
      <c r="BC4" s="13">
        <v>62</v>
      </c>
      <c r="BD4" s="13">
        <v>47</v>
      </c>
      <c r="BE4" s="13">
        <v>63</v>
      </c>
      <c r="BF4" s="13">
        <v>76</v>
      </c>
      <c r="BG4" s="10">
        <v>0</v>
      </c>
      <c r="BH4" s="10">
        <v>0</v>
      </c>
      <c r="BI4" s="13">
        <v>58</v>
      </c>
      <c r="BJ4" s="13">
        <v>20</v>
      </c>
      <c r="BK4" s="13">
        <v>54</v>
      </c>
      <c r="BL4" s="13">
        <v>32</v>
      </c>
      <c r="BM4" s="13">
        <v>72</v>
      </c>
      <c r="BN4" s="13">
        <v>40</v>
      </c>
      <c r="BO4" s="13">
        <v>77</v>
      </c>
      <c r="BP4" s="24"/>
      <c r="BQ4" s="27" t="s">
        <v>65</v>
      </c>
      <c r="BR4" s="17">
        <v>65</v>
      </c>
      <c r="BS4" s="17">
        <v>35</v>
      </c>
      <c r="BT4" s="26" t="s">
        <v>71</v>
      </c>
      <c r="BU4" s="12">
        <v>59</v>
      </c>
      <c r="BV4" s="37">
        <v>28</v>
      </c>
      <c r="BW4" s="35">
        <v>61</v>
      </c>
      <c r="BX4" s="36">
        <v>33</v>
      </c>
      <c r="BY4" s="26" t="s">
        <v>71</v>
      </c>
      <c r="BZ4" s="12">
        <v>61</v>
      </c>
      <c r="CA4" s="37">
        <v>35</v>
      </c>
    </row>
    <row r="5" spans="1:79" ht="27.5" x14ac:dyDescent="0.25">
      <c r="A5" s="15" t="s">
        <v>53</v>
      </c>
      <c r="B5" s="18">
        <v>101</v>
      </c>
      <c r="C5" s="18">
        <v>73</v>
      </c>
      <c r="D5" s="18">
        <v>68</v>
      </c>
      <c r="E5" s="18">
        <v>109</v>
      </c>
      <c r="F5" s="18">
        <v>84</v>
      </c>
      <c r="G5" s="18">
        <v>30</v>
      </c>
      <c r="H5" s="18">
        <v>59</v>
      </c>
      <c r="I5" s="13">
        <v>66</v>
      </c>
      <c r="J5" s="13">
        <v>51</v>
      </c>
      <c r="K5" s="13">
        <v>80</v>
      </c>
      <c r="L5" s="13">
        <v>100</v>
      </c>
      <c r="M5" s="13">
        <v>78</v>
      </c>
      <c r="N5" s="13">
        <v>26</v>
      </c>
      <c r="O5" s="13">
        <v>87</v>
      </c>
      <c r="P5" s="18">
        <v>71</v>
      </c>
      <c r="Q5" s="18">
        <v>30</v>
      </c>
      <c r="R5" s="18">
        <v>51</v>
      </c>
      <c r="S5" s="18">
        <v>88</v>
      </c>
      <c r="T5" s="18">
        <v>47</v>
      </c>
      <c r="U5" s="18">
        <v>86</v>
      </c>
      <c r="V5" s="18">
        <v>130</v>
      </c>
      <c r="W5" s="18">
        <v>64</v>
      </c>
      <c r="X5" s="18">
        <v>19</v>
      </c>
      <c r="Y5" s="18">
        <v>88</v>
      </c>
      <c r="Z5" s="18">
        <v>99</v>
      </c>
      <c r="AA5" s="13">
        <v>62</v>
      </c>
      <c r="AB5" s="13">
        <v>45</v>
      </c>
      <c r="AC5" s="10">
        <v>65</v>
      </c>
      <c r="AD5" s="10">
        <v>84</v>
      </c>
      <c r="AE5" s="13">
        <v>65</v>
      </c>
      <c r="AF5" s="13">
        <v>84</v>
      </c>
      <c r="AG5" s="13">
        <v>50</v>
      </c>
      <c r="AH5" s="13">
        <v>17</v>
      </c>
      <c r="AI5" s="13">
        <v>42</v>
      </c>
      <c r="AJ5" s="13">
        <v>23</v>
      </c>
      <c r="AK5" s="13">
        <v>51</v>
      </c>
      <c r="AL5" s="13">
        <v>34</v>
      </c>
      <c r="AM5" s="13">
        <v>67</v>
      </c>
      <c r="AN5" s="18">
        <v>55</v>
      </c>
      <c r="AO5" s="18">
        <v>44</v>
      </c>
      <c r="AP5" s="17">
        <v>63</v>
      </c>
      <c r="AQ5" s="17">
        <v>91</v>
      </c>
      <c r="AR5" s="18">
        <v>63</v>
      </c>
      <c r="AS5" s="18">
        <v>91</v>
      </c>
      <c r="AT5" s="18">
        <v>48</v>
      </c>
      <c r="AU5" s="18">
        <v>16</v>
      </c>
      <c r="AV5" s="17">
        <v>0</v>
      </c>
      <c r="AW5" s="17">
        <v>0</v>
      </c>
      <c r="AX5" s="18">
        <v>48</v>
      </c>
      <c r="AY5" s="18">
        <v>27</v>
      </c>
      <c r="AZ5" s="18">
        <v>53</v>
      </c>
      <c r="BA5" s="18">
        <v>32</v>
      </c>
      <c r="BB5" s="18">
        <v>65</v>
      </c>
      <c r="BC5" s="13">
        <v>60</v>
      </c>
      <c r="BD5" s="13">
        <v>42</v>
      </c>
      <c r="BE5" s="10">
        <v>70</v>
      </c>
      <c r="BF5" s="10">
        <v>81</v>
      </c>
      <c r="BG5" s="13">
        <v>70</v>
      </c>
      <c r="BH5" s="13">
        <v>81</v>
      </c>
      <c r="BI5" s="13">
        <v>45</v>
      </c>
      <c r="BJ5" s="13">
        <v>18</v>
      </c>
      <c r="BK5" s="13">
        <v>49</v>
      </c>
      <c r="BL5" s="13">
        <v>20</v>
      </c>
      <c r="BM5" s="13">
        <v>56</v>
      </c>
      <c r="BN5" s="13">
        <v>43</v>
      </c>
      <c r="BO5" s="13">
        <v>67</v>
      </c>
      <c r="BP5" s="24"/>
      <c r="BQ5" s="19" t="s">
        <v>66</v>
      </c>
      <c r="BR5" s="35">
        <v>70</v>
      </c>
      <c r="BS5" s="36">
        <v>27</v>
      </c>
      <c r="BT5" s="26" t="s">
        <v>72</v>
      </c>
      <c r="BU5" s="12">
        <v>52</v>
      </c>
      <c r="BV5" s="37">
        <v>25</v>
      </c>
      <c r="BW5" s="35">
        <v>50</v>
      </c>
      <c r="BX5" s="36">
        <v>27</v>
      </c>
      <c r="BY5" s="28" t="s">
        <v>73</v>
      </c>
      <c r="BZ5" s="12">
        <v>50</v>
      </c>
      <c r="CA5" s="37">
        <v>28</v>
      </c>
    </row>
    <row r="6" spans="1:79" ht="18.350000000000001" x14ac:dyDescent="0.25">
      <c r="A6" s="15" t="s">
        <v>54</v>
      </c>
      <c r="B6" s="33">
        <v>108</v>
      </c>
      <c r="C6" s="33">
        <v>68</v>
      </c>
      <c r="D6" s="33">
        <v>70</v>
      </c>
      <c r="E6" s="33">
        <v>92</v>
      </c>
      <c r="F6" s="33">
        <v>89</v>
      </c>
      <c r="G6" s="33">
        <v>27</v>
      </c>
      <c r="H6" s="33">
        <v>61</v>
      </c>
      <c r="I6" s="34">
        <v>76</v>
      </c>
      <c r="J6" s="34">
        <v>49</v>
      </c>
      <c r="K6" s="34">
        <v>80</v>
      </c>
      <c r="L6" s="34">
        <v>102</v>
      </c>
      <c r="M6" s="34">
        <v>92</v>
      </c>
      <c r="N6" s="34">
        <v>19</v>
      </c>
      <c r="O6" s="34">
        <v>70</v>
      </c>
      <c r="P6" s="33">
        <v>61</v>
      </c>
      <c r="Q6" s="33">
        <v>25</v>
      </c>
      <c r="R6" s="33">
        <v>43</v>
      </c>
      <c r="S6" s="33">
        <v>81</v>
      </c>
      <c r="T6" s="33">
        <v>47</v>
      </c>
      <c r="U6" s="33">
        <v>75</v>
      </c>
      <c r="V6" s="33">
        <v>123</v>
      </c>
      <c r="W6" s="33">
        <v>57</v>
      </c>
      <c r="X6" s="33">
        <v>22</v>
      </c>
      <c r="Y6" s="33">
        <v>82</v>
      </c>
      <c r="Z6" s="17">
        <v>0</v>
      </c>
      <c r="AA6" s="34">
        <v>66</v>
      </c>
      <c r="AB6" s="34">
        <v>45</v>
      </c>
      <c r="AC6" s="34">
        <v>58</v>
      </c>
      <c r="AD6" s="34">
        <v>63</v>
      </c>
      <c r="AE6" s="10">
        <v>0</v>
      </c>
      <c r="AF6" s="10">
        <v>0</v>
      </c>
      <c r="AG6" s="34">
        <v>53</v>
      </c>
      <c r="AH6" s="34">
        <v>16</v>
      </c>
      <c r="AI6" s="34">
        <v>49</v>
      </c>
      <c r="AJ6" s="34">
        <v>25</v>
      </c>
      <c r="AK6" s="34">
        <v>43</v>
      </c>
      <c r="AL6" s="34">
        <v>27</v>
      </c>
      <c r="AM6" s="34">
        <v>56</v>
      </c>
      <c r="AN6" s="33">
        <v>60</v>
      </c>
      <c r="AO6" s="33">
        <v>45</v>
      </c>
      <c r="AP6" s="33">
        <v>63</v>
      </c>
      <c r="AQ6" s="33">
        <v>81</v>
      </c>
      <c r="AR6" s="17">
        <v>0</v>
      </c>
      <c r="AS6" s="17">
        <v>0</v>
      </c>
      <c r="AT6" s="17">
        <v>71</v>
      </c>
      <c r="AU6" s="17">
        <v>21</v>
      </c>
      <c r="AV6" s="33">
        <v>71</v>
      </c>
      <c r="AW6" s="33">
        <v>21</v>
      </c>
      <c r="AX6" s="33">
        <v>46</v>
      </c>
      <c r="AY6" s="33">
        <v>26</v>
      </c>
      <c r="AZ6" s="33">
        <v>47</v>
      </c>
      <c r="BA6" s="33">
        <v>30</v>
      </c>
      <c r="BB6" s="33">
        <v>61</v>
      </c>
      <c r="BC6" s="34">
        <v>60</v>
      </c>
      <c r="BD6" s="34">
        <v>45</v>
      </c>
      <c r="BE6" s="34">
        <v>59</v>
      </c>
      <c r="BF6" s="34">
        <v>63</v>
      </c>
      <c r="BG6" s="10">
        <v>0</v>
      </c>
      <c r="BH6" s="10">
        <v>0</v>
      </c>
      <c r="BI6" s="34">
        <v>57</v>
      </c>
      <c r="BJ6" s="34">
        <v>18</v>
      </c>
      <c r="BK6" s="34">
        <v>53</v>
      </c>
      <c r="BL6" s="34">
        <v>26</v>
      </c>
      <c r="BM6" s="34">
        <v>47</v>
      </c>
      <c r="BN6" s="34">
        <v>30</v>
      </c>
      <c r="BO6" s="34">
        <v>59</v>
      </c>
      <c r="BP6" s="24"/>
      <c r="BQ6" s="27" t="s">
        <v>67</v>
      </c>
      <c r="BR6" s="17">
        <v>49</v>
      </c>
      <c r="BS6" s="17">
        <v>20</v>
      </c>
      <c r="BT6" s="26" t="s">
        <v>70</v>
      </c>
      <c r="BU6" s="12">
        <v>50</v>
      </c>
      <c r="BV6" s="37">
        <v>31</v>
      </c>
      <c r="BW6" s="35">
        <v>50</v>
      </c>
      <c r="BX6" s="36">
        <v>25</v>
      </c>
      <c r="BY6" s="25" t="s">
        <v>74</v>
      </c>
      <c r="BZ6" s="12">
        <v>51</v>
      </c>
      <c r="CA6" s="37">
        <v>28</v>
      </c>
    </row>
    <row r="7" spans="1:79" ht="18.350000000000001" x14ac:dyDescent="0.25">
      <c r="A7" s="9" t="s">
        <v>55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16">
        <v>0</v>
      </c>
      <c r="BD7" s="16">
        <v>0</v>
      </c>
      <c r="BE7" s="16">
        <v>0</v>
      </c>
      <c r="BF7" s="16">
        <v>0</v>
      </c>
      <c r="BG7" s="16">
        <v>0</v>
      </c>
      <c r="BH7" s="16">
        <v>0</v>
      </c>
      <c r="BI7" s="16">
        <v>0</v>
      </c>
      <c r="BJ7" s="16">
        <v>0</v>
      </c>
      <c r="BK7" s="16">
        <v>0</v>
      </c>
      <c r="BL7" s="16">
        <v>0</v>
      </c>
      <c r="BM7" s="16">
        <v>0</v>
      </c>
      <c r="BN7" s="29">
        <v>0</v>
      </c>
      <c r="BO7" s="25">
        <v>0</v>
      </c>
      <c r="BP7" s="23"/>
      <c r="BQ7" s="9" t="s">
        <v>55</v>
      </c>
      <c r="BR7" s="20">
        <v>0</v>
      </c>
      <c r="BS7" s="20">
        <v>0</v>
      </c>
      <c r="BT7" s="26" t="s">
        <v>68</v>
      </c>
      <c r="BU7" s="12">
        <v>53</v>
      </c>
      <c r="BV7" s="37">
        <v>21</v>
      </c>
      <c r="BW7" s="35">
        <v>61</v>
      </c>
      <c r="BX7" s="36">
        <v>30</v>
      </c>
      <c r="BY7" s="26" t="s">
        <v>68</v>
      </c>
      <c r="BZ7" s="37">
        <v>61</v>
      </c>
      <c r="CA7" s="37">
        <v>29</v>
      </c>
    </row>
    <row r="8" spans="1:79" ht="27.5" x14ac:dyDescent="0.25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  <c r="Y8" s="30">
        <v>25</v>
      </c>
      <c r="Z8" s="30">
        <v>26</v>
      </c>
      <c r="AA8" s="30">
        <v>27</v>
      </c>
      <c r="AB8" s="30">
        <v>28</v>
      </c>
      <c r="AC8" s="30">
        <v>29</v>
      </c>
      <c r="AD8" s="30">
        <v>30</v>
      </c>
      <c r="AE8" s="30">
        <v>31</v>
      </c>
      <c r="AF8" s="30">
        <v>32</v>
      </c>
      <c r="AG8" s="30">
        <v>33</v>
      </c>
      <c r="AH8" s="30">
        <v>34</v>
      </c>
      <c r="AI8" s="30">
        <v>35</v>
      </c>
      <c r="AJ8" s="30">
        <v>36</v>
      </c>
      <c r="AK8" s="30">
        <v>37</v>
      </c>
      <c r="AL8" s="30">
        <v>38</v>
      </c>
      <c r="AM8" s="30">
        <v>39</v>
      </c>
      <c r="AN8" s="30">
        <v>40</v>
      </c>
      <c r="AO8" s="30">
        <v>41</v>
      </c>
      <c r="AP8" s="30">
        <v>42</v>
      </c>
      <c r="AQ8" s="30">
        <v>43</v>
      </c>
      <c r="AR8" s="30">
        <v>44</v>
      </c>
      <c r="AS8" s="30">
        <v>45</v>
      </c>
      <c r="AT8" s="30">
        <v>46</v>
      </c>
      <c r="AU8" s="30">
        <v>47</v>
      </c>
      <c r="AV8" s="30">
        <v>48</v>
      </c>
      <c r="AW8" s="30">
        <v>49</v>
      </c>
      <c r="AX8" s="30">
        <v>50</v>
      </c>
      <c r="AY8" s="30">
        <v>51</v>
      </c>
      <c r="AZ8" s="30">
        <v>52</v>
      </c>
      <c r="BA8" s="30">
        <v>53</v>
      </c>
      <c r="BB8" s="30">
        <v>54</v>
      </c>
      <c r="BC8" s="30">
        <v>55</v>
      </c>
      <c r="BD8" s="30">
        <v>56</v>
      </c>
      <c r="BE8" s="30">
        <v>57</v>
      </c>
      <c r="BF8" s="30">
        <v>58</v>
      </c>
      <c r="BG8" s="30">
        <v>59</v>
      </c>
      <c r="BH8" s="30">
        <v>60</v>
      </c>
      <c r="BI8" s="30">
        <v>61</v>
      </c>
      <c r="BJ8" s="30">
        <v>62</v>
      </c>
      <c r="BK8" s="30">
        <v>63</v>
      </c>
      <c r="BL8" s="30">
        <v>64</v>
      </c>
      <c r="BM8" s="30">
        <v>65</v>
      </c>
      <c r="BN8" s="30">
        <v>66</v>
      </c>
      <c r="BO8" s="30">
        <v>67</v>
      </c>
      <c r="BP8" s="30"/>
      <c r="BQ8" s="30">
        <v>1</v>
      </c>
      <c r="BR8" s="30">
        <v>2</v>
      </c>
      <c r="BS8" s="30">
        <v>3</v>
      </c>
      <c r="BT8" s="26" t="s">
        <v>69</v>
      </c>
      <c r="BU8" s="12">
        <v>50</v>
      </c>
      <c r="BV8" s="37">
        <v>20</v>
      </c>
      <c r="BW8" s="35">
        <v>48</v>
      </c>
      <c r="BX8" s="36">
        <v>20</v>
      </c>
      <c r="BY8" s="26" t="s">
        <v>75</v>
      </c>
      <c r="BZ8" s="37">
        <v>66</v>
      </c>
      <c r="CA8" s="37">
        <v>23</v>
      </c>
    </row>
    <row r="9" spans="1:79" ht="18.350000000000001" x14ac:dyDescent="0.25">
      <c r="BT9" s="31" t="s">
        <v>78</v>
      </c>
      <c r="BU9" s="31">
        <v>0</v>
      </c>
      <c r="BV9" s="31">
        <v>0</v>
      </c>
      <c r="BW9" s="32">
        <v>0</v>
      </c>
      <c r="BX9" s="32">
        <v>0</v>
      </c>
      <c r="BY9" s="26" t="s">
        <v>76</v>
      </c>
      <c r="BZ9" s="37">
        <v>47</v>
      </c>
      <c r="CA9" s="37">
        <v>20</v>
      </c>
    </row>
    <row r="10" spans="1:79" ht="14.4" x14ac:dyDescent="0.25">
      <c r="BT10" s="30">
        <v>1</v>
      </c>
      <c r="BU10" s="30">
        <v>2</v>
      </c>
      <c r="BV10" s="30">
        <v>3</v>
      </c>
      <c r="BW10" s="30">
        <v>4</v>
      </c>
      <c r="BX10" s="30">
        <v>5</v>
      </c>
      <c r="BY10" s="31" t="s">
        <v>78</v>
      </c>
      <c r="BZ10" s="31">
        <v>0</v>
      </c>
      <c r="CA10" s="31">
        <v>0</v>
      </c>
    </row>
    <row r="11" spans="1:79" ht="14.4" x14ac:dyDescent="0.25">
      <c r="BY11" s="30">
        <v>1</v>
      </c>
      <c r="BZ11" s="30">
        <v>2</v>
      </c>
      <c r="CA11" s="30">
        <v>3</v>
      </c>
    </row>
  </sheetData>
  <mergeCells count="9">
    <mergeCell ref="BQ3:BR3"/>
    <mergeCell ref="BT3:BU3"/>
    <mergeCell ref="BY3:BZ3"/>
    <mergeCell ref="BQ1:BR1"/>
    <mergeCell ref="BT1:BU1"/>
    <mergeCell ref="BY1:BZ1"/>
    <mergeCell ref="BQ2:BR2"/>
    <mergeCell ref="BT2:BU2"/>
    <mergeCell ref="BY2:BZ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75" x14ac:dyDescent="0.25"/>
  <cols>
    <col min="1" max="2" width="4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5</vt:i4>
      </vt:variant>
    </vt:vector>
  </HeadingPairs>
  <TitlesOfParts>
    <vt:vector size="8" baseType="lpstr">
      <vt:lpstr>統計表</vt:lpstr>
      <vt:lpstr>工作表2</vt:lpstr>
      <vt:lpstr>抬頭</vt:lpstr>
      <vt:lpstr>統計表!Print_Area</vt:lpstr>
      <vt:lpstr>三年級英語</vt:lpstr>
      <vt:lpstr>六年級英語</vt:lpstr>
      <vt:lpstr>四五年級英語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2021-09-05T09:32:30Z</cp:lastPrinted>
  <dcterms:created xsi:type="dcterms:W3CDTF">2021-09-05T06:51:06Z</dcterms:created>
  <dcterms:modified xsi:type="dcterms:W3CDTF">2021-09-06T06:24:32Z</dcterms:modified>
</cp:coreProperties>
</file>