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3" yWindow="0" windowWidth="24067" windowHeight="10118"/>
  </bookViews>
  <sheets>
    <sheet name="統計表" sheetId="10" r:id="rId1"/>
    <sheet name="花東B表" sheetId="12" r:id="rId2"/>
    <sheet name="單價表" sheetId="11" r:id="rId3"/>
    <sheet name="試算表(參考用)" sheetId="1" r:id="rId4"/>
    <sheet name="工作表2" sheetId="7" state="hidden" r:id="rId5"/>
    <sheet name="抬頭" sheetId="2" state="hidden" r:id="rId6"/>
  </sheets>
  <definedNames>
    <definedName name="_xlnm._FilterDatabase" localSheetId="2" hidden="1">單價表!$A$3:$Q$89</definedName>
    <definedName name="_xlnm._FilterDatabase" localSheetId="3" hidden="1">'試算表(參考用)'!$A$4:$V$210</definedName>
    <definedName name="_xlnm.Print_Area" localSheetId="0">統計表!$A$1:$U$42</definedName>
    <definedName name="_xlnm.Print_Titles" localSheetId="3">'試算表(參考用)'!$A:$D,'試算表(參考用)'!$1:$4</definedName>
    <definedName name="三四英語">工作表2!$A$15:$A$19</definedName>
    <definedName name="五六英語">工作表2!$J$15:$J$21</definedName>
    <definedName name="版本">工作表2!$A$5:$A$9</definedName>
  </definedNames>
  <calcPr calcId="144525"/>
</workbook>
</file>

<file path=xl/calcChain.xml><?xml version="1.0" encoding="utf-8"?>
<calcChain xmlns="http://schemas.openxmlformats.org/spreadsheetml/2006/main">
  <c r="S70" i="10" l="1"/>
  <c r="I69" i="10" l="1"/>
  <c r="F69" i="10"/>
  <c r="K53" i="10"/>
  <c r="L54" i="10" s="1"/>
  <c r="J72" i="10"/>
  <c r="J70" i="10"/>
  <c r="J68" i="10"/>
  <c r="J66" i="10"/>
  <c r="I72" i="10"/>
  <c r="I73" i="10" s="1"/>
  <c r="I70" i="10"/>
  <c r="I71" i="10" s="1"/>
  <c r="I68" i="10"/>
  <c r="I66" i="10"/>
  <c r="I67" i="10" s="1"/>
  <c r="F72" i="10"/>
  <c r="F73" i="10" s="1"/>
  <c r="F70" i="10"/>
  <c r="F71" i="10" s="1"/>
  <c r="F68" i="10"/>
  <c r="F66" i="10"/>
  <c r="F67" i="10" s="1"/>
  <c r="G72" i="10"/>
  <c r="G70" i="10"/>
  <c r="G68" i="10"/>
  <c r="G66" i="10"/>
  <c r="D72" i="10"/>
  <c r="D70" i="10"/>
  <c r="D68" i="10"/>
  <c r="D66" i="10"/>
  <c r="D64" i="10"/>
  <c r="D62" i="10"/>
  <c r="C72" i="10"/>
  <c r="C73" i="10" s="1"/>
  <c r="C70" i="10"/>
  <c r="C71" i="10" s="1"/>
  <c r="C68" i="10"/>
  <c r="C69" i="10" s="1"/>
  <c r="C66" i="10"/>
  <c r="C67" i="10" s="1"/>
  <c r="C64" i="10"/>
  <c r="C65" i="10" s="1"/>
  <c r="C62" i="10"/>
  <c r="C63" i="10" s="1"/>
  <c r="K54" i="10" l="1"/>
  <c r="N57" i="10"/>
  <c r="N55" i="10"/>
  <c r="N53" i="10"/>
  <c r="N51" i="10"/>
  <c r="K57" i="10"/>
  <c r="K55" i="10"/>
  <c r="K51" i="10"/>
  <c r="I57" i="10"/>
  <c r="I55" i="10"/>
  <c r="I53" i="10"/>
  <c r="I51" i="10"/>
  <c r="G57" i="10"/>
  <c r="G55" i="10"/>
  <c r="G53" i="10"/>
  <c r="G51" i="10"/>
  <c r="G49" i="10"/>
  <c r="G47" i="10"/>
  <c r="E57" i="10"/>
  <c r="E55" i="10"/>
  <c r="E53" i="10"/>
  <c r="E51" i="10"/>
  <c r="E49" i="10"/>
  <c r="E47" i="10"/>
  <c r="C49" i="10"/>
  <c r="C47" i="10"/>
  <c r="K72" i="10"/>
  <c r="H72" i="10"/>
  <c r="E72" i="10"/>
  <c r="K70" i="10"/>
  <c r="H70" i="10"/>
  <c r="E70" i="10"/>
  <c r="K68" i="10"/>
  <c r="H68" i="10"/>
  <c r="E68" i="10"/>
  <c r="K66" i="10"/>
  <c r="H66" i="10"/>
  <c r="E66" i="10"/>
  <c r="E64" i="10"/>
  <c r="L64" i="10" s="1"/>
  <c r="E62" i="10"/>
  <c r="L62" i="10" s="1"/>
  <c r="N19" i="10"/>
  <c r="N56" i="10" l="1"/>
  <c r="O56" i="10"/>
  <c r="O58" i="10"/>
  <c r="N58" i="10"/>
  <c r="O54" i="10"/>
  <c r="N54" i="10"/>
  <c r="O52" i="10"/>
  <c r="N52" i="10"/>
  <c r="F50" i="10"/>
  <c r="E50" i="10"/>
  <c r="H50" i="10"/>
  <c r="G50" i="10"/>
  <c r="J54" i="10"/>
  <c r="I54" i="10"/>
  <c r="F52" i="10"/>
  <c r="E52" i="10"/>
  <c r="H52" i="10"/>
  <c r="G52" i="10"/>
  <c r="J56" i="10"/>
  <c r="I56" i="10"/>
  <c r="F54" i="10"/>
  <c r="E54" i="10"/>
  <c r="H54" i="10"/>
  <c r="G54" i="10"/>
  <c r="J58" i="10"/>
  <c r="I58" i="10"/>
  <c r="D48" i="10"/>
  <c r="C48" i="10"/>
  <c r="F56" i="10"/>
  <c r="E56" i="10"/>
  <c r="H56" i="10"/>
  <c r="G56" i="10"/>
  <c r="L52" i="10"/>
  <c r="K52" i="10"/>
  <c r="D50" i="10"/>
  <c r="C50" i="10"/>
  <c r="F58" i="10"/>
  <c r="E58" i="10"/>
  <c r="H58" i="10"/>
  <c r="G58" i="10"/>
  <c r="L56" i="10"/>
  <c r="K56" i="10"/>
  <c r="F48" i="10"/>
  <c r="E48" i="10"/>
  <c r="H48" i="10"/>
  <c r="G48" i="10"/>
  <c r="J52" i="10"/>
  <c r="I52" i="10"/>
  <c r="L58" i="10"/>
  <c r="K58" i="10"/>
  <c r="L66" i="10"/>
  <c r="L72" i="10"/>
  <c r="L70" i="10"/>
  <c r="L68" i="10"/>
  <c r="H11" i="10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I12" i="1"/>
  <c r="I208" i="1"/>
  <c r="I207" i="1"/>
  <c r="I206" i="1"/>
  <c r="I205" i="1"/>
  <c r="I204" i="1"/>
  <c r="I203" i="1"/>
  <c r="M203" i="1" s="1"/>
  <c r="I202" i="1"/>
  <c r="I201" i="1"/>
  <c r="I200" i="1"/>
  <c r="I199" i="1"/>
  <c r="I198" i="1"/>
  <c r="I197" i="1"/>
  <c r="I196" i="1"/>
  <c r="I195" i="1"/>
  <c r="I194" i="1"/>
  <c r="I193" i="1"/>
  <c r="I192" i="1"/>
  <c r="I191" i="1"/>
  <c r="M191" i="1" s="1"/>
  <c r="I190" i="1"/>
  <c r="I189" i="1"/>
  <c r="I188" i="1"/>
  <c r="I187" i="1"/>
  <c r="I186" i="1"/>
  <c r="I185" i="1"/>
  <c r="I184" i="1"/>
  <c r="I183" i="1"/>
  <c r="I182" i="1"/>
  <c r="I181" i="1"/>
  <c r="I180" i="1"/>
  <c r="I179" i="1"/>
  <c r="M179" i="1" s="1"/>
  <c r="I178" i="1"/>
  <c r="I177" i="1"/>
  <c r="I176" i="1"/>
  <c r="I175" i="1"/>
  <c r="I174" i="1"/>
  <c r="I173" i="1"/>
  <c r="M173" i="1" s="1"/>
  <c r="I172" i="1"/>
  <c r="I171" i="1"/>
  <c r="I170" i="1"/>
  <c r="I169" i="1"/>
  <c r="I168" i="1"/>
  <c r="I167" i="1"/>
  <c r="M167" i="1" s="1"/>
  <c r="I166" i="1"/>
  <c r="I165" i="1"/>
  <c r="I164" i="1"/>
  <c r="I163" i="1"/>
  <c r="I162" i="1"/>
  <c r="I161" i="1"/>
  <c r="M161" i="1" s="1"/>
  <c r="I160" i="1"/>
  <c r="I159" i="1"/>
  <c r="I158" i="1"/>
  <c r="I157" i="1"/>
  <c r="I156" i="1"/>
  <c r="I155" i="1"/>
  <c r="M155" i="1" s="1"/>
  <c r="I154" i="1"/>
  <c r="I153" i="1"/>
  <c r="I152" i="1"/>
  <c r="I151" i="1"/>
  <c r="I150" i="1"/>
  <c r="I149" i="1"/>
  <c r="M149" i="1" s="1"/>
  <c r="I148" i="1"/>
  <c r="I147" i="1"/>
  <c r="I146" i="1"/>
  <c r="I145" i="1"/>
  <c r="I144" i="1"/>
  <c r="I143" i="1"/>
  <c r="M143" i="1" s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M113" i="1" s="1"/>
  <c r="I112" i="1"/>
  <c r="I111" i="1"/>
  <c r="I110" i="1"/>
  <c r="I109" i="1"/>
  <c r="I108" i="1"/>
  <c r="I107" i="1"/>
  <c r="M107" i="1" s="1"/>
  <c r="I106" i="1"/>
  <c r="I105" i="1"/>
  <c r="I104" i="1"/>
  <c r="I103" i="1"/>
  <c r="I102" i="1"/>
  <c r="I101" i="1"/>
  <c r="I100" i="1"/>
  <c r="I99" i="1"/>
  <c r="I98" i="1"/>
  <c r="I97" i="1"/>
  <c r="I96" i="1"/>
  <c r="I95" i="1"/>
  <c r="M95" i="1" s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M53" i="1" s="1"/>
  <c r="I52" i="1"/>
  <c r="I51" i="1"/>
  <c r="I50" i="1"/>
  <c r="I49" i="1"/>
  <c r="I48" i="1"/>
  <c r="I47" i="1"/>
  <c r="M47" i="1" s="1"/>
  <c r="I46" i="1"/>
  <c r="I45" i="1"/>
  <c r="I44" i="1"/>
  <c r="I43" i="1"/>
  <c r="I42" i="1"/>
  <c r="I41" i="1"/>
  <c r="M41" i="1" s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M17" i="1" s="1"/>
  <c r="I16" i="1"/>
  <c r="I15" i="1"/>
  <c r="I14" i="1"/>
  <c r="I13" i="1"/>
  <c r="I11" i="1"/>
  <c r="M11" i="1" s="1"/>
  <c r="I10" i="1"/>
  <c r="M10" i="1" s="1"/>
  <c r="I9" i="1"/>
  <c r="M9" i="1" s="1"/>
  <c r="I8" i="1"/>
  <c r="M8" i="1" s="1"/>
  <c r="I7" i="1"/>
  <c r="M7" i="1" s="1"/>
  <c r="I6" i="1"/>
  <c r="M6" i="1" s="1"/>
  <c r="I5" i="1"/>
  <c r="M5" i="1" s="1"/>
  <c r="Q47" i="10" l="1"/>
  <c r="T47" i="10" s="1"/>
  <c r="Q49" i="10"/>
  <c r="T49" i="10" s="1"/>
  <c r="S64" i="10"/>
  <c r="Q53" i="10"/>
  <c r="T53" i="10" s="1"/>
  <c r="Q51" i="10"/>
  <c r="T51" i="10" s="1"/>
  <c r="Q57" i="10"/>
  <c r="T57" i="10" s="1"/>
  <c r="Q55" i="10"/>
  <c r="T55" i="10" s="1"/>
  <c r="M13" i="1"/>
  <c r="M19" i="1"/>
  <c r="M25" i="1"/>
  <c r="M31" i="1"/>
  <c r="M37" i="1"/>
  <c r="M43" i="1"/>
  <c r="M79" i="1"/>
  <c r="M85" i="1"/>
  <c r="M91" i="1"/>
  <c r="M97" i="1"/>
  <c r="M103" i="1"/>
  <c r="M121" i="1"/>
  <c r="M127" i="1"/>
  <c r="M133" i="1"/>
  <c r="M139" i="1"/>
  <c r="M145" i="1"/>
  <c r="M157" i="1"/>
  <c r="M163" i="1"/>
  <c r="M199" i="1"/>
  <c r="M38" i="1"/>
  <c r="M44" i="1"/>
  <c r="M56" i="1"/>
  <c r="M62" i="1"/>
  <c r="M68" i="1"/>
  <c r="M74" i="1"/>
  <c r="M80" i="1"/>
  <c r="M86" i="1"/>
  <c r="M92" i="1"/>
  <c r="M98" i="1"/>
  <c r="M110" i="1"/>
  <c r="M122" i="1"/>
  <c r="M128" i="1"/>
  <c r="M140" i="1"/>
  <c r="M146" i="1"/>
  <c r="M152" i="1"/>
  <c r="M158" i="1"/>
  <c r="M164" i="1"/>
  <c r="M188" i="1"/>
  <c r="M194" i="1"/>
  <c r="M200" i="1"/>
  <c r="M14" i="1"/>
  <c r="M20" i="1"/>
  <c r="M26" i="1"/>
  <c r="M32" i="1"/>
  <c r="M12" i="1"/>
  <c r="M18" i="1"/>
  <c r="M24" i="1"/>
  <c r="M30" i="1"/>
  <c r="M48" i="1"/>
  <c r="M54" i="1"/>
  <c r="M60" i="1"/>
  <c r="M66" i="1"/>
  <c r="M78" i="1"/>
  <c r="M84" i="1"/>
  <c r="M90" i="1"/>
  <c r="M96" i="1"/>
  <c r="M102" i="1"/>
  <c r="M108" i="1"/>
  <c r="M114" i="1"/>
  <c r="M126" i="1"/>
  <c r="M132" i="1"/>
  <c r="M138" i="1"/>
  <c r="M162" i="1"/>
  <c r="M168" i="1"/>
  <c r="M174" i="1"/>
  <c r="M186" i="1"/>
  <c r="M192" i="1"/>
  <c r="M198" i="1"/>
  <c r="M136" i="1"/>
  <c r="M100" i="1"/>
  <c r="M77" i="1"/>
  <c r="M72" i="1"/>
  <c r="M150" i="1"/>
  <c r="M50" i="1"/>
  <c r="M104" i="1"/>
  <c r="M116" i="1"/>
  <c r="M134" i="1"/>
  <c r="M176" i="1"/>
  <c r="M182" i="1"/>
  <c r="M206" i="1"/>
  <c r="M46" i="1"/>
  <c r="M94" i="1"/>
  <c r="M106" i="1"/>
  <c r="M118" i="1"/>
  <c r="M124" i="1"/>
  <c r="M130" i="1"/>
  <c r="M160" i="1"/>
  <c r="M166" i="1"/>
  <c r="M178" i="1"/>
  <c r="M184" i="1"/>
  <c r="M190" i="1"/>
  <c r="M196" i="1"/>
  <c r="M202" i="1"/>
  <c r="M36" i="1"/>
  <c r="M120" i="1"/>
  <c r="M144" i="1"/>
  <c r="M180" i="1"/>
  <c r="M15" i="1"/>
  <c r="M33" i="1"/>
  <c r="M93" i="1"/>
  <c r="M99" i="1"/>
  <c r="M117" i="1"/>
  <c r="M123" i="1"/>
  <c r="M147" i="1"/>
  <c r="M153" i="1"/>
  <c r="M159" i="1"/>
  <c r="M165" i="1"/>
  <c r="M177" i="1"/>
  <c r="M183" i="1"/>
  <c r="M189" i="1"/>
  <c r="M195" i="1"/>
  <c r="M201" i="1"/>
  <c r="M21" i="1"/>
  <c r="M45" i="1"/>
  <c r="M57" i="1"/>
  <c r="M69" i="1"/>
  <c r="M75" i="1"/>
  <c r="M87" i="1"/>
  <c r="M105" i="1"/>
  <c r="M129" i="1"/>
  <c r="M135" i="1"/>
  <c r="M141" i="1"/>
  <c r="M171" i="1"/>
  <c r="M22" i="1"/>
  <c r="M28" i="1"/>
  <c r="M34" i="1"/>
  <c r="M40" i="1"/>
  <c r="M52" i="1"/>
  <c r="M58" i="1"/>
  <c r="M76" i="1"/>
  <c r="M82" i="1"/>
  <c r="M88" i="1"/>
  <c r="M142" i="1"/>
  <c r="M148" i="1"/>
  <c r="M154" i="1"/>
  <c r="M172" i="1"/>
  <c r="M27" i="1"/>
  <c r="M39" i="1"/>
  <c r="M51" i="1"/>
  <c r="M81" i="1"/>
  <c r="M59" i="1"/>
  <c r="M83" i="1"/>
  <c r="M101" i="1"/>
  <c r="M185" i="1"/>
  <c r="M49" i="1"/>
  <c r="M67" i="1"/>
  <c r="M115" i="1"/>
  <c r="M151" i="1"/>
  <c r="M175" i="1"/>
  <c r="M205" i="1"/>
  <c r="M208" i="1"/>
  <c r="M207" i="1"/>
  <c r="M204" i="1"/>
  <c r="M197" i="1"/>
  <c r="M181" i="1"/>
  <c r="M187" i="1"/>
  <c r="M193" i="1"/>
  <c r="M169" i="1"/>
  <c r="M170" i="1"/>
  <c r="M156" i="1"/>
  <c r="M119" i="1"/>
  <c r="M125" i="1"/>
  <c r="M131" i="1"/>
  <c r="M137" i="1"/>
  <c r="M112" i="1"/>
  <c r="M109" i="1"/>
  <c r="M111" i="1"/>
  <c r="M89" i="1"/>
  <c r="M73" i="1"/>
  <c r="M71" i="1"/>
  <c r="M70" i="1"/>
  <c r="M64" i="1"/>
  <c r="M65" i="1"/>
  <c r="M61" i="1"/>
  <c r="M63" i="1"/>
  <c r="M55" i="1"/>
  <c r="M42" i="1"/>
  <c r="M35" i="1"/>
  <c r="M29" i="1"/>
  <c r="M23" i="1"/>
  <c r="M16" i="1"/>
  <c r="S6" i="10"/>
  <c r="R6" i="10"/>
  <c r="S4" i="10"/>
  <c r="R4" i="10"/>
  <c r="M209" i="1" l="1"/>
  <c r="L21" i="10"/>
  <c r="K21" i="10"/>
  <c r="J21" i="10"/>
  <c r="I21" i="10"/>
  <c r="H21" i="10"/>
  <c r="G21" i="10"/>
  <c r="F21" i="10"/>
  <c r="E21" i="10"/>
  <c r="L19" i="10"/>
  <c r="K19" i="10"/>
  <c r="J19" i="10"/>
  <c r="I19" i="10"/>
  <c r="H19" i="10"/>
  <c r="G19" i="10"/>
  <c r="F19" i="10"/>
  <c r="E19" i="10"/>
  <c r="L17" i="10"/>
  <c r="K17" i="10"/>
  <c r="J17" i="10"/>
  <c r="I17" i="10"/>
  <c r="H17" i="10"/>
  <c r="G17" i="10"/>
  <c r="F17" i="10"/>
  <c r="E17" i="10"/>
  <c r="L15" i="10"/>
  <c r="K15" i="10"/>
  <c r="J15" i="10"/>
  <c r="I15" i="10"/>
  <c r="H15" i="10"/>
  <c r="G15" i="10"/>
  <c r="F15" i="10"/>
  <c r="E15" i="10"/>
  <c r="I36" i="10"/>
  <c r="I34" i="10"/>
  <c r="I32" i="10"/>
  <c r="I30" i="10"/>
  <c r="F36" i="10"/>
  <c r="F34" i="10"/>
  <c r="F32" i="10"/>
  <c r="F30" i="10"/>
  <c r="C36" i="10"/>
  <c r="C34" i="10"/>
  <c r="C32" i="10"/>
  <c r="C30" i="10"/>
  <c r="C28" i="10"/>
  <c r="H13" i="10"/>
  <c r="G13" i="10"/>
  <c r="F13" i="10"/>
  <c r="E13" i="10"/>
  <c r="D13" i="10"/>
  <c r="C13" i="10"/>
  <c r="C26" i="10"/>
  <c r="G11" i="10"/>
  <c r="F11" i="10"/>
  <c r="E11" i="10"/>
  <c r="C11" i="10"/>
  <c r="O21" i="10"/>
  <c r="N21" i="10"/>
  <c r="O19" i="10"/>
  <c r="O17" i="10"/>
  <c r="N17" i="10"/>
  <c r="O15" i="10"/>
  <c r="N15" i="10"/>
  <c r="T59" i="10" l="1"/>
  <c r="S66" i="10" s="1"/>
  <c r="Q14" i="10"/>
  <c r="Q20" i="10"/>
  <c r="Q18" i="10"/>
  <c r="Q16" i="10"/>
  <c r="G34" i="12"/>
  <c r="F34" i="12"/>
  <c r="F35" i="12" s="1"/>
  <c r="E34" i="12"/>
  <c r="D34" i="12"/>
  <c r="D35" i="12" s="1"/>
  <c r="D11" i="10" l="1"/>
  <c r="K35" i="10" l="1"/>
  <c r="H35" i="10"/>
  <c r="E35" i="10"/>
  <c r="K33" i="10"/>
  <c r="H33" i="10"/>
  <c r="E33" i="10"/>
  <c r="K31" i="10"/>
  <c r="H31" i="10"/>
  <c r="E31" i="10"/>
  <c r="K29" i="10"/>
  <c r="H29" i="10"/>
  <c r="E29" i="10"/>
  <c r="E27" i="10"/>
  <c r="L27" i="10" s="1"/>
  <c r="E25" i="10"/>
  <c r="L25" i="10" s="1"/>
  <c r="T14" i="10"/>
  <c r="Q12" i="10"/>
  <c r="Q10" i="10"/>
  <c r="T10" i="10" s="1"/>
  <c r="Q6" i="10"/>
  <c r="J6" i="10"/>
  <c r="R57" i="10" s="1"/>
  <c r="I6" i="10"/>
  <c r="R55" i="10" s="1"/>
  <c r="H6" i="10"/>
  <c r="R53" i="10" s="1"/>
  <c r="G6" i="10"/>
  <c r="R51" i="10" s="1"/>
  <c r="F6" i="10"/>
  <c r="R49" i="10" s="1"/>
  <c r="E6" i="10"/>
  <c r="R47" i="10" s="1"/>
  <c r="K5" i="10"/>
  <c r="K4" i="10"/>
  <c r="R59" i="10" l="1"/>
  <c r="S62" i="10" s="1"/>
  <c r="S68" i="10" s="1"/>
  <c r="R20" i="10"/>
  <c r="U4" i="10"/>
  <c r="U6" i="10"/>
  <c r="R12" i="10"/>
  <c r="R16" i="10"/>
  <c r="R10" i="10"/>
  <c r="L35" i="10"/>
  <c r="L33" i="10"/>
  <c r="L31" i="10"/>
  <c r="L29" i="10"/>
  <c r="T18" i="10"/>
  <c r="R18" i="10"/>
  <c r="R14" i="10"/>
  <c r="K6" i="10"/>
  <c r="T12" i="10"/>
  <c r="T16" i="10"/>
  <c r="T20" i="10"/>
  <c r="T22" i="10" l="1"/>
  <c r="S30" i="10"/>
  <c r="R22" i="10"/>
  <c r="S28" i="10" s="1"/>
  <c r="W208" i="1"/>
  <c r="W207" i="1"/>
  <c r="W206" i="1"/>
  <c r="W204" i="1"/>
  <c r="W203" i="1"/>
  <c r="W202" i="1"/>
  <c r="W200" i="1"/>
  <c r="W198" i="1"/>
  <c r="W196" i="1"/>
  <c r="W195" i="1"/>
  <c r="W194" i="1"/>
  <c r="W193" i="1"/>
  <c r="W192" i="1"/>
  <c r="W191" i="1"/>
  <c r="W190" i="1"/>
  <c r="W189" i="1"/>
  <c r="W188" i="1"/>
  <c r="W187" i="1"/>
  <c r="W185" i="1"/>
  <c r="W184" i="1"/>
  <c r="W183" i="1"/>
  <c r="W182" i="1"/>
  <c r="W181" i="1"/>
  <c r="W180" i="1"/>
  <c r="W179" i="1"/>
  <c r="W178" i="1"/>
  <c r="W177" i="1"/>
  <c r="W176" i="1"/>
  <c r="W174" i="1"/>
  <c r="W173" i="1"/>
  <c r="W172" i="1"/>
  <c r="W171" i="1"/>
  <c r="W170" i="1"/>
  <c r="W169" i="1"/>
  <c r="W168" i="1"/>
  <c r="W167" i="1"/>
  <c r="W166" i="1"/>
  <c r="W164" i="1"/>
  <c r="W163" i="1"/>
  <c r="W162" i="1"/>
  <c r="W161" i="1"/>
  <c r="W160" i="1"/>
  <c r="W159" i="1"/>
  <c r="W158" i="1"/>
  <c r="W157" i="1"/>
  <c r="W156" i="1"/>
  <c r="W154" i="1"/>
  <c r="W153" i="1"/>
  <c r="W152" i="1"/>
  <c r="W151" i="1"/>
  <c r="W150" i="1"/>
  <c r="W149" i="1"/>
  <c r="W147" i="1"/>
  <c r="W146" i="1"/>
  <c r="W145" i="1"/>
  <c r="W144" i="1"/>
  <c r="W143" i="1"/>
  <c r="W142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1" i="1"/>
  <c r="W100" i="1"/>
  <c r="W99" i="1"/>
  <c r="W98" i="1"/>
  <c r="W97" i="1"/>
  <c r="W96" i="1"/>
  <c r="W95" i="1"/>
  <c r="W94" i="1"/>
  <c r="W93" i="1"/>
  <c r="W92" i="1"/>
  <c r="W91" i="1"/>
  <c r="W90" i="1"/>
  <c r="W88" i="1"/>
  <c r="W87" i="1"/>
  <c r="W86" i="1"/>
  <c r="W85" i="1"/>
  <c r="W84" i="1"/>
  <c r="W83" i="1"/>
  <c r="W81" i="1"/>
  <c r="W80" i="1"/>
  <c r="W79" i="1"/>
  <c r="W78" i="1"/>
  <c r="W77" i="1"/>
  <c r="W76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Q208" i="1"/>
  <c r="Q207" i="1"/>
  <c r="Q206" i="1"/>
  <c r="Q204" i="1"/>
  <c r="Q203" i="1"/>
  <c r="Q202" i="1"/>
  <c r="Q200" i="1"/>
  <c r="Q198" i="1"/>
  <c r="Q196" i="1"/>
  <c r="Q195" i="1"/>
  <c r="Q194" i="1"/>
  <c r="Q193" i="1"/>
  <c r="Q192" i="1"/>
  <c r="Q191" i="1"/>
  <c r="Q190" i="1"/>
  <c r="Q189" i="1"/>
  <c r="Q188" i="1"/>
  <c r="Q187" i="1"/>
  <c r="Q185" i="1"/>
  <c r="Q184" i="1"/>
  <c r="Q183" i="1"/>
  <c r="Q182" i="1"/>
  <c r="Q181" i="1"/>
  <c r="Q180" i="1"/>
  <c r="Q179" i="1"/>
  <c r="Q178" i="1"/>
  <c r="Q177" i="1"/>
  <c r="Q176" i="1"/>
  <c r="Q174" i="1"/>
  <c r="Q173" i="1"/>
  <c r="Q172" i="1"/>
  <c r="Q171" i="1"/>
  <c r="Q170" i="1"/>
  <c r="Q169" i="1"/>
  <c r="Q168" i="1"/>
  <c r="Q167" i="1"/>
  <c r="Q166" i="1"/>
  <c r="Q164" i="1"/>
  <c r="Q163" i="1"/>
  <c r="Q162" i="1"/>
  <c r="Q161" i="1"/>
  <c r="Q160" i="1"/>
  <c r="Q159" i="1"/>
  <c r="Q158" i="1"/>
  <c r="Q157" i="1"/>
  <c r="Q156" i="1"/>
  <c r="Q154" i="1"/>
  <c r="Q153" i="1"/>
  <c r="Q152" i="1"/>
  <c r="Q151" i="1"/>
  <c r="Q150" i="1"/>
  <c r="Q149" i="1"/>
  <c r="Q147" i="1"/>
  <c r="Q146" i="1"/>
  <c r="Q145" i="1"/>
  <c r="Q144" i="1"/>
  <c r="Q143" i="1"/>
  <c r="Q142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1" i="1"/>
  <c r="Q100" i="1"/>
  <c r="Q99" i="1"/>
  <c r="Q98" i="1"/>
  <c r="Q97" i="1"/>
  <c r="Q96" i="1"/>
  <c r="Q95" i="1"/>
  <c r="Q94" i="1"/>
  <c r="Q93" i="1"/>
  <c r="Q92" i="1"/>
  <c r="Q91" i="1"/>
  <c r="Q90" i="1"/>
  <c r="Q88" i="1"/>
  <c r="Q87" i="1"/>
  <c r="Q86" i="1"/>
  <c r="Q85" i="1"/>
  <c r="Q84" i="1"/>
  <c r="Q83" i="1"/>
  <c r="Q81" i="1"/>
  <c r="Q80" i="1"/>
  <c r="Q79" i="1"/>
  <c r="Q78" i="1"/>
  <c r="Q77" i="1"/>
  <c r="Q76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W205" i="1"/>
  <c r="W186" i="1"/>
  <c r="W128" i="1"/>
  <c r="W201" i="1"/>
  <c r="W175" i="1"/>
  <c r="W115" i="1"/>
  <c r="W199" i="1"/>
  <c r="W165" i="1"/>
  <c r="W102" i="1"/>
  <c r="W197" i="1"/>
  <c r="W155" i="1"/>
  <c r="W89" i="1"/>
  <c r="W148" i="1"/>
  <c r="W82" i="1"/>
  <c r="W75" i="1"/>
  <c r="N90" i="1"/>
  <c r="P90" i="1" s="1"/>
  <c r="N91" i="1"/>
  <c r="P91" i="1" s="1"/>
  <c r="N92" i="1"/>
  <c r="P92" i="1" s="1"/>
  <c r="N93" i="1"/>
  <c r="P93" i="1" s="1"/>
  <c r="N94" i="1"/>
  <c r="P94" i="1" s="1"/>
  <c r="N95" i="1"/>
  <c r="P95" i="1" s="1"/>
  <c r="N96" i="1"/>
  <c r="P96" i="1" s="1"/>
  <c r="N97" i="1"/>
  <c r="P97" i="1" s="1"/>
  <c r="N98" i="1"/>
  <c r="P98" i="1" s="1"/>
  <c r="N99" i="1"/>
  <c r="P99" i="1" s="1"/>
  <c r="N100" i="1"/>
  <c r="P100" i="1" s="1"/>
  <c r="N101" i="1"/>
  <c r="P101" i="1" s="1"/>
  <c r="N13" i="1"/>
  <c r="P13" i="1" s="1"/>
  <c r="N14" i="1"/>
  <c r="P14" i="1" s="1"/>
  <c r="N15" i="1"/>
  <c r="P15" i="1" s="1"/>
  <c r="N16" i="1"/>
  <c r="P16" i="1" s="1"/>
  <c r="N17" i="1"/>
  <c r="P17" i="1" s="1"/>
  <c r="N18" i="1"/>
  <c r="P18" i="1" s="1"/>
  <c r="N83" i="1"/>
  <c r="P83" i="1" s="1"/>
  <c r="N84" i="1"/>
  <c r="P84" i="1" s="1"/>
  <c r="N85" i="1"/>
  <c r="P85" i="1" s="1"/>
  <c r="N86" i="1"/>
  <c r="P86" i="1" s="1"/>
  <c r="N87" i="1"/>
  <c r="P87" i="1" s="1"/>
  <c r="N88" i="1"/>
  <c r="P88" i="1" s="1"/>
  <c r="N149" i="1"/>
  <c r="P149" i="1" s="1"/>
  <c r="N150" i="1"/>
  <c r="P150" i="1" s="1"/>
  <c r="N151" i="1"/>
  <c r="P151" i="1" s="1"/>
  <c r="N152" i="1"/>
  <c r="P152" i="1" s="1"/>
  <c r="N153" i="1"/>
  <c r="P153" i="1" s="1"/>
  <c r="N154" i="1"/>
  <c r="P154" i="1" s="1"/>
  <c r="N20" i="1"/>
  <c r="P20" i="1" s="1"/>
  <c r="N21" i="1"/>
  <c r="P21" i="1" s="1"/>
  <c r="N22" i="1"/>
  <c r="P22" i="1" s="1"/>
  <c r="N23" i="1"/>
  <c r="P23" i="1" s="1"/>
  <c r="N24" i="1"/>
  <c r="P24" i="1" s="1"/>
  <c r="N25" i="1"/>
  <c r="P25" i="1" s="1"/>
  <c r="N26" i="1"/>
  <c r="P26" i="1" s="1"/>
  <c r="N27" i="1"/>
  <c r="P27" i="1" s="1"/>
  <c r="N28" i="1"/>
  <c r="P28" i="1" s="1"/>
  <c r="N29" i="1"/>
  <c r="P29" i="1" s="1"/>
  <c r="N30" i="1"/>
  <c r="P30" i="1" s="1"/>
  <c r="N31" i="1"/>
  <c r="P31" i="1" s="1"/>
  <c r="N156" i="1"/>
  <c r="P156" i="1" s="1"/>
  <c r="N157" i="1"/>
  <c r="P157" i="1" s="1"/>
  <c r="N158" i="1"/>
  <c r="P158" i="1" s="1"/>
  <c r="N159" i="1"/>
  <c r="P159" i="1" s="1"/>
  <c r="N160" i="1"/>
  <c r="P160" i="1" s="1"/>
  <c r="N161" i="1"/>
  <c r="P161" i="1" s="1"/>
  <c r="N162" i="1"/>
  <c r="P162" i="1" s="1"/>
  <c r="N163" i="1"/>
  <c r="P163" i="1" s="1"/>
  <c r="N164" i="1"/>
  <c r="P164" i="1" s="1"/>
  <c r="N198" i="1"/>
  <c r="P198" i="1" s="1"/>
  <c r="N33" i="1"/>
  <c r="P33" i="1" s="1"/>
  <c r="N34" i="1"/>
  <c r="P34" i="1" s="1"/>
  <c r="N35" i="1"/>
  <c r="P35" i="1" s="1"/>
  <c r="N36" i="1"/>
  <c r="P36" i="1" s="1"/>
  <c r="N37" i="1"/>
  <c r="P37" i="1" s="1"/>
  <c r="N38" i="1"/>
  <c r="P38" i="1" s="1"/>
  <c r="N39" i="1"/>
  <c r="P39" i="1" s="1"/>
  <c r="N40" i="1"/>
  <c r="P40" i="1" s="1"/>
  <c r="N41" i="1"/>
  <c r="P41" i="1" s="1"/>
  <c r="N42" i="1"/>
  <c r="P42" i="1" s="1"/>
  <c r="N43" i="1"/>
  <c r="P43" i="1" s="1"/>
  <c r="N44" i="1"/>
  <c r="P44" i="1" s="1"/>
  <c r="N103" i="1"/>
  <c r="P103" i="1" s="1"/>
  <c r="N104" i="1"/>
  <c r="P104" i="1" s="1"/>
  <c r="N105" i="1"/>
  <c r="P105" i="1" s="1"/>
  <c r="N106" i="1"/>
  <c r="P106" i="1" s="1"/>
  <c r="N107" i="1"/>
  <c r="P107" i="1" s="1"/>
  <c r="N108" i="1"/>
  <c r="P108" i="1" s="1"/>
  <c r="N109" i="1"/>
  <c r="P109" i="1" s="1"/>
  <c r="N110" i="1"/>
  <c r="P110" i="1" s="1"/>
  <c r="N111" i="1"/>
  <c r="P111" i="1" s="1"/>
  <c r="N112" i="1"/>
  <c r="P112" i="1" s="1"/>
  <c r="N113" i="1"/>
  <c r="P113" i="1" s="1"/>
  <c r="N114" i="1"/>
  <c r="P114" i="1" s="1"/>
  <c r="S32" i="10" l="1"/>
  <c r="Q89" i="1"/>
  <c r="Q155" i="1"/>
  <c r="Q197" i="1"/>
  <c r="Q102" i="1"/>
  <c r="Q186" i="1"/>
  <c r="Q115" i="1"/>
  <c r="Q175" i="1"/>
  <c r="Q199" i="1"/>
  <c r="Q205" i="1"/>
  <c r="Q128" i="1"/>
  <c r="Q75" i="1"/>
  <c r="Q165" i="1"/>
  <c r="Q201" i="1"/>
  <c r="Q82" i="1"/>
  <c r="Q148" i="1"/>
  <c r="L209" i="1"/>
  <c r="W141" i="1" l="1"/>
  <c r="Q141" i="1"/>
  <c r="V147" i="1" l="1"/>
  <c r="T147" i="1"/>
  <c r="X147" i="1"/>
  <c r="N147" i="1"/>
  <c r="P147" i="1" s="1"/>
  <c r="V146" i="1"/>
  <c r="T146" i="1"/>
  <c r="X146" i="1"/>
  <c r="N146" i="1"/>
  <c r="P146" i="1" s="1"/>
  <c r="V145" i="1"/>
  <c r="T145" i="1"/>
  <c r="X145" i="1"/>
  <c r="N145" i="1"/>
  <c r="P145" i="1" s="1"/>
  <c r="V144" i="1"/>
  <c r="T144" i="1"/>
  <c r="X144" i="1"/>
  <c r="N144" i="1"/>
  <c r="P144" i="1" s="1"/>
  <c r="V143" i="1"/>
  <c r="T143" i="1"/>
  <c r="X143" i="1"/>
  <c r="N143" i="1"/>
  <c r="P143" i="1" s="1"/>
  <c r="V142" i="1"/>
  <c r="T142" i="1"/>
  <c r="X142" i="1"/>
  <c r="N142" i="1"/>
  <c r="P142" i="1" s="1"/>
  <c r="V141" i="1"/>
  <c r="T141" i="1"/>
  <c r="X141" i="1"/>
  <c r="N141" i="1"/>
  <c r="P141" i="1" s="1"/>
  <c r="V140" i="1"/>
  <c r="T140" i="1"/>
  <c r="X140" i="1"/>
  <c r="N140" i="1"/>
  <c r="P140" i="1" s="1"/>
  <c r="V139" i="1"/>
  <c r="T139" i="1"/>
  <c r="X139" i="1"/>
  <c r="N139" i="1"/>
  <c r="P139" i="1" s="1"/>
  <c r="V138" i="1"/>
  <c r="T138" i="1"/>
  <c r="X138" i="1"/>
  <c r="N138" i="1"/>
  <c r="P138" i="1" s="1"/>
  <c r="V137" i="1"/>
  <c r="T137" i="1"/>
  <c r="X137" i="1"/>
  <c r="N137" i="1"/>
  <c r="P137" i="1" s="1"/>
  <c r="V136" i="1"/>
  <c r="T136" i="1"/>
  <c r="X136" i="1"/>
  <c r="N136" i="1"/>
  <c r="P136" i="1" s="1"/>
  <c r="V135" i="1"/>
  <c r="T135" i="1"/>
  <c r="X135" i="1"/>
  <c r="N135" i="1"/>
  <c r="P135" i="1" s="1"/>
  <c r="V134" i="1"/>
  <c r="T134" i="1"/>
  <c r="X134" i="1"/>
  <c r="N134" i="1"/>
  <c r="P134" i="1" s="1"/>
  <c r="V133" i="1"/>
  <c r="T133" i="1"/>
  <c r="X133" i="1"/>
  <c r="N133" i="1"/>
  <c r="P133" i="1" s="1"/>
  <c r="V132" i="1"/>
  <c r="T132" i="1"/>
  <c r="X132" i="1"/>
  <c r="N132" i="1"/>
  <c r="P132" i="1" s="1"/>
  <c r="V131" i="1"/>
  <c r="T131" i="1"/>
  <c r="X131" i="1"/>
  <c r="N131" i="1"/>
  <c r="P131" i="1" s="1"/>
  <c r="V130" i="1"/>
  <c r="T130" i="1"/>
  <c r="X130" i="1"/>
  <c r="N130" i="1"/>
  <c r="P130" i="1" s="1"/>
  <c r="V129" i="1"/>
  <c r="T129" i="1"/>
  <c r="X129" i="1"/>
  <c r="N129" i="1"/>
  <c r="P129" i="1" s="1"/>
  <c r="V128" i="1"/>
  <c r="T128" i="1"/>
  <c r="X128" i="1"/>
  <c r="N128" i="1"/>
  <c r="P128" i="1" s="1"/>
  <c r="V127" i="1"/>
  <c r="T127" i="1"/>
  <c r="X127" i="1"/>
  <c r="N127" i="1"/>
  <c r="P127" i="1" s="1"/>
  <c r="V126" i="1"/>
  <c r="T126" i="1"/>
  <c r="X126" i="1"/>
  <c r="N126" i="1"/>
  <c r="P126" i="1" s="1"/>
  <c r="V125" i="1"/>
  <c r="T125" i="1"/>
  <c r="N125" i="1"/>
  <c r="P125" i="1" s="1"/>
  <c r="V124" i="1"/>
  <c r="T124" i="1"/>
  <c r="X124" i="1"/>
  <c r="N124" i="1"/>
  <c r="P124" i="1" s="1"/>
  <c r="V123" i="1"/>
  <c r="T123" i="1"/>
  <c r="X123" i="1"/>
  <c r="N123" i="1"/>
  <c r="P123" i="1" s="1"/>
  <c r="V122" i="1"/>
  <c r="T122" i="1"/>
  <c r="X122" i="1"/>
  <c r="N122" i="1"/>
  <c r="P122" i="1" s="1"/>
  <c r="V121" i="1"/>
  <c r="T121" i="1"/>
  <c r="X121" i="1"/>
  <c r="N121" i="1"/>
  <c r="P121" i="1" s="1"/>
  <c r="V120" i="1"/>
  <c r="T120" i="1"/>
  <c r="X120" i="1"/>
  <c r="N120" i="1"/>
  <c r="P120" i="1" s="1"/>
  <c r="V119" i="1"/>
  <c r="T119" i="1"/>
  <c r="X119" i="1"/>
  <c r="N119" i="1"/>
  <c r="P119" i="1" s="1"/>
  <c r="V118" i="1"/>
  <c r="T118" i="1"/>
  <c r="X118" i="1"/>
  <c r="N118" i="1"/>
  <c r="P118" i="1" s="1"/>
  <c r="V117" i="1"/>
  <c r="T117" i="1"/>
  <c r="X117" i="1"/>
  <c r="N117" i="1"/>
  <c r="P117" i="1" s="1"/>
  <c r="V116" i="1"/>
  <c r="T116" i="1"/>
  <c r="X116" i="1"/>
  <c r="N116" i="1"/>
  <c r="P116" i="1" s="1"/>
  <c r="V115" i="1"/>
  <c r="T115" i="1"/>
  <c r="X115" i="1"/>
  <c r="N115" i="1"/>
  <c r="P115" i="1" s="1"/>
  <c r="V114" i="1"/>
  <c r="T114" i="1"/>
  <c r="X114" i="1"/>
  <c r="V113" i="1"/>
  <c r="T113" i="1"/>
  <c r="X113" i="1"/>
  <c r="V112" i="1"/>
  <c r="T112" i="1"/>
  <c r="X112" i="1"/>
  <c r="V111" i="1"/>
  <c r="T111" i="1"/>
  <c r="X111" i="1"/>
  <c r="V110" i="1"/>
  <c r="T110" i="1"/>
  <c r="X110" i="1"/>
  <c r="V109" i="1"/>
  <c r="T109" i="1"/>
  <c r="X109" i="1"/>
  <c r="V108" i="1"/>
  <c r="T108" i="1"/>
  <c r="V107" i="1"/>
  <c r="T107" i="1"/>
  <c r="X107" i="1"/>
  <c r="V106" i="1"/>
  <c r="T106" i="1"/>
  <c r="X106" i="1"/>
  <c r="V105" i="1"/>
  <c r="T105" i="1"/>
  <c r="X105" i="1"/>
  <c r="V104" i="1"/>
  <c r="T104" i="1"/>
  <c r="X104" i="1"/>
  <c r="V103" i="1"/>
  <c r="T103" i="1"/>
  <c r="X103" i="1"/>
  <c r="V102" i="1"/>
  <c r="T102" i="1"/>
  <c r="X102" i="1"/>
  <c r="N102" i="1"/>
  <c r="P102" i="1" s="1"/>
  <c r="V101" i="1"/>
  <c r="T101" i="1"/>
  <c r="V100" i="1"/>
  <c r="T100" i="1"/>
  <c r="X100" i="1"/>
  <c r="V99" i="1"/>
  <c r="T99" i="1"/>
  <c r="X99" i="1"/>
  <c r="V98" i="1"/>
  <c r="T98" i="1"/>
  <c r="X98" i="1"/>
  <c r="V97" i="1"/>
  <c r="T97" i="1"/>
  <c r="X97" i="1"/>
  <c r="V96" i="1"/>
  <c r="T96" i="1"/>
  <c r="X96" i="1"/>
  <c r="V95" i="1"/>
  <c r="T95" i="1"/>
  <c r="X95" i="1"/>
  <c r="V94" i="1"/>
  <c r="T94" i="1"/>
  <c r="X94" i="1"/>
  <c r="V93" i="1"/>
  <c r="T93" i="1"/>
  <c r="X93" i="1"/>
  <c r="V92" i="1"/>
  <c r="T92" i="1"/>
  <c r="X92" i="1"/>
  <c r="V91" i="1"/>
  <c r="T91" i="1"/>
  <c r="X91" i="1"/>
  <c r="V90" i="1"/>
  <c r="T90" i="1"/>
  <c r="X90" i="1"/>
  <c r="V89" i="1"/>
  <c r="T89" i="1"/>
  <c r="N89" i="1"/>
  <c r="P89" i="1" s="1"/>
  <c r="V88" i="1"/>
  <c r="T88" i="1"/>
  <c r="X88" i="1"/>
  <c r="V87" i="1"/>
  <c r="T87" i="1"/>
  <c r="X87" i="1"/>
  <c r="V86" i="1"/>
  <c r="T86" i="1"/>
  <c r="X86" i="1"/>
  <c r="V85" i="1"/>
  <c r="T85" i="1"/>
  <c r="X85" i="1"/>
  <c r="V84" i="1"/>
  <c r="T84" i="1"/>
  <c r="X84" i="1"/>
  <c r="I209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2" i="1"/>
  <c r="X41" i="1"/>
  <c r="X40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3" i="1"/>
  <c r="X12" i="1"/>
  <c r="X11" i="1"/>
  <c r="X10" i="1"/>
  <c r="X9" i="1"/>
  <c r="X8" i="1"/>
  <c r="X7" i="1"/>
  <c r="V199" i="1"/>
  <c r="V198" i="1"/>
  <c r="V197" i="1"/>
  <c r="V196" i="1"/>
  <c r="V195" i="1"/>
  <c r="V194" i="1"/>
  <c r="V193" i="1"/>
  <c r="V192" i="1"/>
  <c r="V191" i="1"/>
  <c r="V190" i="1"/>
  <c r="V189" i="1"/>
  <c r="T199" i="1"/>
  <c r="T198" i="1"/>
  <c r="T197" i="1"/>
  <c r="T196" i="1"/>
  <c r="T195" i="1"/>
  <c r="T194" i="1"/>
  <c r="T193" i="1"/>
  <c r="T192" i="1"/>
  <c r="T191" i="1"/>
  <c r="T190" i="1"/>
  <c r="T189" i="1"/>
  <c r="N199" i="1"/>
  <c r="P199" i="1" s="1"/>
  <c r="N197" i="1"/>
  <c r="P197" i="1" s="1"/>
  <c r="N196" i="1"/>
  <c r="P196" i="1" s="1"/>
  <c r="N195" i="1"/>
  <c r="P195" i="1" s="1"/>
  <c r="N194" i="1"/>
  <c r="P194" i="1" s="1"/>
  <c r="N193" i="1"/>
  <c r="P193" i="1" s="1"/>
  <c r="N192" i="1"/>
  <c r="P192" i="1" s="1"/>
  <c r="N191" i="1"/>
  <c r="P191" i="1" s="1"/>
  <c r="N190" i="1"/>
  <c r="P190" i="1" s="1"/>
  <c r="N189" i="1"/>
  <c r="P189" i="1" s="1"/>
  <c r="V208" i="1"/>
  <c r="V207" i="1"/>
  <c r="V206" i="1"/>
  <c r="V205" i="1"/>
  <c r="V204" i="1"/>
  <c r="V203" i="1"/>
  <c r="V202" i="1"/>
  <c r="V201" i="1"/>
  <c r="V200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T208" i="1"/>
  <c r="T207" i="1"/>
  <c r="T206" i="1"/>
  <c r="T205" i="1"/>
  <c r="T204" i="1"/>
  <c r="T203" i="1"/>
  <c r="T202" i="1"/>
  <c r="T201" i="1"/>
  <c r="T200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N208" i="1"/>
  <c r="P208" i="1" s="1"/>
  <c r="N207" i="1"/>
  <c r="P207" i="1" s="1"/>
  <c r="N206" i="1"/>
  <c r="P206" i="1" s="1"/>
  <c r="N205" i="1"/>
  <c r="P205" i="1" s="1"/>
  <c r="N204" i="1"/>
  <c r="P204" i="1" s="1"/>
  <c r="N203" i="1"/>
  <c r="P203" i="1" s="1"/>
  <c r="N202" i="1"/>
  <c r="P202" i="1" s="1"/>
  <c r="N201" i="1"/>
  <c r="P201" i="1" s="1"/>
  <c r="N200" i="1"/>
  <c r="P200" i="1" s="1"/>
  <c r="N188" i="1"/>
  <c r="P188" i="1" s="1"/>
  <c r="N187" i="1"/>
  <c r="P187" i="1" s="1"/>
  <c r="N186" i="1"/>
  <c r="P186" i="1" s="1"/>
  <c r="N185" i="1"/>
  <c r="P185" i="1" s="1"/>
  <c r="N184" i="1"/>
  <c r="P184" i="1" s="1"/>
  <c r="N183" i="1"/>
  <c r="P183" i="1" s="1"/>
  <c r="N182" i="1"/>
  <c r="P182" i="1" s="1"/>
  <c r="N181" i="1"/>
  <c r="P181" i="1" s="1"/>
  <c r="N180" i="1"/>
  <c r="P180" i="1" s="1"/>
  <c r="N179" i="1"/>
  <c r="P179" i="1" s="1"/>
  <c r="N178" i="1"/>
  <c r="P178" i="1" s="1"/>
  <c r="N177" i="1"/>
  <c r="P177" i="1" s="1"/>
  <c r="N176" i="1"/>
  <c r="P176" i="1" s="1"/>
  <c r="N175" i="1"/>
  <c r="P175" i="1" s="1"/>
  <c r="N174" i="1"/>
  <c r="P174" i="1" s="1"/>
  <c r="N173" i="1"/>
  <c r="P173" i="1" s="1"/>
  <c r="N172" i="1"/>
  <c r="P172" i="1" s="1"/>
  <c r="N171" i="1"/>
  <c r="P171" i="1" s="1"/>
  <c r="N170" i="1"/>
  <c r="P170" i="1" s="1"/>
  <c r="N169" i="1"/>
  <c r="P169" i="1" s="1"/>
  <c r="N168" i="1"/>
  <c r="P168" i="1" s="1"/>
  <c r="N167" i="1"/>
  <c r="P167" i="1" s="1"/>
  <c r="N166" i="1"/>
  <c r="P166" i="1" s="1"/>
  <c r="N165" i="1"/>
  <c r="P165" i="1" s="1"/>
  <c r="N155" i="1"/>
  <c r="P155" i="1" s="1"/>
  <c r="N148" i="1"/>
  <c r="P148" i="1" s="1"/>
  <c r="N82" i="1"/>
  <c r="P82" i="1" s="1"/>
  <c r="N81" i="1"/>
  <c r="P81" i="1" s="1"/>
  <c r="N80" i="1"/>
  <c r="P80" i="1" s="1"/>
  <c r="N79" i="1"/>
  <c r="P79" i="1" s="1"/>
  <c r="N78" i="1"/>
  <c r="P78" i="1" s="1"/>
  <c r="N77" i="1"/>
  <c r="P77" i="1" s="1"/>
  <c r="N76" i="1"/>
  <c r="P76" i="1" s="1"/>
  <c r="N75" i="1"/>
  <c r="P75" i="1" s="1"/>
  <c r="N74" i="1"/>
  <c r="P74" i="1" s="1"/>
  <c r="N73" i="1"/>
  <c r="P73" i="1" s="1"/>
  <c r="N72" i="1"/>
  <c r="P72" i="1" s="1"/>
  <c r="N71" i="1"/>
  <c r="P71" i="1" s="1"/>
  <c r="N70" i="1"/>
  <c r="P70" i="1" s="1"/>
  <c r="N69" i="1"/>
  <c r="P69" i="1" s="1"/>
  <c r="N68" i="1"/>
  <c r="P68" i="1" s="1"/>
  <c r="N67" i="1"/>
  <c r="P67" i="1" s="1"/>
  <c r="N66" i="1"/>
  <c r="P66" i="1" s="1"/>
  <c r="N65" i="1"/>
  <c r="P65" i="1" s="1"/>
  <c r="N64" i="1"/>
  <c r="P64" i="1" s="1"/>
  <c r="N63" i="1"/>
  <c r="P63" i="1" s="1"/>
  <c r="N62" i="1"/>
  <c r="P62" i="1" s="1"/>
  <c r="N61" i="1"/>
  <c r="P61" i="1" s="1"/>
  <c r="N60" i="1"/>
  <c r="P60" i="1" s="1"/>
  <c r="N59" i="1"/>
  <c r="P59" i="1" s="1"/>
  <c r="N58" i="1"/>
  <c r="P58" i="1" s="1"/>
  <c r="N57" i="1"/>
  <c r="P57" i="1" s="1"/>
  <c r="N56" i="1"/>
  <c r="P56" i="1" s="1"/>
  <c r="N55" i="1"/>
  <c r="P55" i="1" s="1"/>
  <c r="N54" i="1"/>
  <c r="P54" i="1" s="1"/>
  <c r="N53" i="1"/>
  <c r="P53" i="1" s="1"/>
  <c r="N52" i="1"/>
  <c r="P52" i="1" s="1"/>
  <c r="N51" i="1"/>
  <c r="P51" i="1" s="1"/>
  <c r="N50" i="1"/>
  <c r="P50" i="1" s="1"/>
  <c r="N49" i="1"/>
  <c r="P49" i="1" s="1"/>
  <c r="N48" i="1"/>
  <c r="P48" i="1" s="1"/>
  <c r="N47" i="1"/>
  <c r="P47" i="1" s="1"/>
  <c r="N46" i="1"/>
  <c r="P46" i="1" s="1"/>
  <c r="N45" i="1"/>
  <c r="P45" i="1" s="1"/>
  <c r="N32" i="1"/>
  <c r="P32" i="1" s="1"/>
  <c r="N19" i="1"/>
  <c r="P19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W209" i="1" l="1"/>
  <c r="R205" i="1"/>
  <c r="R10" i="1"/>
  <c r="R16" i="1"/>
  <c r="R28" i="1"/>
  <c r="R34" i="1"/>
  <c r="R46" i="1"/>
  <c r="R52" i="1"/>
  <c r="R188" i="1"/>
  <c r="R92" i="1"/>
  <c r="R98" i="1"/>
  <c r="R104" i="1"/>
  <c r="R110" i="1"/>
  <c r="R122" i="1"/>
  <c r="R134" i="1"/>
  <c r="R140" i="1"/>
  <c r="R146" i="1"/>
  <c r="R194" i="1"/>
  <c r="R44" i="1"/>
  <c r="R66" i="1"/>
  <c r="R72" i="1"/>
  <c r="R154" i="1"/>
  <c r="R160" i="1"/>
  <c r="R172" i="1"/>
  <c r="R178" i="1"/>
  <c r="R29" i="1"/>
  <c r="R171" i="1"/>
  <c r="R185" i="1"/>
  <c r="R197" i="1"/>
  <c r="R58" i="1"/>
  <c r="R126" i="1"/>
  <c r="R32" i="1"/>
  <c r="R50" i="1"/>
  <c r="R156" i="1"/>
  <c r="R198" i="1"/>
  <c r="R86" i="1"/>
  <c r="E216" i="1"/>
  <c r="R179" i="1"/>
  <c r="R124" i="1"/>
  <c r="R88" i="1"/>
  <c r="R109" i="1"/>
  <c r="R130" i="1"/>
  <c r="R142" i="1"/>
  <c r="R116" i="1"/>
  <c r="R84" i="1"/>
  <c r="R132" i="1"/>
  <c r="R138" i="1"/>
  <c r="R144" i="1"/>
  <c r="E217" i="1"/>
  <c r="R13" i="1"/>
  <c r="R40" i="1"/>
  <c r="R63" i="1"/>
  <c r="R73" i="1"/>
  <c r="R80" i="1"/>
  <c r="R83" i="1"/>
  <c r="R90" i="1"/>
  <c r="R112" i="1"/>
  <c r="R118" i="1"/>
  <c r="M217" i="1"/>
  <c r="R136" i="1"/>
  <c r="R125" i="1"/>
  <c r="R193" i="1"/>
  <c r="R163" i="1"/>
  <c r="R158" i="1"/>
  <c r="R175" i="1"/>
  <c r="R181" i="1"/>
  <c r="R190" i="1"/>
  <c r="R157" i="1"/>
  <c r="R153" i="1"/>
  <c r="R170" i="1"/>
  <c r="R208" i="1"/>
  <c r="R203" i="1"/>
  <c r="R192" i="1"/>
  <c r="R162" i="1"/>
  <c r="R202" i="1"/>
  <c r="R71" i="1"/>
  <c r="R42" i="1"/>
  <c r="R48" i="1"/>
  <c r="R186" i="1"/>
  <c r="R18" i="1"/>
  <c r="R131" i="1"/>
  <c r="R174" i="1"/>
  <c r="R47" i="1"/>
  <c r="R207" i="1"/>
  <c r="R55" i="1"/>
  <c r="R187" i="1"/>
  <c r="R62" i="1"/>
  <c r="R169" i="1"/>
  <c r="R114" i="1"/>
  <c r="R95" i="1"/>
  <c r="T209" i="1"/>
  <c r="R147" i="1"/>
  <c r="R6" i="1"/>
  <c r="R167" i="1"/>
  <c r="R87" i="1"/>
  <c r="R105" i="1"/>
  <c r="R69" i="1"/>
  <c r="R56" i="1"/>
  <c r="R51" i="1"/>
  <c r="R45" i="1"/>
  <c r="R8" i="1"/>
  <c r="X6" i="1"/>
  <c r="E219" i="1"/>
  <c r="R26" i="1"/>
  <c r="R70" i="1"/>
  <c r="R31" i="1"/>
  <c r="R79" i="1"/>
  <c r="R183" i="1"/>
  <c r="R17" i="1"/>
  <c r="R128" i="1"/>
  <c r="R164" i="1"/>
  <c r="R24" i="1"/>
  <c r="R155" i="1"/>
  <c r="R173" i="1"/>
  <c r="V209" i="1"/>
  <c r="R97" i="1"/>
  <c r="R117" i="1"/>
  <c r="R120" i="1"/>
  <c r="R141" i="1"/>
  <c r="R182" i="1"/>
  <c r="R9" i="1"/>
  <c r="M218" i="1"/>
  <c r="M219" i="1"/>
  <c r="R23" i="1"/>
  <c r="R65" i="1"/>
  <c r="R53" i="1"/>
  <c r="L218" i="1"/>
  <c r="R102" i="1"/>
  <c r="R119" i="1"/>
  <c r="R129" i="1"/>
  <c r="R133" i="1"/>
  <c r="R137" i="1"/>
  <c r="R22" i="1"/>
  <c r="R37" i="1"/>
  <c r="R60" i="1"/>
  <c r="R12" i="1"/>
  <c r="L216" i="1"/>
  <c r="R189" i="1"/>
  <c r="L219" i="1"/>
  <c r="R168" i="1"/>
  <c r="R145" i="1"/>
  <c r="R149" i="1"/>
  <c r="R165" i="1"/>
  <c r="R19" i="1"/>
  <c r="R74" i="1"/>
  <c r="R199" i="1"/>
  <c r="R35" i="1"/>
  <c r="R81" i="1"/>
  <c r="X39" i="1"/>
  <c r="R39" i="1"/>
  <c r="R89" i="1"/>
  <c r="X89" i="1"/>
  <c r="R101" i="1"/>
  <c r="X101" i="1"/>
  <c r="R78" i="1"/>
  <c r="R151" i="1"/>
  <c r="R36" i="1"/>
  <c r="R11" i="1"/>
  <c r="R159" i="1"/>
  <c r="R96" i="1"/>
  <c r="R150" i="1"/>
  <c r="R49" i="1"/>
  <c r="R54" i="1"/>
  <c r="R152" i="1"/>
  <c r="R195" i="1"/>
  <c r="R67" i="1"/>
  <c r="R68" i="1"/>
  <c r="R33" i="1"/>
  <c r="R27" i="1"/>
  <c r="R41" i="1"/>
  <c r="R25" i="1"/>
  <c r="R204" i="1"/>
  <c r="R177" i="1"/>
  <c r="R106" i="1"/>
  <c r="R94" i="1"/>
  <c r="R15" i="1"/>
  <c r="R59" i="1"/>
  <c r="R64" i="1"/>
  <c r="R180" i="1"/>
  <c r="R184" i="1"/>
  <c r="R200" i="1"/>
  <c r="R196" i="1"/>
  <c r="X208" i="1"/>
  <c r="H219" i="1" s="1"/>
  <c r="R107" i="1"/>
  <c r="R38" i="1"/>
  <c r="R176" i="1"/>
  <c r="R206" i="1"/>
  <c r="R191" i="1"/>
  <c r="R166" i="1"/>
  <c r="X5" i="1"/>
  <c r="R5" i="1"/>
  <c r="L217" i="1"/>
  <c r="R20" i="1"/>
  <c r="R57" i="1"/>
  <c r="R75" i="1"/>
  <c r="X43" i="1"/>
  <c r="R43" i="1"/>
  <c r="R93" i="1"/>
  <c r="E218" i="1"/>
  <c r="R82" i="1"/>
  <c r="R161" i="1"/>
  <c r="R7" i="1"/>
  <c r="R21" i="1"/>
  <c r="R76" i="1"/>
  <c r="X14" i="1"/>
  <c r="R14" i="1"/>
  <c r="R100" i="1"/>
  <c r="R201" i="1"/>
  <c r="R61" i="1"/>
  <c r="R77" i="1"/>
  <c r="R108" i="1"/>
  <c r="X108" i="1"/>
  <c r="R148" i="1"/>
  <c r="M216" i="1"/>
  <c r="R85" i="1"/>
  <c r="R99" i="1"/>
  <c r="R113" i="1"/>
  <c r="R121" i="1"/>
  <c r="R135" i="1"/>
  <c r="R143" i="1"/>
  <c r="R111" i="1"/>
  <c r="R123" i="1"/>
  <c r="X125" i="1"/>
  <c r="R30" i="1"/>
  <c r="H218" i="1"/>
  <c r="R91" i="1"/>
  <c r="R103" i="1"/>
  <c r="R115" i="1"/>
  <c r="R127" i="1"/>
  <c r="R139" i="1"/>
  <c r="R211" i="1" l="1"/>
  <c r="X209" i="1"/>
  <c r="X210" i="1" s="1"/>
  <c r="Y210" i="1" s="1"/>
  <c r="F219" i="1"/>
  <c r="G219" i="1" s="1"/>
  <c r="P209" i="1"/>
  <c r="F216" i="1"/>
  <c r="G216" i="1" s="1"/>
  <c r="K216" i="1"/>
  <c r="E220" i="1"/>
  <c r="M220" i="1"/>
  <c r="L220" i="1"/>
  <c r="K218" i="1"/>
  <c r="I218" i="1" s="1"/>
  <c r="J218" i="1" s="1"/>
  <c r="H216" i="1"/>
  <c r="H217" i="1"/>
  <c r="F218" i="1"/>
  <c r="G218" i="1" s="1"/>
  <c r="K219" i="1"/>
  <c r="I219" i="1" s="1"/>
  <c r="J219" i="1" s="1"/>
  <c r="F217" i="1"/>
  <c r="G217" i="1" s="1"/>
  <c r="K217" i="1"/>
  <c r="I217" i="1" s="1"/>
  <c r="R209" i="1"/>
  <c r="N219" i="1" l="1"/>
  <c r="N218" i="1"/>
  <c r="R210" i="1"/>
  <c r="K220" i="1"/>
  <c r="H220" i="1"/>
  <c r="I216" i="1"/>
  <c r="I220" i="1" s="1"/>
  <c r="J217" i="1"/>
  <c r="N217" i="1" s="1"/>
  <c r="G220" i="1"/>
  <c r="F220" i="1"/>
  <c r="J216" i="1" l="1"/>
  <c r="J220" i="1" l="1"/>
  <c r="N220" i="1" s="1"/>
  <c r="N216" i="1"/>
</calcChain>
</file>

<file path=xl/comments1.xml><?xml version="1.0" encoding="utf-8"?>
<comments xmlns="http://schemas.openxmlformats.org/spreadsheetml/2006/main">
  <authors>
    <author>USER</author>
  </authors>
  <commentList>
    <comment ref="E2" authorId="0">
      <text>
        <r>
          <rPr>
            <b/>
            <sz val="20"/>
            <color indexed="81"/>
            <rFont val="細明體"/>
            <family val="3"/>
            <charset val="136"/>
          </rPr>
          <t>粉紅色欄位為必填項目</t>
        </r>
      </text>
    </comment>
    <comment ref="C10" authorId="0">
      <text>
        <r>
          <rPr>
            <b/>
            <sz val="14"/>
            <color indexed="81"/>
            <rFont val="微軟正黑體"/>
            <family val="2"/>
            <charset val="136"/>
          </rPr>
          <t>請自行輸入使用版本，或從儲存格右下「▼」選取版本</t>
        </r>
      </text>
    </comment>
    <comment ref="D25" authorId="0">
      <text>
        <r>
          <rPr>
            <b/>
            <sz val="14"/>
            <color indexed="81"/>
            <rFont val="微軟正黑體"/>
            <family val="2"/>
            <charset val="136"/>
          </rPr>
          <t>請輸入學生用書採購數量</t>
        </r>
      </text>
    </comment>
    <comment ref="P25" authorId="0">
      <text>
        <r>
          <rPr>
            <b/>
            <sz val="18"/>
            <color indexed="81"/>
            <rFont val="細明體"/>
            <family val="3"/>
            <charset val="136"/>
          </rPr>
          <t>無此需求者免填</t>
        </r>
      </text>
    </comment>
    <comment ref="D62" authorId="0">
      <text>
        <r>
          <rPr>
            <b/>
            <sz val="14"/>
            <color indexed="81"/>
            <rFont val="微軟正黑體"/>
            <family val="2"/>
            <charset val="136"/>
          </rPr>
          <t>請輸入學生用書採購數量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34" authorId="0">
      <text>
        <r>
          <rPr>
            <b/>
            <sz val="20"/>
            <color indexed="81"/>
            <rFont val="細明體"/>
            <family val="3"/>
            <charset val="136"/>
          </rPr>
          <t>請不要從「第</t>
        </r>
        <r>
          <rPr>
            <b/>
            <sz val="20"/>
            <color indexed="81"/>
            <rFont val="Tahoma"/>
            <family val="2"/>
          </rPr>
          <t>1</t>
        </r>
        <r>
          <rPr>
            <b/>
            <sz val="20"/>
            <color indexed="81"/>
            <rFont val="細明體"/>
            <family val="3"/>
            <charset val="136"/>
          </rPr>
          <t>列和最後</t>
        </r>
        <r>
          <rPr>
            <b/>
            <sz val="20"/>
            <color indexed="81"/>
            <rFont val="Tahoma"/>
            <family val="2"/>
          </rPr>
          <t>1</t>
        </r>
        <r>
          <rPr>
            <b/>
            <sz val="20"/>
            <color indexed="81"/>
            <rFont val="細明體"/>
            <family val="3"/>
            <charset val="136"/>
          </rPr>
          <t>列」
新增列數，避免影響公式計算</t>
        </r>
      </text>
    </comment>
  </commentList>
</comments>
</file>

<file path=xl/sharedStrings.xml><?xml version="1.0" encoding="utf-8"?>
<sst xmlns="http://schemas.openxmlformats.org/spreadsheetml/2006/main" count="1994" uniqueCount="320">
  <si>
    <t>出版商</t>
  </si>
  <si>
    <t>書名</t>
  </si>
  <si>
    <t>冊別</t>
  </si>
  <si>
    <t>學校用書
需求(本)</t>
  </si>
  <si>
    <t>樣書
(本)</t>
  </si>
  <si>
    <t>康軒</t>
  </si>
  <si>
    <t>翰林</t>
  </si>
  <si>
    <t>南一</t>
  </si>
  <si>
    <t>學校補助
金額合計</t>
  </si>
  <si>
    <t>學生補助
金額合計</t>
  </si>
  <si>
    <t>抬頭1</t>
  </si>
  <si>
    <t>抬頭2</t>
  </si>
  <si>
    <t>花蓮縣縣立玉里國中學校與學生用書補助統計</t>
  </si>
  <si>
    <t>縣補助及花東書籍費補助價格</t>
    <phoneticPr fontId="2" type="noConversion"/>
  </si>
  <si>
    <t>花東書籍費補助(本)</t>
    <phoneticPr fontId="2" type="noConversion"/>
  </si>
  <si>
    <t>花東書籍費補助金額小計</t>
    <phoneticPr fontId="2" type="noConversion"/>
  </si>
  <si>
    <t>特教生使用一般版本教科書補助金額小計</t>
    <phoneticPr fontId="2" type="noConversion"/>
  </si>
  <si>
    <t>花東書籍費補助金額合計</t>
    <phoneticPr fontId="2" type="noConversion"/>
  </si>
  <si>
    <t>審定本</t>
    <phoneticPr fontId="2" type="noConversion"/>
  </si>
  <si>
    <t>藝能科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</si>
  <si>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</si>
  <si>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</si>
  <si>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</si>
  <si>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E</t>
    <phoneticPr fontId="2" type="noConversion"/>
  </si>
  <si>
    <t>D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</si>
  <si>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</si>
  <si>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</si>
  <si>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</si>
  <si>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</si>
  <si>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</si>
  <si>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</si>
  <si>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</si>
  <si>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</si>
  <si>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</si>
  <si>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</si>
  <si>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=A-B</t>
    <phoneticPr fontId="2" type="noConversion"/>
  </si>
  <si>
    <t>=C*D</t>
    <phoneticPr fontId="2" type="noConversion"/>
  </si>
  <si>
    <t>=F*G</t>
    <phoneticPr fontId="2" type="noConversion"/>
  </si>
  <si>
    <t>=D-G</t>
    <phoneticPr fontId="2" type="noConversion"/>
  </si>
  <si>
    <t>自填</t>
    <phoneticPr fontId="2" type="noConversion"/>
  </si>
  <si>
    <t>=I*J</t>
    <phoneticPr fontId="2" type="noConversion"/>
  </si>
  <si>
    <t>=F-J</t>
    <phoneticPr fontId="2" type="noConversion"/>
  </si>
  <si>
    <t>=D*N</t>
    <phoneticPr fontId="2" type="noConversion"/>
  </si>
  <si>
    <t>教師用及行政留存</t>
    <phoneticPr fontId="2" type="noConversion"/>
  </si>
  <si>
    <t>原價</t>
    <phoneticPr fontId="2" type="noConversion"/>
  </si>
  <si>
    <t>低收入戶及中低收入戶學生</t>
    <phoneticPr fontId="2" type="noConversion"/>
  </si>
  <si>
    <t>一般生</t>
    <phoneticPr fontId="2" type="noConversion"/>
  </si>
  <si>
    <t>請學校自填，單本補助以原價計</t>
    <phoneticPr fontId="2" type="noConversion"/>
  </si>
  <si>
    <t>P</t>
    <phoneticPr fontId="2" type="noConversion"/>
  </si>
  <si>
    <t>Q</t>
    <phoneticPr fontId="2" type="noConversion"/>
  </si>
  <si>
    <t>自填</t>
    <phoneticPr fontId="2" type="noConversion"/>
  </si>
  <si>
    <t>=D*P</t>
    <phoneticPr fontId="2" type="noConversion"/>
  </si>
  <si>
    <t>補校生補助(本)</t>
    <phoneticPr fontId="2" type="noConversion"/>
  </si>
  <si>
    <t>補校生補助金額小計</t>
    <phoneticPr fontId="2" type="noConversion"/>
  </si>
  <si>
    <t xml:space="preserve">康軒 </t>
    <phoneticPr fontId="5" type="noConversion"/>
  </si>
  <si>
    <t xml:space="preserve">翰林 </t>
    <phoneticPr fontId="5" type="noConversion"/>
  </si>
  <si>
    <t xml:space="preserve">南一 </t>
    <phoneticPr fontId="5" type="noConversion"/>
  </si>
  <si>
    <t>=I*L</t>
    <phoneticPr fontId="2" type="noConversion"/>
  </si>
  <si>
    <t>一般生金額合計</t>
    <phoneticPr fontId="2" type="noConversion"/>
  </si>
  <si>
    <t>特教生使用一般版本教科書(本)外加</t>
    <phoneticPr fontId="2" type="noConversion"/>
  </si>
  <si>
    <t>特教生使用一般版本教科書合計</t>
    <phoneticPr fontId="2" type="noConversion"/>
  </si>
  <si>
    <t>補校生補助合計</t>
    <phoneticPr fontId="2" type="noConversion"/>
  </si>
  <si>
    <t>版本</t>
    <phoneticPr fontId="2" type="noConversion"/>
  </si>
  <si>
    <t>第_列</t>
    <phoneticPr fontId="2" type="noConversion"/>
  </si>
  <si>
    <t>合計</t>
    <phoneticPr fontId="2" type="noConversion"/>
  </si>
  <si>
    <t>花東書籍費與學生用書分攤金額</t>
    <phoneticPr fontId="2" type="noConversion"/>
  </si>
  <si>
    <t>縣補助與學生用書分攤金額</t>
    <phoneticPr fontId="2" type="noConversion"/>
  </si>
  <si>
    <t>=G*J</t>
    <phoneticPr fontId="2" type="noConversion"/>
  </si>
  <si>
    <t>=G*L</t>
    <phoneticPr fontId="2" type="noConversion"/>
  </si>
  <si>
    <t>花東書籍費</t>
    <phoneticPr fontId="2" type="noConversion"/>
  </si>
  <si>
    <t>審定本與藝能科給付書商金額</t>
    <phoneticPr fontId="2" type="noConversion"/>
  </si>
  <si>
    <t>說明</t>
    <phoneticPr fontId="2" type="noConversion"/>
  </si>
  <si>
    <t>公式</t>
    <phoneticPr fontId="2" type="noConversion"/>
  </si>
  <si>
    <t>定位用</t>
    <phoneticPr fontId="2" type="noConversion"/>
  </si>
  <si>
    <t>學生用書</t>
    <phoneticPr fontId="2" type="noConversion"/>
  </si>
  <si>
    <t>↑花東書籍費和審定本與藝能科的一部分</t>
    <phoneticPr fontId="2" type="noConversion"/>
  </si>
  <si>
    <t>審定本與藝能科補助(本)</t>
    <phoneticPr fontId="2" type="noConversion"/>
  </si>
  <si>
    <t>審定本與藝能科補助金額小計</t>
    <phoneticPr fontId="2" type="noConversion"/>
  </si>
  <si>
    <t>學生用書補助
(本)</t>
    <phoneticPr fontId="2" type="noConversion"/>
  </si>
  <si>
    <t>學生用書補助金額小計</t>
    <phoneticPr fontId="2" type="noConversion"/>
  </si>
  <si>
    <t>學生用書單本補助價格</t>
    <phoneticPr fontId="2" type="noConversion"/>
  </si>
  <si>
    <t>花東書籍費支出分攤</t>
    <phoneticPr fontId="2" type="noConversion"/>
  </si>
  <si>
    <t>一般生</t>
    <phoneticPr fontId="2" type="noConversion"/>
  </si>
  <si>
    <t>審定本與藝能科</t>
  </si>
  <si>
    <t>審定本與藝能科個別</t>
    <phoneticPr fontId="2" type="noConversion"/>
  </si>
  <si>
    <t>特教生</t>
    <phoneticPr fontId="2" type="noConversion"/>
  </si>
  <si>
    <t>補校生</t>
    <phoneticPr fontId="2" type="noConversion"/>
  </si>
  <si>
    <t>花東書籍費給付書商金額</t>
    <phoneticPr fontId="2" type="noConversion"/>
  </si>
  <si>
    <t>翰林</t>
    <phoneticPr fontId="2" type="noConversion"/>
  </si>
  <si>
    <t>南一</t>
    <phoneticPr fontId="2" type="noConversion"/>
  </si>
  <si>
    <t>無</t>
    <phoneticPr fontId="5" type="noConversion"/>
  </si>
  <si>
    <t>康軒 Wonder World</t>
    <phoneticPr fontId="2" type="noConversion"/>
  </si>
  <si>
    <t>翰林 Here We Go</t>
    <phoneticPr fontId="2" type="noConversion"/>
  </si>
  <si>
    <t>何嘉仁 Super Fun</t>
    <phoneticPr fontId="2" type="noConversion"/>
  </si>
  <si>
    <t>何嘉仁 Story.com</t>
    <phoneticPr fontId="2" type="noConversion"/>
  </si>
  <si>
    <t>康軒 Hello,Kids!</t>
    <phoneticPr fontId="2" type="noConversion"/>
  </si>
  <si>
    <t>康軒 Follow Me.</t>
    <phoneticPr fontId="2" type="noConversion"/>
  </si>
  <si>
    <t>翰林 Dino on the go</t>
    <phoneticPr fontId="2" type="noConversion"/>
  </si>
  <si>
    <t>何嘉仁 eSTAR</t>
    <phoneticPr fontId="2" type="noConversion"/>
  </si>
  <si>
    <t>國小</t>
    <phoneticPr fontId="2" type="noConversion"/>
  </si>
  <si>
    <t>何嘉仁</t>
  </si>
  <si>
    <t>何嘉仁</t>
    <phoneticPr fontId="5" type="noConversion"/>
  </si>
  <si>
    <t>課本</t>
  </si>
  <si>
    <t>習作</t>
  </si>
  <si>
    <t>→以上欄位請從「教育部教科圖書共同通應採購作業」下載「補助統計檔」複製貼上←</t>
    <phoneticPr fontId="2" type="noConversion"/>
  </si>
  <si>
    <t>審定本與藝能科
支出分攤</t>
    <phoneticPr fontId="2" type="noConversion"/>
  </si>
  <si>
    <t>編號</t>
  </si>
  <si>
    <t>類別</t>
  </si>
  <si>
    <t>單本價格</t>
  </si>
  <si>
    <t>國語</t>
  </si>
  <si>
    <t>數學</t>
  </si>
  <si>
    <t>生活</t>
  </si>
  <si>
    <t>健康與體育</t>
  </si>
  <si>
    <t>自然科學</t>
  </si>
  <si>
    <t>綜合活動</t>
  </si>
  <si>
    <t>社會</t>
  </si>
  <si>
    <t>藝術</t>
  </si>
  <si>
    <t>英語</t>
  </si>
  <si>
    <t>數學(乙版)</t>
  </si>
  <si>
    <t>自然與生活科技</t>
  </si>
  <si>
    <t>藝術與人文</t>
  </si>
  <si>
    <t>社會(乙版)</t>
  </si>
  <si>
    <t>教育部補助(學生用書)</t>
  </si>
  <si>
    <t>花東書籍費及縣補助</t>
  </si>
  <si>
    <t>學習領域(科)</t>
  </si>
  <si>
    <r>
      <rPr>
        <sz val="12"/>
        <rFont val="標楷體"/>
        <family val="4"/>
        <charset val="136"/>
      </rPr>
      <t>適用
年級</t>
    </r>
  </si>
  <si>
    <t>康軒</t>
    <phoneticPr fontId="2" type="noConversion"/>
  </si>
  <si>
    <t>教科書單本價格</t>
    <phoneticPr fontId="2" type="noConversion"/>
  </si>
  <si>
    <t>年級</t>
    <phoneticPr fontId="2" type="noConversion"/>
  </si>
  <si>
    <t>學校用書補助(本)</t>
    <phoneticPr fontId="2" type="noConversion"/>
  </si>
  <si>
    <t>學校用書補助金額小計</t>
    <phoneticPr fontId="2" type="noConversion"/>
  </si>
  <si>
    <t>首冊第一冊</t>
  </si>
  <si>
    <t>第一冊</t>
  </si>
  <si>
    <t>第三冊</t>
  </si>
  <si>
    <t>第五冊</t>
  </si>
  <si>
    <t>第七冊</t>
  </si>
  <si>
    <t>第九冊</t>
  </si>
  <si>
    <t>第十一冊</t>
  </si>
  <si>
    <t>5-74列</t>
    <phoneticPr fontId="2" type="noConversion"/>
  </si>
  <si>
    <t>75-140列</t>
    <phoneticPr fontId="2" type="noConversion"/>
  </si>
  <si>
    <t>141-196列</t>
    <phoneticPr fontId="2" type="noConversion"/>
  </si>
  <si>
    <t>197-208列</t>
    <phoneticPr fontId="2" type="noConversion"/>
  </si>
  <si>
    <t>國語課本</t>
  </si>
  <si>
    <t>國語習作</t>
  </si>
  <si>
    <t>數學課本</t>
  </si>
  <si>
    <t>數學習作</t>
  </si>
  <si>
    <t>生活課本</t>
  </si>
  <si>
    <t>生活習作</t>
  </si>
  <si>
    <t>健康與體育課本</t>
  </si>
  <si>
    <t>綜合活動課本</t>
  </si>
  <si>
    <t>社會課本</t>
  </si>
  <si>
    <t>社會習作</t>
  </si>
  <si>
    <t>自然科學課本</t>
  </si>
  <si>
    <t>自然科學習作</t>
  </si>
  <si>
    <t>藝術課本</t>
  </si>
  <si>
    <t>英語課本(D版)(Wonder World)</t>
  </si>
  <si>
    <t>英語習作(D版)(Wonder World)</t>
  </si>
  <si>
    <t>自然與生活科技課本</t>
  </si>
  <si>
    <t>自然與生活科技習作</t>
  </si>
  <si>
    <t>藝術與人文課本</t>
  </si>
  <si>
    <t>英語課本 (Hello,Kids!)</t>
  </si>
  <si>
    <t>英語習作 (Hello,Kids!)</t>
  </si>
  <si>
    <t>英語(C版)課本 (Follow Me)</t>
  </si>
  <si>
    <t>英語(C版)習作 (Follow Me)</t>
  </si>
  <si>
    <t>數學(乙版)課本</t>
  </si>
  <si>
    <t>數學(乙版)習作</t>
  </si>
  <si>
    <t>英語課本 (Dino on the go)</t>
  </si>
  <si>
    <t>英語習作 (Dino on the go)</t>
  </si>
  <si>
    <t>英語課本(3)Here We Go</t>
    <phoneticPr fontId="2" type="noConversion"/>
  </si>
  <si>
    <t>英語習作(3)Here We Go</t>
    <phoneticPr fontId="2" type="noConversion"/>
  </si>
  <si>
    <t>社會(乙版)課本</t>
  </si>
  <si>
    <t>社會(乙版)習作</t>
  </si>
  <si>
    <t>英語課本 (Super Fun)</t>
  </si>
  <si>
    <t>英語習作 (Super Fun)</t>
  </si>
  <si>
    <t>英語課本 (Story.com)</t>
  </si>
  <si>
    <t>英語習作 (Story.com)</t>
  </si>
  <si>
    <t>英語(C版)課本 (eSTAR)</t>
  </si>
  <si>
    <t>英語(C版)習作 (eSTAR)</t>
  </si>
  <si>
    <t>英語課本(Dino on the go)</t>
    <phoneticPr fontId="2" type="noConversion"/>
  </si>
  <si>
    <t>英語習作(Dino on the go)</t>
    <phoneticPr fontId="2" type="noConversion"/>
  </si>
  <si>
    <t>英語課本(1)Here We Go</t>
    <phoneticPr fontId="2" type="noConversion"/>
  </si>
  <si>
    <t>英語習作(1)Here We Go</t>
    <phoneticPr fontId="2" type="noConversion"/>
  </si>
  <si>
    <t>合計</t>
    <phoneticPr fontId="2" type="noConversion"/>
  </si>
  <si>
    <t>↓驗算欄位，與學生用書補助金額合計相減應為0</t>
  </si>
  <si>
    <t>總計</t>
    <phoneticPr fontId="2" type="noConversion"/>
  </si>
  <si>
    <t>教科書部分補助</t>
    <phoneticPr fontId="2" type="noConversion"/>
  </si>
  <si>
    <t>為避免重複補助已扣除教科書部分補助</t>
    <phoneticPr fontId="2" type="noConversion"/>
  </si>
  <si>
    <t>本表供參考，可自行修改</t>
    <phoneticPr fontId="2" type="noConversion"/>
  </si>
  <si>
    <t>基本資料</t>
    <phoneticPr fontId="48" type="noConversion"/>
  </si>
  <si>
    <t>學校名稱</t>
    <phoneticPr fontId="48" type="noConversion"/>
  </si>
  <si>
    <t>花東書籍費補助基本資料</t>
    <phoneticPr fontId="48" type="noConversion"/>
  </si>
  <si>
    <t>花東補助學生身分別資料</t>
    <phoneticPr fontId="48" type="noConversion"/>
  </si>
  <si>
    <t>年級</t>
    <phoneticPr fontId="48" type="noConversion"/>
  </si>
  <si>
    <t>一年級</t>
    <phoneticPr fontId="48" type="noConversion"/>
  </si>
  <si>
    <t>二年級</t>
    <phoneticPr fontId="48" type="noConversion"/>
  </si>
  <si>
    <t>三年級</t>
    <phoneticPr fontId="48" type="noConversion"/>
  </si>
  <si>
    <t>四年級</t>
    <phoneticPr fontId="48" type="noConversion"/>
  </si>
  <si>
    <t>五年級</t>
    <phoneticPr fontId="48" type="noConversion"/>
  </si>
  <si>
    <t>六年級</t>
    <phoneticPr fontId="48" type="noConversion"/>
  </si>
  <si>
    <t>合計</t>
    <phoneticPr fontId="48" type="noConversion"/>
  </si>
  <si>
    <t>低收入戶</t>
    <phoneticPr fontId="48" type="noConversion"/>
  </si>
  <si>
    <t>中低收入戶</t>
    <phoneticPr fontId="48" type="noConversion"/>
  </si>
  <si>
    <t>年級人數</t>
    <phoneticPr fontId="48" type="noConversion"/>
  </si>
  <si>
    <t>低收入戶及中低收入戶人數</t>
    <phoneticPr fontId="48" type="noConversion"/>
  </si>
  <si>
    <t>男</t>
    <phoneticPr fontId="48" type="noConversion"/>
  </si>
  <si>
    <t>女</t>
    <phoneticPr fontId="48" type="noConversion"/>
  </si>
  <si>
    <t>審定本補助人數</t>
    <phoneticPr fontId="48" type="noConversion"/>
  </si>
  <si>
    <t>審定本</t>
    <phoneticPr fontId="48" type="noConversion"/>
  </si>
  <si>
    <t>　　科目
年級</t>
    <phoneticPr fontId="2" type="noConversion"/>
  </si>
  <si>
    <t>生活</t>
    <phoneticPr fontId="2" type="noConversion"/>
  </si>
  <si>
    <t>國語</t>
    <phoneticPr fontId="2" type="noConversion"/>
  </si>
  <si>
    <t>數學</t>
    <phoneticPr fontId="2" type="noConversion"/>
  </si>
  <si>
    <t>社會</t>
    <phoneticPr fontId="2" type="noConversion"/>
  </si>
  <si>
    <t>自然與生活科技</t>
    <phoneticPr fontId="2" type="noConversion"/>
  </si>
  <si>
    <t>英語</t>
    <phoneticPr fontId="2" type="noConversion"/>
  </si>
  <si>
    <t>每人補助金額</t>
    <phoneticPr fontId="2" type="noConversion"/>
  </si>
  <si>
    <t>課本</t>
    <phoneticPr fontId="2" type="noConversion"/>
  </si>
  <si>
    <t>習作</t>
    <phoneticPr fontId="2" type="noConversion"/>
  </si>
  <si>
    <t>一年級</t>
    <phoneticPr fontId="2" type="noConversion"/>
  </si>
  <si>
    <t>二年級</t>
    <phoneticPr fontId="2" type="noConversion"/>
  </si>
  <si>
    <t>三年級</t>
    <phoneticPr fontId="2" type="noConversion"/>
  </si>
  <si>
    <t>四年級</t>
    <phoneticPr fontId="2" type="noConversion"/>
  </si>
  <si>
    <t>五年級</t>
    <phoneticPr fontId="2" type="noConversion"/>
  </si>
  <si>
    <t>六年級</t>
    <phoneticPr fontId="2" type="noConversion"/>
  </si>
  <si>
    <t>藝能科</t>
    <phoneticPr fontId="48" type="noConversion"/>
  </si>
  <si>
    <t>　　科目
年級</t>
    <phoneticPr fontId="2" type="noConversion"/>
  </si>
  <si>
    <t>數量</t>
    <phoneticPr fontId="2" type="noConversion"/>
  </si>
  <si>
    <t>小計</t>
    <phoneticPr fontId="2" type="noConversion"/>
  </si>
  <si>
    <t>一年級</t>
    <phoneticPr fontId="2" type="noConversion"/>
  </si>
  <si>
    <t>補助對象：本縣公立國民中小學之學生。</t>
    <phoneticPr fontId="2" type="noConversion"/>
  </si>
  <si>
    <t>1.請將本表列印核章後，於111年9月16日(星期五)中午前，掃描上傳至校務系統(電子檔也需要)。</t>
    <phoneticPr fontId="2" type="noConversion"/>
  </si>
  <si>
    <t>補助版本：經教育部採購議價通過之審定本及藝能科教科書。</t>
    <phoneticPr fontId="2" type="noConversion"/>
  </si>
  <si>
    <t>2.統計表正本及原始憑證留校備查。</t>
    <phoneticPr fontId="2" type="noConversion"/>
  </si>
  <si>
    <t>3.本統計表各版本單價已預先扣除教育部補助公立學校學生用書金額。</t>
    <phoneticPr fontId="2" type="noConversion"/>
  </si>
  <si>
    <t>承辦人：</t>
    <phoneticPr fontId="2" type="noConversion"/>
  </si>
  <si>
    <t>教務(導)主任：</t>
    <phoneticPr fontId="2" type="noConversion"/>
  </si>
  <si>
    <t>會計人員：</t>
    <phoneticPr fontId="2" type="noConversion"/>
  </si>
  <si>
    <t>校長：</t>
    <phoneticPr fontId="2" type="noConversion"/>
  </si>
  <si>
    <t>全校學生數</t>
    <phoneticPr fontId="48" type="noConversion"/>
  </si>
  <si>
    <t>版本</t>
    <phoneticPr fontId="2" type="noConversion"/>
  </si>
  <si>
    <t>金額</t>
  </si>
  <si>
    <t>金額</t>
    <phoneticPr fontId="2" type="noConversion"/>
  </si>
  <si>
    <t>花蓮縣111學年度第1學期公立國民小學教科書(縣補助及花東書籍費)補助金額統計表</t>
    <phoneticPr fontId="48" type="noConversion"/>
  </si>
  <si>
    <t>藝能科補助小計</t>
    <phoneticPr fontId="2" type="noConversion"/>
  </si>
  <si>
    <t>全校班級數</t>
    <phoneticPr fontId="2" type="noConversion"/>
  </si>
  <si>
    <r>
      <t>審定本
補助小計</t>
    </r>
    <r>
      <rPr>
        <b/>
        <sz val="12"/>
        <color rgb="FF0000FF"/>
        <rFont val="新細明體"/>
        <family val="1"/>
        <charset val="136"/>
      </rPr>
      <t>(A)</t>
    </r>
    <phoneticPr fontId="2" type="noConversion"/>
  </si>
  <si>
    <r>
      <rPr>
        <b/>
        <sz val="12"/>
        <rFont val="新細明體"/>
        <family val="1"/>
        <charset val="136"/>
      </rPr>
      <t>花東書籍費</t>
    </r>
    <r>
      <rPr>
        <sz val="12"/>
        <rFont val="新細明體"/>
        <family val="1"/>
        <charset val="136"/>
      </rPr>
      <t xml:space="preserve">
補助小計</t>
    </r>
    <phoneticPr fontId="2" type="noConversion"/>
  </si>
  <si>
    <r>
      <t>健體</t>
    </r>
    <r>
      <rPr>
        <sz val="12"/>
        <color theme="1"/>
        <rFont val="新細明體"/>
        <family val="1"/>
        <charset val="136"/>
      </rPr>
      <t>課本</t>
    </r>
    <phoneticPr fontId="2" type="noConversion"/>
  </si>
  <si>
    <r>
      <t>綜合</t>
    </r>
    <r>
      <rPr>
        <sz val="12"/>
        <color theme="1"/>
        <rFont val="新細明體"/>
        <family val="1"/>
        <charset val="136"/>
      </rPr>
      <t>課本</t>
    </r>
    <phoneticPr fontId="2" type="noConversion"/>
  </si>
  <si>
    <r>
      <t>藝術</t>
    </r>
    <r>
      <rPr>
        <b/>
        <sz val="9"/>
        <color theme="1"/>
        <rFont val="新細明體"/>
        <family val="1"/>
        <charset val="136"/>
      </rPr>
      <t>(與人文)</t>
    </r>
    <r>
      <rPr>
        <sz val="11"/>
        <color theme="1"/>
        <rFont val="新細明體"/>
        <family val="1"/>
        <charset val="136"/>
      </rPr>
      <t>課本</t>
    </r>
    <phoneticPr fontId="2" type="noConversion"/>
  </si>
  <si>
    <r>
      <rPr>
        <b/>
        <sz val="12"/>
        <color rgb="FF0000FF"/>
        <rFont val="新細明體"/>
        <family val="1"/>
        <charset val="136"/>
      </rPr>
      <t>特教生/補校生</t>
    </r>
    <r>
      <rPr>
        <b/>
        <sz val="12"/>
        <rFont val="新細明體"/>
        <family val="1"/>
        <charset val="136"/>
      </rPr>
      <t>使用</t>
    </r>
    <r>
      <rPr>
        <sz val="12"/>
        <rFont val="新細明體"/>
        <family val="1"/>
        <charset val="136"/>
      </rPr>
      <t xml:space="preserve">
審定本教科書補助金額</t>
    </r>
    <r>
      <rPr>
        <b/>
        <sz val="12"/>
        <color rgb="FF0000FF"/>
        <rFont val="新細明體"/>
        <family val="1"/>
        <charset val="136"/>
      </rPr>
      <t>(B)</t>
    </r>
    <phoneticPr fontId="48" type="noConversion"/>
  </si>
  <si>
    <r>
      <t>縣補助總計</t>
    </r>
    <r>
      <rPr>
        <b/>
        <sz val="12"/>
        <color rgb="FF0000FF"/>
        <rFont val="新細明體"/>
        <family val="1"/>
        <charset val="136"/>
      </rPr>
      <t>(A)+(B)+(C)</t>
    </r>
    <phoneticPr fontId="48" type="noConversion"/>
  </si>
  <si>
    <r>
      <t>花東</t>
    </r>
    <r>
      <rPr>
        <b/>
        <sz val="16"/>
        <color rgb="FFFF0000"/>
        <rFont val="新細明體"/>
        <family val="1"/>
        <charset val="136"/>
      </rPr>
      <t>A表</t>
    </r>
    <phoneticPr fontId="48" type="noConversion"/>
  </si>
  <si>
    <t>111學年度第1學期教科圖書各版本單價表(國小)</t>
    <phoneticPr fontId="2" type="noConversion"/>
  </si>
  <si>
    <r>
      <rPr>
        <sz val="11.5"/>
        <rFont val="標楷體"/>
        <family val="4"/>
        <charset val="136"/>
      </rPr>
      <t>適用
年級</t>
    </r>
  </si>
  <si>
    <t>康軒111P001</t>
    <phoneticPr fontId="5" type="noConversion"/>
  </si>
  <si>
    <t>翰林111P002</t>
    <phoneticPr fontId="5" type="noConversion"/>
  </si>
  <si>
    <t>南一111P003</t>
    <phoneticPr fontId="5" type="noConversion"/>
  </si>
  <si>
    <t>何嘉仁111P004</t>
    <phoneticPr fontId="5" type="noConversion"/>
  </si>
  <si>
    <t>首+1</t>
  </si>
  <si>
    <t>-</t>
  </si>
  <si>
    <r>
      <rPr>
        <sz val="11.5"/>
        <rFont val="標楷體"/>
        <family val="4"/>
        <charset val="136"/>
      </rPr>
      <t>74
Here We
Go</t>
    </r>
  </si>
  <si>
    <r>
      <rPr>
        <sz val="11.5"/>
        <rFont val="標楷體"/>
        <family val="4"/>
        <charset val="136"/>
      </rPr>
      <t>59
Super Fun</t>
    </r>
  </si>
  <si>
    <r>
      <rPr>
        <sz val="11.5"/>
        <rFont val="標楷體"/>
        <family val="4"/>
        <charset val="136"/>
      </rPr>
      <t>28
Here We
Go</t>
    </r>
  </si>
  <si>
    <r>
      <rPr>
        <sz val="11.5"/>
        <rFont val="標楷體"/>
        <family val="4"/>
        <charset val="136"/>
      </rPr>
      <t>24
Super Fun</t>
    </r>
  </si>
  <si>
    <t>英語(D版)</t>
  </si>
  <si>
    <r>
      <rPr>
        <sz val="11.5"/>
        <rFont val="標楷體"/>
        <family val="4"/>
        <charset val="136"/>
      </rPr>
      <t>67
Wonder
World</t>
    </r>
  </si>
  <si>
    <r>
      <rPr>
        <sz val="11.5"/>
        <rFont val="標楷體"/>
        <family val="4"/>
        <charset val="136"/>
      </rPr>
      <t>37
Wonder
World</t>
    </r>
  </si>
  <si>
    <r>
      <rPr>
        <sz val="11.5"/>
        <rFont val="標楷體"/>
        <family val="4"/>
        <charset val="136"/>
      </rPr>
      <t>86
Here We
Go</t>
    </r>
  </si>
  <si>
    <r>
      <rPr>
        <sz val="11.5"/>
        <rFont val="標楷體"/>
        <family val="4"/>
        <charset val="136"/>
      </rPr>
      <t>58
Super Fun</t>
    </r>
  </si>
  <si>
    <r>
      <rPr>
        <sz val="11.5"/>
        <rFont val="標楷體"/>
        <family val="4"/>
        <charset val="136"/>
      </rPr>
      <t>31
Here We
Go</t>
    </r>
  </si>
  <si>
    <r>
      <rPr>
        <sz val="11.5"/>
        <rFont val="標楷體"/>
        <family val="4"/>
        <charset val="136"/>
      </rPr>
      <t>29
Super Fun</t>
    </r>
  </si>
  <si>
    <t>英語(C版)</t>
  </si>
  <si>
    <r>
      <rPr>
        <sz val="11.5"/>
        <rFont val="標楷體"/>
        <family val="4"/>
        <charset val="136"/>
      </rPr>
      <t>75
Wonder
World</t>
    </r>
  </si>
  <si>
    <r>
      <rPr>
        <sz val="11.5"/>
        <rFont val="標楷體"/>
        <family val="4"/>
        <charset val="136"/>
      </rPr>
      <t>28
Wonder
World</t>
    </r>
  </si>
  <si>
    <r>
      <rPr>
        <sz val="11.5"/>
        <rFont val="標楷體"/>
        <family val="4"/>
        <charset val="136"/>
      </rPr>
      <t>63
Hello,Kid
s!</t>
    </r>
  </si>
  <si>
    <r>
      <rPr>
        <sz val="11.5"/>
        <rFont val="標楷體"/>
        <family val="4"/>
        <charset val="136"/>
      </rPr>
      <t>54
Dino on
the go</t>
    </r>
  </si>
  <si>
    <r>
      <rPr>
        <sz val="11.5"/>
        <rFont val="標楷體"/>
        <family val="4"/>
        <charset val="136"/>
      </rPr>
      <t>63
Story.com</t>
    </r>
  </si>
  <si>
    <r>
      <rPr>
        <sz val="11.5"/>
        <rFont val="標楷體"/>
        <family val="4"/>
        <charset val="136"/>
      </rPr>
      <t>34
Hello,Kid
s!</t>
    </r>
  </si>
  <si>
    <r>
      <rPr>
        <sz val="11.5"/>
        <rFont val="標楷體"/>
        <family val="4"/>
        <charset val="136"/>
      </rPr>
      <t>26
Dino on
the go</t>
    </r>
  </si>
  <si>
    <r>
      <rPr>
        <sz val="11.5"/>
        <rFont val="標楷體"/>
        <family val="4"/>
        <charset val="136"/>
      </rPr>
      <t>38
Story.com</t>
    </r>
  </si>
  <si>
    <r>
      <rPr>
        <sz val="11.5"/>
        <rFont val="標楷體"/>
        <family val="4"/>
        <charset val="136"/>
      </rPr>
      <t>52
Follow Me</t>
    </r>
  </si>
  <si>
    <r>
      <rPr>
        <sz val="11.5"/>
        <rFont val="標楷體"/>
        <family val="4"/>
        <charset val="136"/>
      </rPr>
      <t>50
eSTAR</t>
    </r>
  </si>
  <si>
    <r>
      <rPr>
        <sz val="11.5"/>
        <rFont val="標楷體"/>
        <family val="4"/>
        <charset val="136"/>
      </rPr>
      <t>28
Follow Me</t>
    </r>
  </si>
  <si>
    <r>
      <rPr>
        <sz val="11.5"/>
        <rFont val="標楷體"/>
        <family val="4"/>
        <charset val="136"/>
      </rPr>
      <t>26
eSTAR</t>
    </r>
  </si>
  <si>
    <r>
      <rPr>
        <sz val="11.5"/>
        <rFont val="標楷體"/>
        <family val="4"/>
        <charset val="136"/>
      </rPr>
      <t>55
Dino on
the go</t>
    </r>
  </si>
  <si>
    <r>
      <rPr>
        <sz val="11.5"/>
        <rFont val="標楷體"/>
        <family val="4"/>
        <charset val="136"/>
      </rPr>
      <t>36
Hello,Kid
s!</t>
    </r>
  </si>
  <si>
    <r>
      <rPr>
        <sz val="11.5"/>
        <rFont val="標楷體"/>
        <family val="4"/>
        <charset val="136"/>
      </rPr>
      <t>30
Dino on
the go</t>
    </r>
  </si>
  <si>
    <t>英語(B版)</t>
  </si>
  <si>
    <r>
      <rPr>
        <sz val="11.5"/>
        <rFont val="標楷體"/>
        <family val="4"/>
        <charset val="136"/>
      </rPr>
      <t>52
eSTAR</t>
    </r>
  </si>
  <si>
    <r>
      <rPr>
        <sz val="11.5"/>
        <rFont val="標楷體"/>
        <family val="4"/>
        <charset val="136"/>
      </rPr>
      <t>30
Follow Me</t>
    </r>
  </si>
  <si>
    <r>
      <rPr>
        <sz val="11.5"/>
        <rFont val="標楷體"/>
        <family val="4"/>
        <charset val="136"/>
      </rPr>
      <t>28
eSTAR</t>
    </r>
  </si>
  <si>
    <t>111學年度第1學期補助「花東地區接受義務教育學生書籍費」</t>
    <phoneticPr fontId="2" type="noConversion"/>
  </si>
  <si>
    <r>
      <t>班級學生調查表（</t>
    </r>
    <r>
      <rPr>
        <sz val="20"/>
        <color indexed="10"/>
        <rFont val="標楷體"/>
        <family val="4"/>
        <charset val="136"/>
      </rPr>
      <t>Ｂ表</t>
    </r>
    <r>
      <rPr>
        <sz val="20"/>
        <rFont val="標楷體"/>
        <family val="4"/>
        <charset val="136"/>
      </rPr>
      <t xml:space="preserve">）   </t>
    </r>
    <r>
      <rPr>
        <sz val="14"/>
        <rFont val="標楷體"/>
        <family val="4"/>
        <charset val="136"/>
      </rPr>
      <t>皆為必填欄位</t>
    </r>
    <phoneticPr fontId="2" type="noConversion"/>
  </si>
  <si>
    <t>班級</t>
    <phoneticPr fontId="2" type="noConversion"/>
  </si>
  <si>
    <t>導師姓名</t>
    <phoneticPr fontId="2" type="noConversion"/>
  </si>
  <si>
    <t>學生姓名</t>
    <phoneticPr fontId="2" type="noConversion"/>
  </si>
  <si>
    <t>性別
(是=1,否=0)</t>
    <phoneticPr fontId="2" type="noConversion"/>
  </si>
  <si>
    <t>學生身分
(是=1,否=0)</t>
    <phoneticPr fontId="2" type="noConversion"/>
  </si>
  <si>
    <t>男</t>
    <phoneticPr fontId="2" type="noConversion"/>
  </si>
  <si>
    <t>女</t>
    <phoneticPr fontId="2" type="noConversion"/>
  </si>
  <si>
    <t>低收</t>
    <phoneticPr fontId="2" type="noConversion"/>
  </si>
  <si>
    <t>中低收</t>
    <phoneticPr fontId="2" type="noConversion"/>
  </si>
  <si>
    <t>(自行增列)</t>
    <phoneticPr fontId="2" type="noConversion"/>
  </si>
  <si>
    <t>合計</t>
    <phoneticPr fontId="2" type="noConversion"/>
  </si>
  <si>
    <t>註.有關「學生身分別」欄，請擇一身分統計，切勿重複。</t>
    <phoneticPr fontId="2" type="noConversion"/>
  </si>
  <si>
    <t>版本</t>
  </si>
  <si>
    <r>
      <rPr>
        <b/>
        <sz val="12"/>
        <color theme="1"/>
        <rFont val="新細明體"/>
        <family val="1"/>
        <charset val="136"/>
      </rPr>
      <t>審定本</t>
    </r>
    <r>
      <rPr>
        <sz val="12"/>
        <color theme="1"/>
        <rFont val="新細明體"/>
        <family val="1"/>
        <charset val="136"/>
      </rPr>
      <t>補助總計</t>
    </r>
    <r>
      <rPr>
        <sz val="12"/>
        <color rgb="FF0000FF"/>
        <rFont val="新細明體"/>
        <family val="1"/>
        <charset val="136"/>
      </rPr>
      <t>(A)+(B)</t>
    </r>
    <phoneticPr fontId="48" type="noConversion"/>
  </si>
  <si>
    <r>
      <rPr>
        <b/>
        <sz val="12"/>
        <color theme="1"/>
        <rFont val="新細明體"/>
        <family val="1"/>
        <charset val="136"/>
      </rPr>
      <t>藝能科</t>
    </r>
    <r>
      <rPr>
        <sz val="12"/>
        <color theme="1"/>
        <rFont val="新細明體"/>
        <family val="1"/>
        <charset val="136"/>
      </rPr>
      <t>補助總計</t>
    </r>
    <r>
      <rPr>
        <sz val="12"/>
        <color rgb="FF0000FF"/>
        <rFont val="新細明體"/>
        <family val="1"/>
        <charset val="136"/>
      </rPr>
      <t>(C)</t>
    </r>
    <phoneticPr fontId="48" type="noConversion"/>
  </si>
  <si>
    <t>學校用書及學生用書補助金額小計</t>
    <phoneticPr fontId="2" type="noConversion"/>
  </si>
  <si>
    <t>↑單一筆給付書商</t>
  </si>
  <si>
    <t>學生用書總計(本表無須列印核章)</t>
    <phoneticPr fontId="2" type="noConversion"/>
  </si>
  <si>
    <r>
      <t>花東書籍費</t>
    </r>
    <r>
      <rPr>
        <b/>
        <sz val="12"/>
        <rFont val="新細明體"/>
        <family val="1"/>
        <charset val="136"/>
      </rPr>
      <t>學生用書</t>
    </r>
    <r>
      <rPr>
        <sz val="12"/>
        <rFont val="新細明體"/>
        <family val="1"/>
        <charset val="136"/>
      </rPr>
      <t>補助小計</t>
    </r>
    <phoneticPr fontId="2" type="noConversion"/>
  </si>
  <si>
    <t>學生教科書(縣補助+花東+學生用書)補助總計</t>
    <phoneticPr fontId="48" type="noConversion"/>
  </si>
  <si>
    <r>
      <rPr>
        <b/>
        <sz val="12"/>
        <color theme="1"/>
        <rFont val="新細明體"/>
        <family val="1"/>
        <charset val="136"/>
      </rPr>
      <t>學生用書</t>
    </r>
    <r>
      <rPr>
        <sz val="12"/>
        <color theme="1"/>
        <rFont val="新細明體"/>
        <family val="1"/>
        <charset val="136"/>
      </rPr>
      <t>每人補助金額</t>
    </r>
    <phoneticPr fontId="2" type="noConversion"/>
  </si>
  <si>
    <r>
      <t>審定本</t>
    </r>
    <r>
      <rPr>
        <b/>
        <sz val="12"/>
        <color theme="1"/>
        <rFont val="新細明體"/>
        <family val="1"/>
        <charset val="136"/>
      </rPr>
      <t>學生用書</t>
    </r>
    <r>
      <rPr>
        <sz val="12"/>
        <color theme="1"/>
        <rFont val="新細明體"/>
        <family val="1"/>
        <charset val="136"/>
      </rPr>
      <t>分攤總計</t>
    </r>
    <phoneticPr fontId="48" type="noConversion"/>
  </si>
  <si>
    <r>
      <t>藝能科</t>
    </r>
    <r>
      <rPr>
        <b/>
        <sz val="12"/>
        <color theme="1"/>
        <rFont val="新細明體"/>
        <family val="1"/>
        <charset val="136"/>
      </rPr>
      <t>學生用書</t>
    </r>
    <r>
      <rPr>
        <sz val="12"/>
        <color theme="1"/>
        <rFont val="新細明體"/>
        <family val="1"/>
        <charset val="136"/>
      </rPr>
      <t>補助總計</t>
    </r>
    <phoneticPr fontId="48" type="noConversion"/>
  </si>
  <si>
    <r>
      <t>花東書籍費</t>
    </r>
    <r>
      <rPr>
        <b/>
        <sz val="12"/>
        <color theme="1"/>
        <rFont val="新細明體"/>
        <family val="1"/>
        <charset val="136"/>
      </rPr>
      <t>學生用書</t>
    </r>
    <r>
      <rPr>
        <sz val="12"/>
        <color theme="1"/>
        <rFont val="新細明體"/>
        <family val="1"/>
        <charset val="136"/>
      </rPr>
      <t>補助總計</t>
    </r>
    <phoneticPr fontId="48" type="noConversion"/>
  </si>
  <si>
    <r>
      <t>審定本</t>
    </r>
    <r>
      <rPr>
        <b/>
        <sz val="12"/>
        <color theme="1"/>
        <rFont val="新細明體"/>
        <family val="1"/>
        <charset val="136"/>
      </rPr>
      <t>學生用書</t>
    </r>
    <r>
      <rPr>
        <sz val="12"/>
        <color theme="1"/>
        <rFont val="新細明體"/>
        <family val="1"/>
        <charset val="136"/>
      </rPr>
      <t xml:space="preserve">
補助小計</t>
    </r>
    <phoneticPr fontId="2" type="noConversion"/>
  </si>
  <si>
    <t>學生用書總計</t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</si>
</sst>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76" formatCode="0_ "/>
    <numFmt numFmtId="177" formatCode="#,##0_);[Red]\(#,##0\)"/>
    <numFmt numFmtId="178" formatCode="#,##0_ "/>
  </numFmts>
  <fonts count="84">
    <font>
      <sz val="1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20"/>
      <name val="微軟正黑體"/>
      <family val="2"/>
      <charset val="136"/>
    </font>
    <font>
      <sz val="6"/>
      <name val="新細明體"/>
      <family val="1"/>
      <charset val="136"/>
    </font>
    <font>
      <sz val="12"/>
      <name val="標楷體"/>
      <family val="4"/>
      <charset val="136"/>
    </font>
    <font>
      <sz val="10"/>
      <color rgb="FF000000"/>
      <name val="Times New Roman"/>
      <family val="1"/>
    </font>
    <font>
      <sz val="10"/>
      <color theme="9" tint="-0.499984740745262"/>
      <name val="細明體"/>
      <family val="3"/>
      <charset val="136"/>
    </font>
    <font>
      <sz val="10"/>
      <color theme="9" tint="-0.499984740745262"/>
      <name val="新細明體"/>
      <family val="1"/>
      <charset val="136"/>
    </font>
    <font>
      <sz val="10"/>
      <color rgb="FF000000"/>
      <name val="Segoe UI Black"/>
      <family val="2"/>
    </font>
    <font>
      <sz val="10"/>
      <color rgb="FF002060"/>
      <name val="細明體"/>
      <family val="3"/>
      <charset val="136"/>
    </font>
    <font>
      <sz val="10"/>
      <color rgb="FF002060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2"/>
      <name val="新細明體"/>
      <family val="1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10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name val="標楷體"/>
      <family val="4"/>
      <charset val="136"/>
    </font>
    <font>
      <b/>
      <sz val="10"/>
      <name val="細明體"/>
      <family val="3"/>
      <charset val="136"/>
    </font>
    <font>
      <b/>
      <sz val="10"/>
      <color rgb="FF002060"/>
      <name val="細明體"/>
      <family val="3"/>
      <charset val="136"/>
    </font>
    <font>
      <b/>
      <sz val="10"/>
      <color theme="9" tint="-0.499984740745262"/>
      <name val="細明體"/>
      <family val="3"/>
      <charset val="136"/>
    </font>
    <font>
      <b/>
      <sz val="10"/>
      <name val="新細明體"/>
      <family val="1"/>
      <charset val="136"/>
    </font>
    <font>
      <sz val="10"/>
      <color theme="6" tint="-0.499984740745262"/>
      <name val="細明體"/>
      <family val="3"/>
      <charset val="136"/>
    </font>
    <font>
      <b/>
      <sz val="10"/>
      <color theme="6" tint="-0.499984740745262"/>
      <name val="細明體"/>
      <family val="3"/>
      <charset val="136"/>
    </font>
    <font>
      <sz val="10"/>
      <color theme="6" tint="-0.499984740745262"/>
      <name val="新細明體"/>
      <family val="1"/>
      <charset val="136"/>
    </font>
    <font>
      <sz val="12"/>
      <color rgb="FF002060"/>
      <name val="新細明體"/>
      <family val="1"/>
      <charset val="136"/>
    </font>
    <font>
      <sz val="12"/>
      <color rgb="FF002060"/>
      <name val="微軟正黑體"/>
      <family val="2"/>
      <charset val="136"/>
    </font>
    <font>
      <sz val="12"/>
      <color theme="6" tint="-0.499984740745262"/>
      <name val="新細明體"/>
      <family val="1"/>
      <charset val="136"/>
    </font>
    <font>
      <sz val="12"/>
      <color theme="6" tint="-0.499984740745262"/>
      <name val="微軟正黑體"/>
      <family val="2"/>
      <charset val="136"/>
    </font>
    <font>
      <sz val="12"/>
      <name val="微軟正黑體"/>
      <family val="2"/>
      <charset val="136"/>
    </font>
    <font>
      <sz val="12"/>
      <color theme="9" tint="-0.499984740745262"/>
      <name val="新細明體"/>
      <family val="1"/>
      <charset val="136"/>
    </font>
    <font>
      <sz val="12"/>
      <color theme="9" tint="-0.499984740745262"/>
      <name val="微軟正黑體"/>
      <family val="2"/>
      <charset val="136"/>
    </font>
    <font>
      <sz val="10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0"/>
      <color rgb="FF002060"/>
      <name val="新細明體"/>
      <family val="1"/>
      <charset val="136"/>
    </font>
    <font>
      <b/>
      <sz val="10"/>
      <color theme="6" tint="-0.499984740745262"/>
      <name val="新細明體"/>
      <family val="1"/>
      <charset val="136"/>
    </font>
    <font>
      <b/>
      <sz val="10"/>
      <color theme="9" tint="-0.499984740745262"/>
      <name val="新細明體"/>
      <family val="1"/>
      <charset val="136"/>
    </font>
    <font>
      <sz val="11"/>
      <name val="細明體"/>
      <family val="3"/>
      <charset val="136"/>
    </font>
    <font>
      <sz val="14"/>
      <color rgb="FFFF0000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14"/>
      <color indexed="81"/>
      <name val="微軟正黑體"/>
      <family val="2"/>
      <charset val="136"/>
    </font>
    <font>
      <b/>
      <sz val="18"/>
      <color indexed="81"/>
      <name val="細明體"/>
      <family val="3"/>
      <charset val="136"/>
    </font>
    <font>
      <sz val="18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12"/>
      <color rgb="FF0000FF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1"/>
      <color theme="1"/>
      <name val="新細明體"/>
      <family val="1"/>
      <charset val="136"/>
    </font>
    <font>
      <b/>
      <sz val="14"/>
      <name val="新細明體"/>
      <family val="1"/>
      <charset val="136"/>
    </font>
    <font>
      <b/>
      <sz val="11"/>
      <color theme="1"/>
      <name val="新細明體"/>
      <family val="1"/>
      <charset val="136"/>
    </font>
    <font>
      <b/>
      <sz val="9"/>
      <color theme="1"/>
      <name val="新細明體"/>
      <family val="1"/>
      <charset val="136"/>
    </font>
    <font>
      <sz val="16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6"/>
      <color theme="1"/>
      <name val="新細明體"/>
      <family val="1"/>
      <charset val="136"/>
    </font>
    <font>
      <b/>
      <sz val="16"/>
      <color rgb="FFFF0000"/>
      <name val="新細明體"/>
      <family val="1"/>
      <charset val="136"/>
    </font>
    <font>
      <sz val="12"/>
      <color rgb="FF000000"/>
      <name val="Segoe UI Black"/>
      <family val="2"/>
    </font>
    <font>
      <sz val="11.5"/>
      <name val="標楷體"/>
      <family val="4"/>
      <charset val="136"/>
    </font>
    <font>
      <sz val="11.5"/>
      <color rgb="FF000000"/>
      <name val="標楷體"/>
      <family val="4"/>
      <charset val="136"/>
    </font>
    <font>
      <sz val="16"/>
      <name val="標楷體"/>
      <family val="4"/>
      <charset val="136"/>
    </font>
    <font>
      <sz val="20"/>
      <name val="標楷體"/>
      <family val="4"/>
      <charset val="136"/>
    </font>
    <font>
      <sz val="20"/>
      <color indexed="10"/>
      <name val="標楷體"/>
      <family val="4"/>
      <charset val="136"/>
    </font>
    <font>
      <sz val="14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6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4"/>
      <color indexed="8"/>
      <name val="標楷體"/>
      <family val="4"/>
      <charset val="136"/>
    </font>
    <font>
      <sz val="16"/>
      <color indexed="10"/>
      <name val="標楷體"/>
      <family val="4"/>
      <charset val="136"/>
    </font>
    <font>
      <sz val="12"/>
      <color indexed="10"/>
      <name val="標楷體"/>
      <family val="4"/>
      <charset val="136"/>
    </font>
    <font>
      <sz val="11"/>
      <name val="新細明體"/>
      <family val="1"/>
      <charset val="136"/>
      <scheme val="major"/>
    </font>
    <font>
      <b/>
      <sz val="20"/>
      <color indexed="81"/>
      <name val="細明體"/>
      <family val="3"/>
      <charset val="136"/>
    </font>
    <font>
      <b/>
      <sz val="20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5E4E3"/>
        <bgColor indexed="64"/>
      </patternFill>
    </fill>
    <fill>
      <patternFill patternType="solid">
        <fgColor rgb="FFF7E6E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indexed="64"/>
      </right>
      <top style="thin">
        <color theme="8" tint="-0.499984740745262"/>
      </top>
      <bottom/>
      <diagonal/>
    </border>
    <border>
      <left style="thin">
        <color indexed="64"/>
      </left>
      <right/>
      <top style="thin">
        <color theme="8" tint="-0.499984740745262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indexed="64"/>
      </right>
      <top/>
      <bottom style="thin">
        <color theme="8" tint="-0.499984740745262"/>
      </bottom>
      <diagonal/>
    </border>
    <border>
      <left style="thin">
        <color indexed="64"/>
      </left>
      <right/>
      <top/>
      <bottom style="thin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9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0" fillId="0" borderId="0"/>
    <xf numFmtId="0" fontId="1" fillId="0" borderId="0">
      <alignment vertical="center"/>
    </xf>
    <xf numFmtId="0" fontId="15" fillId="0" borderId="0"/>
    <xf numFmtId="0" fontId="9" fillId="0" borderId="0"/>
  </cellStyleXfs>
  <cellXfs count="902">
    <xf numFmtId="0" fontId="0" fillId="0" borderId="0" xfId="0"/>
    <xf numFmtId="177" fontId="3" fillId="0" borderId="1" xfId="0" applyNumberFormat="1" applyFont="1" applyBorder="1" applyAlignment="1" applyProtection="1">
      <alignment horizontal="center"/>
      <protection locked="0"/>
    </xf>
    <xf numFmtId="177" fontId="3" fillId="0" borderId="2" xfId="0" applyNumberFormat="1" applyFont="1" applyBorder="1" applyAlignment="1" applyProtection="1">
      <alignment horizontal="center"/>
      <protection locked="0"/>
    </xf>
    <xf numFmtId="177" fontId="10" fillId="0" borderId="1" xfId="0" applyNumberFormat="1" applyFont="1" applyBorder="1" applyAlignment="1" applyProtection="1">
      <alignment horizontal="center"/>
      <protection locked="0"/>
    </xf>
    <xf numFmtId="177" fontId="10" fillId="0" borderId="2" xfId="0" applyNumberFormat="1" applyFont="1" applyBorder="1" applyAlignment="1" applyProtection="1">
      <alignment horizontal="center"/>
      <protection locked="0"/>
    </xf>
    <xf numFmtId="177" fontId="0" fillId="4" borderId="1" xfId="0" applyNumberFormat="1" applyFont="1" applyFill="1" applyBorder="1" applyProtection="1"/>
    <xf numFmtId="177" fontId="11" fillId="4" borderId="1" xfId="0" applyNumberFormat="1" applyFont="1" applyFill="1" applyBorder="1" applyProtection="1"/>
    <xf numFmtId="177" fontId="0" fillId="5" borderId="2" xfId="0" applyNumberFormat="1" applyFont="1" applyFill="1" applyBorder="1" applyProtection="1"/>
    <xf numFmtId="177" fontId="0" fillId="6" borderId="2" xfId="0" applyNumberFormat="1" applyFont="1" applyFill="1" applyBorder="1" applyProtection="1"/>
    <xf numFmtId="177" fontId="11" fillId="5" borderId="2" xfId="0" applyNumberFormat="1" applyFont="1" applyFill="1" applyBorder="1" applyProtection="1"/>
    <xf numFmtId="177" fontId="11" fillId="6" borderId="2" xfId="0" applyNumberFormat="1" applyFont="1" applyFill="1" applyBorder="1" applyProtection="1"/>
    <xf numFmtId="177" fontId="0" fillId="7" borderId="2" xfId="0" applyNumberFormat="1" applyFont="1" applyFill="1" applyBorder="1" applyProtection="1"/>
    <xf numFmtId="177" fontId="11" fillId="7" borderId="2" xfId="0" applyNumberFormat="1" applyFont="1" applyFill="1" applyBorder="1" applyProtection="1"/>
    <xf numFmtId="177" fontId="0" fillId="7" borderId="3" xfId="0" applyNumberFormat="1" applyFont="1" applyFill="1" applyBorder="1" applyProtection="1"/>
    <xf numFmtId="177" fontId="11" fillId="7" borderId="3" xfId="0" applyNumberFormat="1" applyFont="1" applyFill="1" applyBorder="1" applyProtection="1"/>
    <xf numFmtId="178" fontId="0" fillId="0" borderId="7" xfId="0" applyNumberFormat="1" applyFont="1" applyBorder="1" applyAlignment="1" applyProtection="1">
      <alignment horizontal="center" vertical="center"/>
    </xf>
    <xf numFmtId="178" fontId="0" fillId="0" borderId="8" xfId="0" applyNumberFormat="1" applyFont="1" applyBorder="1" applyAlignment="1" applyProtection="1">
      <alignment horizontal="center" vertical="center"/>
    </xf>
    <xf numFmtId="178" fontId="0" fillId="0" borderId="2" xfId="0" applyNumberFormat="1" applyFont="1" applyBorder="1" applyAlignment="1" applyProtection="1">
      <alignment horizontal="center" vertical="center"/>
    </xf>
    <xf numFmtId="178" fontId="11" fillId="0" borderId="8" xfId="0" applyNumberFormat="1" applyFont="1" applyBorder="1" applyAlignment="1" applyProtection="1">
      <alignment horizontal="center" vertical="center"/>
    </xf>
    <xf numFmtId="0" fontId="0" fillId="6" borderId="2" xfId="0" applyFont="1" applyFill="1" applyBorder="1" applyAlignment="1" applyProtection="1">
      <alignment horizontal="center" vertical="center" wrapText="1"/>
    </xf>
    <xf numFmtId="0" fontId="0" fillId="3" borderId="2" xfId="0" applyFont="1" applyFill="1" applyBorder="1" applyAlignment="1" applyProtection="1">
      <alignment horizontal="center" vertical="center" wrapText="1"/>
    </xf>
    <xf numFmtId="0" fontId="0" fillId="3" borderId="4" xfId="0" applyFont="1" applyFill="1" applyBorder="1" applyAlignment="1" applyProtection="1">
      <alignment horizontal="center" vertical="center" wrapText="1"/>
    </xf>
    <xf numFmtId="178" fontId="11" fillId="0" borderId="2" xfId="0" applyNumberFormat="1" applyFont="1" applyBorder="1" applyAlignment="1" applyProtection="1">
      <alignment horizontal="center" vertical="center"/>
    </xf>
    <xf numFmtId="178" fontId="11" fillId="0" borderId="7" xfId="0" applyNumberFormat="1" applyFont="1" applyBorder="1" applyAlignment="1" applyProtection="1">
      <alignment horizontal="center" vertical="center"/>
    </xf>
    <xf numFmtId="176" fontId="3" fillId="7" borderId="2" xfId="0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177" fontId="14" fillId="5" borderId="10" xfId="0" applyNumberFormat="1" applyFont="1" applyFill="1" applyBorder="1" applyProtection="1"/>
    <xf numFmtId="177" fontId="13" fillId="0" borderId="1" xfId="0" applyNumberFormat="1" applyFont="1" applyBorder="1" applyAlignment="1" applyProtection="1">
      <alignment horizontal="center"/>
      <protection locked="0"/>
    </xf>
    <xf numFmtId="177" fontId="13" fillId="0" borderId="2" xfId="0" applyNumberFormat="1" applyFont="1" applyBorder="1" applyAlignment="1" applyProtection="1">
      <alignment horizontal="center"/>
      <protection locked="0"/>
    </xf>
    <xf numFmtId="177" fontId="14" fillId="4" borderId="1" xfId="0" applyNumberFormat="1" applyFont="1" applyFill="1" applyBorder="1" applyProtection="1"/>
    <xf numFmtId="177" fontId="14" fillId="5" borderId="2" xfId="0" applyNumberFormat="1" applyFont="1" applyFill="1" applyBorder="1" applyProtection="1"/>
    <xf numFmtId="177" fontId="14" fillId="6" borderId="2" xfId="0" applyNumberFormat="1" applyFont="1" applyFill="1" applyBorder="1" applyProtection="1"/>
    <xf numFmtId="177" fontId="14" fillId="7" borderId="2" xfId="0" applyNumberFormat="1" applyFont="1" applyFill="1" applyBorder="1" applyProtection="1"/>
    <xf numFmtId="177" fontId="14" fillId="7" borderId="3" xfId="0" applyNumberFormat="1" applyFont="1" applyFill="1" applyBorder="1" applyProtection="1"/>
    <xf numFmtId="178" fontId="14" fillId="0" borderId="2" xfId="0" applyNumberFormat="1" applyFont="1" applyBorder="1" applyAlignment="1" applyProtection="1">
      <alignment horizontal="center" vertical="center"/>
    </xf>
    <xf numFmtId="178" fontId="14" fillId="0" borderId="7" xfId="0" applyNumberFormat="1" applyFont="1" applyBorder="1" applyAlignment="1" applyProtection="1">
      <alignment horizontal="center" vertical="center"/>
    </xf>
    <xf numFmtId="178" fontId="14" fillId="0" borderId="8" xfId="0" applyNumberFormat="1" applyFont="1" applyBorder="1" applyAlignment="1" applyProtection="1">
      <alignment horizontal="center" vertical="center"/>
    </xf>
    <xf numFmtId="177" fontId="0" fillId="6" borderId="10" xfId="0" applyNumberForma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/>
    </xf>
    <xf numFmtId="0" fontId="7" fillId="4" borderId="11" xfId="0" applyFont="1" applyFill="1" applyBorder="1" applyAlignment="1" applyProtection="1">
      <alignment vertical="center" wrapText="1"/>
    </xf>
    <xf numFmtId="0" fontId="0" fillId="0" borderId="0" xfId="0" applyFill="1" applyProtection="1"/>
    <xf numFmtId="0" fontId="0" fillId="0" borderId="0" xfId="0" applyProtection="1"/>
    <xf numFmtId="0" fontId="4" fillId="2" borderId="2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  <xf numFmtId="0" fontId="0" fillId="4" borderId="12" xfId="0" applyFill="1" applyBorder="1" applyAlignment="1" applyProtection="1">
      <alignment horizontal="center"/>
    </xf>
    <xf numFmtId="0" fontId="4" fillId="5" borderId="7" xfId="0" applyFont="1" applyFill="1" applyBorder="1" applyAlignment="1" applyProtection="1">
      <alignment horizontal="center"/>
    </xf>
    <xf numFmtId="0" fontId="4" fillId="5" borderId="2" xfId="0" applyFont="1" applyFill="1" applyBorder="1" applyAlignment="1" applyProtection="1">
      <alignment horizontal="center"/>
    </xf>
    <xf numFmtId="0" fontId="0" fillId="6" borderId="12" xfId="0" applyFill="1" applyBorder="1" applyAlignment="1" applyProtection="1">
      <alignment horizontal="center"/>
    </xf>
    <xf numFmtId="0" fontId="4" fillId="7" borderId="2" xfId="0" applyFont="1" applyFill="1" applyBorder="1" applyAlignment="1" applyProtection="1">
      <alignment horizontal="center"/>
    </xf>
    <xf numFmtId="0" fontId="4" fillId="7" borderId="13" xfId="0" applyFont="1" applyFill="1" applyBorder="1" applyAlignment="1" applyProtection="1">
      <alignment horizontal="center"/>
    </xf>
    <xf numFmtId="0" fontId="4" fillId="2" borderId="2" xfId="0" quotePrefix="1" applyFont="1" applyFill="1" applyBorder="1" applyAlignment="1" applyProtection="1">
      <alignment horizontal="center"/>
    </xf>
    <xf numFmtId="0" fontId="4" fillId="9" borderId="2" xfId="0" applyFont="1" applyFill="1" applyBorder="1" applyAlignment="1" applyProtection="1">
      <alignment horizontal="center"/>
    </xf>
    <xf numFmtId="0" fontId="4" fillId="3" borderId="2" xfId="0" quotePrefix="1" applyFont="1" applyFill="1" applyBorder="1" applyAlignment="1" applyProtection="1">
      <alignment horizontal="center"/>
    </xf>
    <xf numFmtId="0" fontId="0" fillId="4" borderId="14" xfId="0" quotePrefix="1" applyFill="1" applyBorder="1" applyAlignment="1" applyProtection="1">
      <alignment horizontal="center"/>
    </xf>
    <xf numFmtId="0" fontId="4" fillId="10" borderId="0" xfId="0" applyFont="1" applyFill="1" applyBorder="1" applyAlignment="1" applyProtection="1">
      <alignment horizontal="center"/>
    </xf>
    <xf numFmtId="0" fontId="4" fillId="5" borderId="10" xfId="0" quotePrefix="1" applyFont="1" applyFill="1" applyBorder="1" applyAlignment="1" applyProtection="1">
      <alignment horizontal="center"/>
    </xf>
    <xf numFmtId="0" fontId="0" fillId="6" borderId="0" xfId="0" quotePrefix="1" applyFill="1" applyBorder="1" applyAlignment="1" applyProtection="1">
      <alignment horizontal="center"/>
    </xf>
    <xf numFmtId="0" fontId="4" fillId="7" borderId="10" xfId="0" quotePrefix="1" applyFont="1" applyFill="1" applyBorder="1" applyAlignment="1" applyProtection="1">
      <alignment horizontal="center"/>
    </xf>
    <xf numFmtId="0" fontId="4" fillId="10" borderId="10" xfId="0" applyFont="1" applyFill="1" applyBorder="1" applyAlignment="1" applyProtection="1">
      <alignment horizontal="center"/>
    </xf>
    <xf numFmtId="0" fontId="4" fillId="7" borderId="15" xfId="0" applyFont="1" applyFill="1" applyBorder="1" applyAlignment="1" applyProtection="1">
      <alignment horizontal="center"/>
    </xf>
    <xf numFmtId="0" fontId="13" fillId="0" borderId="2" xfId="0" applyFont="1" applyBorder="1" applyProtection="1"/>
    <xf numFmtId="0" fontId="13" fillId="0" borderId="7" xfId="0" applyFont="1" applyBorder="1" applyAlignment="1" applyProtection="1">
      <alignment horizontal="center"/>
    </xf>
    <xf numFmtId="0" fontId="3" fillId="0" borderId="2" xfId="0" applyFont="1" applyBorder="1" applyProtection="1"/>
    <xf numFmtId="0" fontId="3" fillId="0" borderId="7" xfId="0" applyFont="1" applyBorder="1" applyAlignment="1" applyProtection="1">
      <alignment horizontal="center"/>
    </xf>
    <xf numFmtId="0" fontId="10" fillId="0" borderId="2" xfId="0" applyFont="1" applyBorder="1" applyProtection="1"/>
    <xf numFmtId="0" fontId="10" fillId="0" borderId="7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76" fontId="0" fillId="0" borderId="0" xfId="0" applyNumberFormat="1" applyAlignment="1" applyProtection="1">
      <alignment horizontal="center"/>
    </xf>
    <xf numFmtId="0" fontId="0" fillId="6" borderId="10" xfId="0" applyFill="1" applyBorder="1" applyAlignment="1" applyProtection="1">
      <alignment horizontal="center" vertical="center"/>
    </xf>
    <xf numFmtId="177" fontId="0" fillId="0" borderId="0" xfId="0" applyNumberFormat="1" applyProtection="1"/>
    <xf numFmtId="178" fontId="14" fillId="0" borderId="2" xfId="0" applyNumberFormat="1" applyFont="1" applyBorder="1" applyAlignment="1" applyProtection="1">
      <alignment horizontal="center"/>
    </xf>
    <xf numFmtId="178" fontId="0" fillId="0" borderId="2" xfId="0" applyNumberFormat="1" applyFont="1" applyBorder="1" applyAlignment="1" applyProtection="1">
      <alignment horizontal="center"/>
    </xf>
    <xf numFmtId="178" fontId="11" fillId="0" borderId="2" xfId="0" applyNumberFormat="1" applyFont="1" applyBorder="1" applyAlignment="1" applyProtection="1">
      <alignment horizontal="center"/>
    </xf>
    <xf numFmtId="0" fontId="0" fillId="0" borderId="0" xfId="0" applyFill="1"/>
    <xf numFmtId="176" fontId="0" fillId="2" borderId="0" xfId="0" applyNumberFormat="1" applyFill="1" applyAlignment="1" applyProtection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1" fontId="21" fillId="0" borderId="2" xfId="1" applyNumberFormat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horizontal="center" vertical="center" wrapText="1"/>
    </xf>
    <xf numFmtId="1" fontId="22" fillId="0" borderId="2" xfId="1" applyNumberFormat="1" applyFont="1" applyFill="1" applyBorder="1" applyAlignment="1">
      <alignment horizontal="center" vertical="center" wrapText="1" shrinkToFit="1"/>
    </xf>
    <xf numFmtId="1" fontId="24" fillId="0" borderId="2" xfId="1" applyNumberFormat="1" applyFont="1" applyFill="1" applyBorder="1" applyAlignment="1">
      <alignment horizontal="center" vertical="center" wrapText="1" shrinkToFit="1"/>
    </xf>
    <xf numFmtId="0" fontId="24" fillId="0" borderId="2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1" fontId="21" fillId="0" borderId="7" xfId="1" applyNumberFormat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31" xfId="1" applyFont="1" applyFill="1" applyBorder="1" applyAlignment="1">
      <alignment horizontal="center" vertical="center" wrapText="1"/>
    </xf>
    <xf numFmtId="0" fontId="25" fillId="0" borderId="28" xfId="1" applyFont="1" applyFill="1" applyBorder="1" applyAlignment="1">
      <alignment horizontal="center" vertical="center" wrapText="1"/>
    </xf>
    <xf numFmtId="0" fontId="26" fillId="0" borderId="27" xfId="1" applyFont="1" applyFill="1" applyBorder="1" applyAlignment="1">
      <alignment horizontal="center" vertical="center" wrapText="1"/>
    </xf>
    <xf numFmtId="0" fontId="26" fillId="0" borderId="29" xfId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  <xf numFmtId="0" fontId="28" fillId="0" borderId="7" xfId="0" applyFont="1" applyBorder="1" applyAlignment="1" applyProtection="1">
      <alignment horizontal="center"/>
    </xf>
    <xf numFmtId="0" fontId="27" fillId="0" borderId="7" xfId="0" applyFont="1" applyBorder="1" applyAlignment="1" applyProtection="1">
      <alignment horizontal="center"/>
    </xf>
    <xf numFmtId="0" fontId="29" fillId="0" borderId="7" xfId="0" applyFont="1" applyBorder="1" applyAlignment="1" applyProtection="1">
      <alignment horizontal="center"/>
    </xf>
    <xf numFmtId="0" fontId="30" fillId="0" borderId="0" xfId="0" applyFont="1" applyAlignment="1" applyProtection="1">
      <alignment horizontal="center"/>
    </xf>
    <xf numFmtId="0" fontId="13" fillId="0" borderId="2" xfId="0" applyFont="1" applyFill="1" applyBorder="1" applyProtection="1"/>
    <xf numFmtId="0" fontId="28" fillId="0" borderId="7" xfId="0" applyFont="1" applyFill="1" applyBorder="1" applyAlignment="1" applyProtection="1">
      <alignment horizontal="center"/>
    </xf>
    <xf numFmtId="0" fontId="13" fillId="11" borderId="2" xfId="0" applyFont="1" applyFill="1" applyBorder="1" applyProtection="1"/>
    <xf numFmtId="0" fontId="28" fillId="11" borderId="7" xfId="0" applyFont="1" applyFill="1" applyBorder="1" applyAlignment="1" applyProtection="1">
      <alignment horizontal="center"/>
    </xf>
    <xf numFmtId="177" fontId="14" fillId="11" borderId="2" xfId="0" applyNumberFormat="1" applyFont="1" applyFill="1" applyBorder="1" applyProtection="1"/>
    <xf numFmtId="0" fontId="3" fillId="0" borderId="2" xfId="0" applyFont="1" applyFill="1" applyBorder="1" applyProtection="1"/>
    <xf numFmtId="0" fontId="27" fillId="0" borderId="7" xfId="0" applyFont="1" applyFill="1" applyBorder="1" applyAlignment="1" applyProtection="1">
      <alignment horizontal="center"/>
    </xf>
    <xf numFmtId="0" fontId="3" fillId="11" borderId="2" xfId="0" applyFont="1" applyFill="1" applyBorder="1" applyProtection="1"/>
    <xf numFmtId="0" fontId="27" fillId="11" borderId="7" xfId="0" applyFont="1" applyFill="1" applyBorder="1" applyAlignment="1" applyProtection="1">
      <alignment horizontal="center"/>
    </xf>
    <xf numFmtId="177" fontId="0" fillId="11" borderId="2" xfId="0" applyNumberFormat="1" applyFont="1" applyFill="1" applyBorder="1" applyProtection="1"/>
    <xf numFmtId="177" fontId="14" fillId="11" borderId="3" xfId="0" applyNumberFormat="1" applyFont="1" applyFill="1" applyBorder="1" applyProtection="1"/>
    <xf numFmtId="177" fontId="0" fillId="11" borderId="3" xfId="0" applyNumberFormat="1" applyFont="1" applyFill="1" applyBorder="1" applyProtection="1"/>
    <xf numFmtId="0" fontId="31" fillId="0" borderId="2" xfId="0" applyFont="1" applyBorder="1" applyProtection="1"/>
    <xf numFmtId="0" fontId="32" fillId="0" borderId="7" xfId="0" applyFont="1" applyBorder="1" applyAlignment="1" applyProtection="1">
      <alignment horizontal="center"/>
    </xf>
    <xf numFmtId="0" fontId="31" fillId="0" borderId="7" xfId="0" applyFont="1" applyBorder="1" applyAlignment="1" applyProtection="1">
      <alignment horizontal="center"/>
    </xf>
    <xf numFmtId="177" fontId="31" fillId="0" borderId="1" xfId="0" applyNumberFormat="1" applyFont="1" applyBorder="1" applyAlignment="1" applyProtection="1">
      <alignment horizontal="center"/>
      <protection locked="0"/>
    </xf>
    <xf numFmtId="177" fontId="31" fillId="0" borderId="2" xfId="0" applyNumberFormat="1" applyFont="1" applyBorder="1" applyAlignment="1" applyProtection="1">
      <alignment horizontal="center"/>
      <protection locked="0"/>
    </xf>
    <xf numFmtId="177" fontId="33" fillId="4" borderId="1" xfId="0" applyNumberFormat="1" applyFont="1" applyFill="1" applyBorder="1" applyProtection="1"/>
    <xf numFmtId="177" fontId="33" fillId="5" borderId="2" xfId="0" applyNumberFormat="1" applyFont="1" applyFill="1" applyBorder="1" applyProtection="1"/>
    <xf numFmtId="177" fontId="33" fillId="6" borderId="2" xfId="0" applyNumberFormat="1" applyFont="1" applyFill="1" applyBorder="1" applyProtection="1"/>
    <xf numFmtId="177" fontId="33" fillId="7" borderId="2" xfId="0" applyNumberFormat="1" applyFont="1" applyFill="1" applyBorder="1" applyProtection="1"/>
    <xf numFmtId="177" fontId="33" fillId="7" borderId="3" xfId="0" applyNumberFormat="1" applyFont="1" applyFill="1" applyBorder="1" applyProtection="1"/>
    <xf numFmtId="0" fontId="31" fillId="11" borderId="2" xfId="0" applyFont="1" applyFill="1" applyBorder="1" applyProtection="1"/>
    <xf numFmtId="0" fontId="32" fillId="11" borderId="7" xfId="0" applyFont="1" applyFill="1" applyBorder="1" applyAlignment="1" applyProtection="1">
      <alignment horizontal="center"/>
    </xf>
    <xf numFmtId="177" fontId="33" fillId="11" borderId="2" xfId="0" applyNumberFormat="1" applyFont="1" applyFill="1" applyBorder="1" applyProtection="1"/>
    <xf numFmtId="177" fontId="33" fillId="11" borderId="3" xfId="0" applyNumberFormat="1" applyFont="1" applyFill="1" applyBorder="1" applyProtection="1"/>
    <xf numFmtId="0" fontId="0" fillId="11" borderId="2" xfId="0" applyFill="1" applyBorder="1" applyAlignment="1" applyProtection="1">
      <alignment horizontal="center" vertical="center"/>
    </xf>
    <xf numFmtId="177" fontId="0" fillId="11" borderId="2" xfId="0" applyNumberFormat="1" applyFill="1" applyBorder="1" applyAlignment="1" applyProtection="1">
      <alignment horizontal="center" vertical="center"/>
    </xf>
    <xf numFmtId="178" fontId="33" fillId="0" borderId="2" xfId="0" applyNumberFormat="1" applyFont="1" applyBorder="1" applyAlignment="1" applyProtection="1">
      <alignment horizontal="center" vertical="center"/>
    </xf>
    <xf numFmtId="178" fontId="33" fillId="0" borderId="7" xfId="0" applyNumberFormat="1" applyFont="1" applyBorder="1" applyAlignment="1" applyProtection="1">
      <alignment horizontal="center" vertical="center"/>
    </xf>
    <xf numFmtId="178" fontId="33" fillId="0" borderId="2" xfId="0" applyNumberFormat="1" applyFont="1" applyBorder="1" applyAlignment="1" applyProtection="1">
      <alignment horizontal="center"/>
    </xf>
    <xf numFmtId="178" fontId="33" fillId="0" borderId="8" xfId="0" applyNumberFormat="1" applyFont="1" applyBorder="1" applyAlignment="1" applyProtection="1">
      <alignment horizontal="center" vertical="center"/>
    </xf>
    <xf numFmtId="0" fontId="35" fillId="0" borderId="2" xfId="0" applyFont="1" applyFill="1" applyBorder="1" applyAlignment="1" applyProtection="1">
      <alignment horizontal="center" vertical="center" wrapText="1"/>
    </xf>
    <xf numFmtId="0" fontId="37" fillId="0" borderId="2" xfId="0" applyFont="1" applyFill="1" applyBorder="1" applyAlignment="1" applyProtection="1">
      <alignment horizontal="center" vertical="center" wrapText="1"/>
    </xf>
    <xf numFmtId="0" fontId="38" fillId="0" borderId="2" xfId="0" applyFont="1" applyFill="1" applyBorder="1" applyAlignment="1" applyProtection="1">
      <alignment horizontal="center" vertical="center" wrapText="1"/>
    </xf>
    <xf numFmtId="0" fontId="40" fillId="0" borderId="2" xfId="0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/>
    </xf>
    <xf numFmtId="178" fontId="0" fillId="0" borderId="50" xfId="0" applyNumberFormat="1" applyFill="1" applyBorder="1" applyProtection="1"/>
    <xf numFmtId="178" fontId="0" fillId="0" borderId="51" xfId="0" applyNumberFormat="1" applyFill="1" applyBorder="1" applyProtection="1"/>
    <xf numFmtId="178" fontId="0" fillId="0" borderId="52" xfId="0" applyNumberFormat="1" applyFill="1" applyBorder="1" applyProtection="1"/>
    <xf numFmtId="0" fontId="13" fillId="0" borderId="39" xfId="0" applyFont="1" applyBorder="1" applyAlignment="1" applyProtection="1">
      <alignment horizontal="center"/>
    </xf>
    <xf numFmtId="0" fontId="13" fillId="0" borderId="34" xfId="0" applyFont="1" applyBorder="1" applyProtection="1"/>
    <xf numFmtId="0" fontId="28" fillId="0" borderId="32" xfId="0" applyFont="1" applyBorder="1" applyAlignment="1" applyProtection="1">
      <alignment horizontal="center"/>
    </xf>
    <xf numFmtId="0" fontId="13" fillId="0" borderId="32" xfId="0" applyFont="1" applyBorder="1" applyAlignment="1" applyProtection="1">
      <alignment horizontal="center"/>
    </xf>
    <xf numFmtId="177" fontId="13" fillId="0" borderId="39" xfId="0" applyNumberFormat="1" applyFont="1" applyBorder="1" applyAlignment="1" applyProtection="1">
      <alignment horizontal="center"/>
      <protection locked="0"/>
    </xf>
    <xf numFmtId="177" fontId="13" fillId="0" borderId="34" xfId="0" applyNumberFormat="1" applyFont="1" applyBorder="1" applyAlignment="1" applyProtection="1">
      <alignment horizontal="center"/>
      <protection locked="0"/>
    </xf>
    <xf numFmtId="177" fontId="14" fillId="4" borderId="39" xfId="0" applyNumberFormat="1" applyFont="1" applyFill="1" applyBorder="1" applyProtection="1"/>
    <xf numFmtId="177" fontId="14" fillId="5" borderId="34" xfId="0" applyNumberFormat="1" applyFont="1" applyFill="1" applyBorder="1" applyProtection="1"/>
    <xf numFmtId="177" fontId="14" fillId="6" borderId="34" xfId="0" applyNumberFormat="1" applyFont="1" applyFill="1" applyBorder="1" applyProtection="1"/>
    <xf numFmtId="177" fontId="14" fillId="0" borderId="34" xfId="0" applyNumberFormat="1" applyFont="1" applyBorder="1" applyProtection="1">
      <protection locked="0"/>
    </xf>
    <xf numFmtId="177" fontId="14" fillId="7" borderId="34" xfId="0" applyNumberFormat="1" applyFont="1" applyFill="1" applyBorder="1" applyProtection="1"/>
    <xf numFmtId="177" fontId="14" fillId="7" borderId="35" xfId="0" applyNumberFormat="1" applyFont="1" applyFill="1" applyBorder="1" applyProtection="1"/>
    <xf numFmtId="0" fontId="13" fillId="0" borderId="1" xfId="0" applyFont="1" applyBorder="1" applyAlignment="1" applyProtection="1">
      <alignment horizontal="center"/>
    </xf>
    <xf numFmtId="0" fontId="13" fillId="0" borderId="16" xfId="0" applyFont="1" applyBorder="1" applyAlignment="1" applyProtection="1">
      <alignment horizontal="center"/>
    </xf>
    <xf numFmtId="0" fontId="13" fillId="0" borderId="17" xfId="0" applyFont="1" applyBorder="1" applyProtection="1"/>
    <xf numFmtId="0" fontId="28" fillId="0" borderId="19" xfId="0" applyFont="1" applyBorder="1" applyAlignment="1" applyProtection="1">
      <alignment horizontal="center"/>
    </xf>
    <xf numFmtId="0" fontId="13" fillId="0" borderId="19" xfId="0" applyFont="1" applyBorder="1" applyAlignment="1" applyProtection="1">
      <alignment horizontal="center"/>
    </xf>
    <xf numFmtId="177" fontId="13" fillId="0" borderId="16" xfId="0" applyNumberFormat="1" applyFont="1" applyBorder="1" applyAlignment="1" applyProtection="1">
      <alignment horizontal="center"/>
      <protection locked="0"/>
    </xf>
    <xf numFmtId="177" fontId="13" fillId="0" borderId="17" xfId="0" applyNumberFormat="1" applyFont="1" applyBorder="1" applyAlignment="1" applyProtection="1">
      <alignment horizontal="center"/>
      <protection locked="0"/>
    </xf>
    <xf numFmtId="177" fontId="14" fillId="4" borderId="16" xfId="0" applyNumberFormat="1" applyFont="1" applyFill="1" applyBorder="1" applyProtection="1"/>
    <xf numFmtId="177" fontId="14" fillId="5" borderId="17" xfId="0" applyNumberFormat="1" applyFont="1" applyFill="1" applyBorder="1" applyProtection="1"/>
    <xf numFmtId="177" fontId="14" fillId="6" borderId="17" xfId="0" applyNumberFormat="1" applyFont="1" applyFill="1" applyBorder="1" applyProtection="1"/>
    <xf numFmtId="177" fontId="14" fillId="7" borderId="17" xfId="0" applyNumberFormat="1" applyFont="1" applyFill="1" applyBorder="1" applyProtection="1"/>
    <xf numFmtId="177" fontId="14" fillId="7" borderId="5" xfId="0" applyNumberFormat="1" applyFont="1" applyFill="1" applyBorder="1" applyProtection="1"/>
    <xf numFmtId="0" fontId="31" fillId="0" borderId="39" xfId="0" applyFont="1" applyBorder="1" applyAlignment="1" applyProtection="1">
      <alignment horizontal="center"/>
    </xf>
    <xf numFmtId="0" fontId="31" fillId="0" borderId="34" xfId="0" applyFont="1" applyBorder="1" applyProtection="1"/>
    <xf numFmtId="0" fontId="32" fillId="0" borderId="32" xfId="0" applyFont="1" applyBorder="1" applyAlignment="1" applyProtection="1">
      <alignment horizontal="center"/>
    </xf>
    <xf numFmtId="0" fontId="31" fillId="0" borderId="32" xfId="0" applyFont="1" applyBorder="1" applyAlignment="1" applyProtection="1">
      <alignment horizontal="center"/>
    </xf>
    <xf numFmtId="177" fontId="31" fillId="0" borderId="39" xfId="0" applyNumberFormat="1" applyFont="1" applyBorder="1" applyAlignment="1" applyProtection="1">
      <alignment horizontal="center"/>
      <protection locked="0"/>
    </xf>
    <xf numFmtId="177" fontId="31" fillId="0" borderId="34" xfId="0" applyNumberFormat="1" applyFont="1" applyBorder="1" applyAlignment="1" applyProtection="1">
      <alignment horizontal="center"/>
      <protection locked="0"/>
    </xf>
    <xf numFmtId="177" fontId="33" fillId="4" borderId="39" xfId="0" applyNumberFormat="1" applyFont="1" applyFill="1" applyBorder="1" applyProtection="1"/>
    <xf numFmtId="177" fontId="33" fillId="5" borderId="34" xfId="0" applyNumberFormat="1" applyFont="1" applyFill="1" applyBorder="1" applyProtection="1"/>
    <xf numFmtId="177" fontId="33" fillId="6" borderId="34" xfId="0" applyNumberFormat="1" applyFont="1" applyFill="1" applyBorder="1" applyProtection="1"/>
    <xf numFmtId="177" fontId="33" fillId="7" borderId="34" xfId="0" applyNumberFormat="1" applyFont="1" applyFill="1" applyBorder="1" applyProtection="1"/>
    <xf numFmtId="177" fontId="33" fillId="7" borderId="35" xfId="0" applyNumberFormat="1" applyFont="1" applyFill="1" applyBorder="1" applyProtection="1"/>
    <xf numFmtId="0" fontId="31" fillId="0" borderId="1" xfId="0" applyFont="1" applyBorder="1" applyAlignment="1" applyProtection="1">
      <alignment horizontal="center"/>
    </xf>
    <xf numFmtId="0" fontId="31" fillId="0" borderId="16" xfId="0" applyFont="1" applyBorder="1" applyAlignment="1" applyProtection="1">
      <alignment horizontal="center"/>
    </xf>
    <xf numFmtId="0" fontId="31" fillId="0" borderId="17" xfId="0" applyFont="1" applyBorder="1" applyProtection="1"/>
    <xf numFmtId="0" fontId="32" fillId="0" borderId="19" xfId="0" applyFont="1" applyBorder="1" applyAlignment="1" applyProtection="1">
      <alignment horizontal="center"/>
    </xf>
    <xf numFmtId="0" fontId="31" fillId="0" borderId="19" xfId="0" applyFont="1" applyBorder="1" applyAlignment="1" applyProtection="1">
      <alignment horizontal="center"/>
    </xf>
    <xf numFmtId="177" fontId="31" fillId="0" borderId="16" xfId="0" applyNumberFormat="1" applyFont="1" applyBorder="1" applyAlignment="1" applyProtection="1">
      <alignment horizontal="center"/>
      <protection locked="0"/>
    </xf>
    <xf numFmtId="177" fontId="31" fillId="0" borderId="17" xfId="0" applyNumberFormat="1" applyFont="1" applyBorder="1" applyAlignment="1" applyProtection="1">
      <alignment horizontal="center"/>
      <protection locked="0"/>
    </xf>
    <xf numFmtId="177" fontId="33" fillId="4" borderId="16" xfId="0" applyNumberFormat="1" applyFont="1" applyFill="1" applyBorder="1" applyProtection="1"/>
    <xf numFmtId="177" fontId="33" fillId="5" borderId="17" xfId="0" applyNumberFormat="1" applyFont="1" applyFill="1" applyBorder="1" applyProtection="1"/>
    <xf numFmtId="177" fontId="33" fillId="6" borderId="17" xfId="0" applyNumberFormat="1" applyFont="1" applyFill="1" applyBorder="1" applyProtection="1"/>
    <xf numFmtId="177" fontId="33" fillId="7" borderId="17" xfId="0" applyNumberFormat="1" applyFont="1" applyFill="1" applyBorder="1" applyProtection="1"/>
    <xf numFmtId="177" fontId="33" fillId="7" borderId="5" xfId="0" applyNumberFormat="1" applyFont="1" applyFill="1" applyBorder="1" applyProtection="1"/>
    <xf numFmtId="0" fontId="3" fillId="0" borderId="10" xfId="0" applyFont="1" applyBorder="1" applyAlignment="1" applyProtection="1">
      <alignment horizontal="center"/>
    </xf>
    <xf numFmtId="0" fontId="3" fillId="0" borderId="10" xfId="0" applyFont="1" applyBorder="1" applyProtection="1"/>
    <xf numFmtId="0" fontId="27" fillId="0" borderId="53" xfId="0" applyFont="1" applyBorder="1" applyAlignment="1" applyProtection="1">
      <alignment horizontal="center"/>
    </xf>
    <xf numFmtId="0" fontId="3" fillId="0" borderId="53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center"/>
    </xf>
    <xf numFmtId="0" fontId="3" fillId="0" borderId="34" xfId="0" applyFont="1" applyBorder="1" applyProtection="1"/>
    <xf numFmtId="0" fontId="27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center"/>
    </xf>
    <xf numFmtId="177" fontId="3" fillId="0" borderId="39" xfId="0" applyNumberFormat="1" applyFont="1" applyBorder="1" applyAlignment="1" applyProtection="1">
      <alignment horizontal="center"/>
      <protection locked="0"/>
    </xf>
    <xf numFmtId="177" fontId="3" fillId="0" borderId="34" xfId="0" applyNumberFormat="1" applyFont="1" applyBorder="1" applyAlignment="1" applyProtection="1">
      <alignment horizontal="center"/>
      <protection locked="0"/>
    </xf>
    <xf numFmtId="177" fontId="0" fillId="4" borderId="39" xfId="0" applyNumberFormat="1" applyFont="1" applyFill="1" applyBorder="1" applyProtection="1"/>
    <xf numFmtId="177" fontId="0" fillId="5" borderId="34" xfId="0" applyNumberFormat="1" applyFont="1" applyFill="1" applyBorder="1" applyProtection="1"/>
    <xf numFmtId="177" fontId="0" fillId="6" borderId="34" xfId="0" applyNumberFormat="1" applyFont="1" applyFill="1" applyBorder="1" applyProtection="1"/>
    <xf numFmtId="177" fontId="0" fillId="7" borderId="34" xfId="0" applyNumberFormat="1" applyFont="1" applyFill="1" applyBorder="1" applyProtection="1"/>
    <xf numFmtId="177" fontId="0" fillId="7" borderId="35" xfId="0" applyNumberFormat="1" applyFont="1" applyFill="1" applyBorder="1" applyProtection="1"/>
    <xf numFmtId="0" fontId="3" fillId="0" borderId="1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3" fillId="0" borderId="17" xfId="0" applyFont="1" applyBorder="1" applyProtection="1"/>
    <xf numFmtId="0" fontId="27" fillId="0" borderId="19" xfId="0" applyFont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/>
    </xf>
    <xf numFmtId="177" fontId="3" fillId="0" borderId="16" xfId="0" applyNumberFormat="1" applyFont="1" applyBorder="1" applyAlignment="1" applyProtection="1">
      <alignment horizontal="center"/>
      <protection locked="0"/>
    </xf>
    <xf numFmtId="177" fontId="3" fillId="0" borderId="17" xfId="0" applyNumberFormat="1" applyFont="1" applyBorder="1" applyAlignment="1" applyProtection="1">
      <alignment horizontal="center"/>
      <protection locked="0"/>
    </xf>
    <xf numFmtId="177" fontId="0" fillId="4" borderId="16" xfId="0" applyNumberFormat="1" applyFont="1" applyFill="1" applyBorder="1" applyProtection="1"/>
    <xf numFmtId="177" fontId="0" fillId="5" borderId="17" xfId="0" applyNumberFormat="1" applyFont="1" applyFill="1" applyBorder="1" applyProtection="1"/>
    <xf numFmtId="177" fontId="0" fillId="6" borderId="17" xfId="0" applyNumberFormat="1" applyFont="1" applyFill="1" applyBorder="1" applyProtection="1"/>
    <xf numFmtId="177" fontId="0" fillId="7" borderId="17" xfId="0" applyNumberFormat="1" applyFont="1" applyFill="1" applyBorder="1" applyProtection="1"/>
    <xf numFmtId="177" fontId="0" fillId="7" borderId="5" xfId="0" applyNumberFormat="1" applyFont="1" applyFill="1" applyBorder="1" applyProtection="1"/>
    <xf numFmtId="0" fontId="10" fillId="0" borderId="39" xfId="0" applyFont="1" applyBorder="1" applyAlignment="1" applyProtection="1">
      <alignment horizontal="center"/>
    </xf>
    <xf numFmtId="0" fontId="10" fillId="0" borderId="34" xfId="0" applyFont="1" applyBorder="1" applyProtection="1"/>
    <xf numFmtId="0" fontId="29" fillId="0" borderId="32" xfId="0" applyFont="1" applyBorder="1" applyAlignment="1" applyProtection="1">
      <alignment horizontal="center"/>
    </xf>
    <xf numFmtId="0" fontId="10" fillId="0" borderId="32" xfId="0" applyFont="1" applyBorder="1" applyAlignment="1" applyProtection="1">
      <alignment horizontal="center"/>
    </xf>
    <xf numFmtId="177" fontId="10" fillId="0" borderId="39" xfId="0" applyNumberFormat="1" applyFont="1" applyBorder="1" applyAlignment="1" applyProtection="1">
      <alignment horizontal="center"/>
      <protection locked="0"/>
    </xf>
    <xf numFmtId="177" fontId="10" fillId="0" borderId="34" xfId="0" applyNumberFormat="1" applyFont="1" applyBorder="1" applyAlignment="1" applyProtection="1">
      <alignment horizontal="center"/>
      <protection locked="0"/>
    </xf>
    <xf numFmtId="177" fontId="11" fillId="4" borderId="39" xfId="0" applyNumberFormat="1" applyFont="1" applyFill="1" applyBorder="1" applyProtection="1"/>
    <xf numFmtId="177" fontId="11" fillId="5" borderId="34" xfId="0" applyNumberFormat="1" applyFont="1" applyFill="1" applyBorder="1" applyProtection="1"/>
    <xf numFmtId="177" fontId="11" fillId="6" borderId="34" xfId="0" applyNumberFormat="1" applyFont="1" applyFill="1" applyBorder="1" applyProtection="1"/>
    <xf numFmtId="177" fontId="11" fillId="7" borderId="34" xfId="0" applyNumberFormat="1" applyFont="1" applyFill="1" applyBorder="1" applyProtection="1"/>
    <xf numFmtId="177" fontId="11" fillId="7" borderId="35" xfId="0" applyNumberFormat="1" applyFont="1" applyFill="1" applyBorder="1" applyProtection="1"/>
    <xf numFmtId="0" fontId="10" fillId="0" borderId="16" xfId="0" applyFont="1" applyBorder="1" applyAlignment="1" applyProtection="1">
      <alignment horizontal="center"/>
    </xf>
    <xf numFmtId="0" fontId="10" fillId="0" borderId="17" xfId="0" applyFont="1" applyBorder="1" applyProtection="1"/>
    <xf numFmtId="0" fontId="29" fillId="0" borderId="19" xfId="0" applyFont="1" applyBorder="1" applyAlignment="1" applyProtection="1">
      <alignment horizontal="center"/>
    </xf>
    <xf numFmtId="0" fontId="10" fillId="0" borderId="19" xfId="0" applyFont="1" applyBorder="1" applyAlignment="1" applyProtection="1">
      <alignment horizontal="center"/>
    </xf>
    <xf numFmtId="177" fontId="10" fillId="0" borderId="16" xfId="0" applyNumberFormat="1" applyFont="1" applyBorder="1" applyAlignment="1" applyProtection="1">
      <alignment horizontal="center"/>
      <protection locked="0"/>
    </xf>
    <xf numFmtId="177" fontId="10" fillId="0" borderId="17" xfId="0" applyNumberFormat="1" applyFont="1" applyBorder="1" applyAlignment="1" applyProtection="1">
      <alignment horizontal="center"/>
      <protection locked="0"/>
    </xf>
    <xf numFmtId="177" fontId="11" fillId="4" borderId="16" xfId="0" applyNumberFormat="1" applyFont="1" applyFill="1" applyBorder="1" applyProtection="1"/>
    <xf numFmtId="177" fontId="11" fillId="5" borderId="17" xfId="0" applyNumberFormat="1" applyFont="1" applyFill="1" applyBorder="1" applyProtection="1"/>
    <xf numFmtId="177" fontId="11" fillId="6" borderId="17" xfId="0" applyNumberFormat="1" applyFont="1" applyFill="1" applyBorder="1" applyProtection="1"/>
    <xf numFmtId="177" fontId="11" fillId="7" borderId="17" xfId="0" applyNumberFormat="1" applyFont="1" applyFill="1" applyBorder="1" applyProtection="1"/>
    <xf numFmtId="177" fontId="11" fillId="7" borderId="5" xfId="0" applyNumberFormat="1" applyFont="1" applyFill="1" applyBorder="1" applyProtection="1"/>
    <xf numFmtId="0" fontId="3" fillId="0" borderId="34" xfId="0" applyFont="1" applyFill="1" applyBorder="1" applyProtection="1"/>
    <xf numFmtId="0" fontId="27" fillId="0" borderId="32" xfId="0" applyFont="1" applyFill="1" applyBorder="1" applyAlignment="1" applyProtection="1">
      <alignment horizontal="center"/>
    </xf>
    <xf numFmtId="0" fontId="3" fillId="0" borderId="32" xfId="0" applyFont="1" applyFill="1" applyBorder="1" applyAlignment="1" applyProtection="1">
      <alignment horizontal="center"/>
    </xf>
    <xf numFmtId="0" fontId="3" fillId="11" borderId="17" xfId="0" applyFont="1" applyFill="1" applyBorder="1" applyProtection="1"/>
    <xf numFmtId="0" fontId="27" fillId="11" borderId="19" xfId="0" applyFont="1" applyFill="1" applyBorder="1" applyAlignment="1" applyProtection="1">
      <alignment horizontal="center"/>
    </xf>
    <xf numFmtId="177" fontId="0" fillId="11" borderId="17" xfId="0" applyNumberFormat="1" applyFont="1" applyFill="1" applyBorder="1" applyProtection="1"/>
    <xf numFmtId="177" fontId="0" fillId="11" borderId="5" xfId="0" applyNumberFormat="1" applyFont="1" applyFill="1" applyBorder="1" applyProtection="1"/>
    <xf numFmtId="0" fontId="10" fillId="0" borderId="1" xfId="0" applyFont="1" applyBorder="1" applyAlignment="1" applyProtection="1">
      <alignment horizontal="center"/>
    </xf>
    <xf numFmtId="176" fontId="3" fillId="0" borderId="55" xfId="0" applyNumberFormat="1" applyFont="1" applyBorder="1" applyAlignment="1" applyProtection="1">
      <alignment horizontal="center"/>
    </xf>
    <xf numFmtId="176" fontId="3" fillId="0" borderId="54" xfId="0" applyNumberFormat="1" applyFont="1" applyBorder="1" applyAlignment="1" applyProtection="1">
      <alignment horizontal="center"/>
    </xf>
    <xf numFmtId="176" fontId="3" fillId="0" borderId="56" xfId="0" applyNumberFormat="1" applyFont="1" applyBorder="1" applyAlignment="1" applyProtection="1">
      <alignment horizontal="center"/>
    </xf>
    <xf numFmtId="176" fontId="3" fillId="2" borderId="57" xfId="0" applyNumberFormat="1" applyFont="1" applyFill="1" applyBorder="1" applyAlignment="1" applyProtection="1">
      <alignment horizontal="center" vertical="center" wrapText="1"/>
    </xf>
    <xf numFmtId="177" fontId="3" fillId="2" borderId="58" xfId="0" applyNumberFormat="1" applyFont="1" applyFill="1" applyBorder="1" applyAlignment="1" applyProtection="1">
      <alignment horizontal="center" vertical="center"/>
    </xf>
    <xf numFmtId="176" fontId="3" fillId="0" borderId="38" xfId="0" applyNumberFormat="1" applyFont="1" applyBorder="1" applyAlignment="1" applyProtection="1">
      <alignment horizontal="center" vertical="center"/>
    </xf>
    <xf numFmtId="176" fontId="3" fillId="3" borderId="57" xfId="0" applyNumberFormat="1" applyFont="1" applyFill="1" applyBorder="1" applyAlignment="1" applyProtection="1">
      <alignment horizontal="center" vertical="center" wrapText="1"/>
    </xf>
    <xf numFmtId="177" fontId="3" fillId="3" borderId="58" xfId="0" applyNumberFormat="1" applyFont="1" applyFill="1" applyBorder="1" applyAlignment="1" applyProtection="1">
      <alignment horizontal="center" vertical="center"/>
    </xf>
    <xf numFmtId="0" fontId="0" fillId="0" borderId="60" xfId="0" applyBorder="1" applyProtection="1"/>
    <xf numFmtId="176" fontId="3" fillId="5" borderId="61" xfId="0" applyNumberFormat="1" applyFont="1" applyFill="1" applyBorder="1" applyAlignment="1" applyProtection="1">
      <alignment horizontal="center" vertical="center" wrapText="1"/>
    </xf>
    <xf numFmtId="177" fontId="0" fillId="5" borderId="62" xfId="0" applyNumberFormat="1" applyFill="1" applyBorder="1" applyAlignment="1" applyProtection="1">
      <alignment horizontal="center" vertical="center"/>
    </xf>
    <xf numFmtId="176" fontId="3" fillId="6" borderId="6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27" fillId="0" borderId="21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176" fontId="3" fillId="2" borderId="36" xfId="0" applyNumberFormat="1" applyFont="1" applyFill="1" applyBorder="1" applyAlignment="1" applyProtection="1">
      <alignment horizontal="center" vertical="center" wrapText="1"/>
    </xf>
    <xf numFmtId="176" fontId="3" fillId="2" borderId="4" xfId="0" applyNumberFormat="1" applyFont="1" applyFill="1" applyBorder="1" applyAlignment="1" applyProtection="1">
      <alignment horizontal="center" vertical="center" wrapText="1"/>
    </xf>
    <xf numFmtId="176" fontId="3" fillId="3" borderId="4" xfId="0" applyNumberFormat="1" applyFont="1" applyFill="1" applyBorder="1" applyAlignment="1" applyProtection="1">
      <alignment horizontal="center" vertical="center" wrapText="1"/>
    </xf>
    <xf numFmtId="176" fontId="5" fillId="4" borderId="36" xfId="0" applyNumberFormat="1" applyFont="1" applyFill="1" applyBorder="1" applyAlignment="1" applyProtection="1">
      <alignment horizontal="center" vertical="center" wrapText="1"/>
    </xf>
    <xf numFmtId="176" fontId="3" fillId="5" borderId="14" xfId="0" applyNumberFormat="1" applyFont="1" applyFill="1" applyBorder="1" applyAlignment="1" applyProtection="1">
      <alignment horizontal="center" vertical="center" wrapText="1"/>
    </xf>
    <xf numFmtId="176" fontId="5" fillId="5" borderId="4" xfId="0" applyNumberFormat="1" applyFont="1" applyFill="1" applyBorder="1" applyAlignment="1" applyProtection="1">
      <alignment horizontal="center" vertical="center" wrapText="1"/>
    </xf>
    <xf numFmtId="176" fontId="3" fillId="6" borderId="4" xfId="0" applyNumberFormat="1" applyFont="1" applyFill="1" applyBorder="1" applyAlignment="1" applyProtection="1">
      <alignment horizontal="center" vertical="center" wrapText="1"/>
    </xf>
    <xf numFmtId="176" fontId="5" fillId="7" borderId="4" xfId="0" applyNumberFormat="1" applyFont="1" applyFill="1" applyBorder="1" applyAlignment="1" applyProtection="1">
      <alignment horizontal="center" vertical="center" wrapText="1"/>
    </xf>
    <xf numFmtId="176" fontId="3" fillId="7" borderId="4" xfId="0" applyNumberFormat="1" applyFont="1" applyFill="1" applyBorder="1" applyAlignment="1" applyProtection="1">
      <alignment horizontal="center" vertical="center" wrapText="1"/>
    </xf>
    <xf numFmtId="176" fontId="3" fillId="7" borderId="6" xfId="0" applyNumberFormat="1" applyFont="1" applyFill="1" applyBorder="1" applyAlignment="1" applyProtection="1">
      <alignment horizontal="center" vertical="center" wrapText="1"/>
    </xf>
    <xf numFmtId="0" fontId="13" fillId="11" borderId="17" xfId="0" applyFont="1" applyFill="1" applyBorder="1" applyProtection="1"/>
    <xf numFmtId="0" fontId="28" fillId="11" borderId="19" xfId="0" applyFont="1" applyFill="1" applyBorder="1" applyAlignment="1" applyProtection="1">
      <alignment horizontal="center"/>
    </xf>
    <xf numFmtId="177" fontId="14" fillId="11" borderId="17" xfId="0" applyNumberFormat="1" applyFont="1" applyFill="1" applyBorder="1" applyProtection="1"/>
    <xf numFmtId="177" fontId="14" fillId="11" borderId="5" xfId="0" applyNumberFormat="1" applyFont="1" applyFill="1" applyBorder="1" applyProtection="1"/>
    <xf numFmtId="0" fontId="31" fillId="11" borderId="17" xfId="0" applyFont="1" applyFill="1" applyBorder="1" applyProtection="1"/>
    <xf numFmtId="0" fontId="32" fillId="11" borderId="19" xfId="0" applyFont="1" applyFill="1" applyBorder="1" applyAlignment="1" applyProtection="1">
      <alignment horizontal="center"/>
    </xf>
    <xf numFmtId="177" fontId="33" fillId="11" borderId="17" xfId="0" applyNumberFormat="1" applyFont="1" applyFill="1" applyBorder="1" applyProtection="1"/>
    <xf numFmtId="177" fontId="33" fillId="11" borderId="5" xfId="0" applyNumberFormat="1" applyFont="1" applyFill="1" applyBorder="1" applyProtection="1"/>
    <xf numFmtId="177" fontId="0" fillId="0" borderId="49" xfId="0" applyNumberFormat="1" applyFill="1" applyBorder="1" applyAlignment="1" applyProtection="1">
      <alignment horizontal="center" vertical="center"/>
    </xf>
    <xf numFmtId="177" fontId="0" fillId="0" borderId="64" xfId="0" applyNumberFormat="1" applyFill="1" applyBorder="1" applyAlignment="1" applyProtection="1">
      <alignment vertical="center"/>
    </xf>
    <xf numFmtId="0" fontId="0" fillId="0" borderId="50" xfId="0" applyFill="1" applyBorder="1" applyProtection="1"/>
    <xf numFmtId="0" fontId="0" fillId="0" borderId="51" xfId="0" applyFill="1" applyBorder="1" applyProtection="1"/>
    <xf numFmtId="176" fontId="3" fillId="0" borderId="52" xfId="0" applyNumberFormat="1" applyFont="1" applyFill="1" applyBorder="1" applyAlignment="1" applyProtection="1">
      <alignment horizontal="center" vertical="center" wrapText="1"/>
    </xf>
    <xf numFmtId="177" fontId="13" fillId="0" borderId="2" xfId="0" applyNumberFormat="1" applyFont="1" applyFill="1" applyBorder="1" applyAlignment="1" applyProtection="1">
      <alignment horizontal="center" vertical="center"/>
      <protection locked="0"/>
    </xf>
    <xf numFmtId="177" fontId="31" fillId="0" borderId="2" xfId="0" applyNumberFormat="1" applyFont="1" applyFill="1" applyBorder="1" applyAlignment="1" applyProtection="1">
      <alignment horizontal="center" vertical="center"/>
      <protection locked="0"/>
    </xf>
    <xf numFmtId="177" fontId="3" fillId="0" borderId="2" xfId="0" applyNumberFormat="1" applyFont="1" applyFill="1" applyBorder="1" applyAlignment="1" applyProtection="1">
      <alignment horizontal="center" vertical="center"/>
      <protection locked="0"/>
    </xf>
    <xf numFmtId="177" fontId="10" fillId="0" borderId="2" xfId="0" applyNumberFormat="1" applyFont="1" applyFill="1" applyBorder="1" applyAlignment="1" applyProtection="1">
      <alignment horizontal="center" vertical="center"/>
      <protection locked="0"/>
    </xf>
    <xf numFmtId="177" fontId="0" fillId="0" borderId="37" xfId="0" applyNumberFormat="1" applyFill="1" applyBorder="1" applyAlignment="1" applyProtection="1">
      <alignment horizontal="center" vertical="center"/>
    </xf>
    <xf numFmtId="177" fontId="0" fillId="0" borderId="52" xfId="0" applyNumberFormat="1" applyFill="1" applyBorder="1" applyAlignment="1" applyProtection="1">
      <alignment horizontal="center" vertical="center"/>
    </xf>
    <xf numFmtId="177" fontId="10" fillId="0" borderId="34" xfId="0" applyNumberFormat="1" applyFont="1" applyFill="1" applyBorder="1" applyAlignment="1" applyProtection="1">
      <alignment horizontal="center" vertical="center"/>
      <protection locked="0"/>
    </xf>
    <xf numFmtId="177" fontId="10" fillId="0" borderId="17" xfId="0" applyNumberFormat="1" applyFont="1" applyFill="1" applyBorder="1" applyAlignment="1" applyProtection="1">
      <alignment horizontal="center" vertical="center"/>
      <protection locked="0"/>
    </xf>
    <xf numFmtId="177" fontId="13" fillId="0" borderId="34" xfId="0" applyNumberFormat="1" applyFont="1" applyFill="1" applyBorder="1" applyAlignment="1" applyProtection="1">
      <alignment horizontal="center" vertical="center"/>
      <protection locked="0"/>
    </xf>
    <xf numFmtId="177" fontId="13" fillId="0" borderId="17" xfId="0" applyNumberFormat="1" applyFont="1" applyFill="1" applyBorder="1" applyAlignment="1" applyProtection="1">
      <alignment horizontal="center" vertical="center"/>
      <protection locked="0"/>
    </xf>
    <xf numFmtId="177" fontId="31" fillId="0" borderId="34" xfId="0" applyNumberFormat="1" applyFont="1" applyFill="1" applyBorder="1" applyAlignment="1" applyProtection="1">
      <alignment horizontal="center" vertical="center"/>
      <protection locked="0"/>
    </xf>
    <xf numFmtId="177" fontId="31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34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14" fillId="11" borderId="16" xfId="0" applyNumberFormat="1" applyFont="1" applyFill="1" applyBorder="1" applyProtection="1"/>
    <xf numFmtId="177" fontId="13" fillId="11" borderId="17" xfId="0" applyNumberFormat="1" applyFont="1" applyFill="1" applyBorder="1" applyAlignment="1" applyProtection="1">
      <alignment horizontal="center" vertical="center"/>
      <protection locked="0"/>
    </xf>
    <xf numFmtId="177" fontId="14" fillId="11" borderId="54" xfId="0" applyNumberFormat="1" applyFont="1" applyFill="1" applyBorder="1" applyProtection="1"/>
    <xf numFmtId="177" fontId="14" fillId="11" borderId="1" xfId="0" applyNumberFormat="1" applyFont="1" applyFill="1" applyBorder="1" applyProtection="1"/>
    <xf numFmtId="177" fontId="13" fillId="11" borderId="2" xfId="0" applyNumberFormat="1" applyFont="1" applyFill="1" applyBorder="1" applyAlignment="1" applyProtection="1">
      <alignment horizontal="center" vertical="center"/>
      <protection locked="0"/>
    </xf>
    <xf numFmtId="177" fontId="33" fillId="11" borderId="16" xfId="0" applyNumberFormat="1" applyFont="1" applyFill="1" applyBorder="1" applyProtection="1"/>
    <xf numFmtId="177" fontId="31" fillId="11" borderId="17" xfId="0" applyNumberFormat="1" applyFont="1" applyFill="1" applyBorder="1" applyAlignment="1" applyProtection="1">
      <alignment horizontal="center" vertical="center"/>
      <protection locked="0"/>
    </xf>
    <xf numFmtId="177" fontId="33" fillId="11" borderId="1" xfId="0" applyNumberFormat="1" applyFont="1" applyFill="1" applyBorder="1" applyProtection="1"/>
    <xf numFmtId="177" fontId="31" fillId="11" borderId="2" xfId="0" applyNumberFormat="1" applyFont="1" applyFill="1" applyBorder="1" applyAlignment="1" applyProtection="1">
      <alignment horizontal="center" vertical="center"/>
      <protection locked="0"/>
    </xf>
    <xf numFmtId="177" fontId="0" fillId="11" borderId="16" xfId="0" applyNumberFormat="1" applyFont="1" applyFill="1" applyBorder="1" applyProtection="1"/>
    <xf numFmtId="177" fontId="3" fillId="11" borderId="17" xfId="0" applyNumberFormat="1" applyFont="1" applyFill="1" applyBorder="1" applyAlignment="1" applyProtection="1">
      <alignment horizontal="center" vertical="center"/>
      <protection locked="0"/>
    </xf>
    <xf numFmtId="177" fontId="0" fillId="11" borderId="1" xfId="0" applyNumberFormat="1" applyFont="1" applyFill="1" applyBorder="1" applyProtection="1"/>
    <xf numFmtId="177" fontId="3" fillId="11" borderId="2" xfId="0" applyNumberFormat="1" applyFont="1" applyFill="1" applyBorder="1" applyAlignment="1" applyProtection="1">
      <alignment horizontal="center" vertical="center"/>
      <protection locked="0"/>
    </xf>
    <xf numFmtId="178" fontId="0" fillId="11" borderId="52" xfId="0" applyNumberFormat="1" applyFill="1" applyBorder="1" applyProtection="1"/>
    <xf numFmtId="178" fontId="0" fillId="11" borderId="51" xfId="0" applyNumberFormat="1" applyFill="1" applyBorder="1" applyProtection="1"/>
    <xf numFmtId="177" fontId="41" fillId="10" borderId="49" xfId="0" applyNumberFormat="1" applyFont="1" applyFill="1" applyBorder="1" applyAlignment="1" applyProtection="1">
      <alignment horizontal="center" vertical="center"/>
    </xf>
    <xf numFmtId="178" fontId="43" fillId="5" borderId="2" xfId="0" applyNumberFormat="1" applyFont="1" applyFill="1" applyBorder="1" applyAlignment="1" applyProtection="1">
      <alignment horizontal="center" vertical="center"/>
    </xf>
    <xf numFmtId="178" fontId="44" fillId="5" borderId="2" xfId="0" applyNumberFormat="1" applyFont="1" applyFill="1" applyBorder="1" applyAlignment="1" applyProtection="1">
      <alignment horizontal="center" vertical="center"/>
    </xf>
    <xf numFmtId="178" fontId="30" fillId="5" borderId="2" xfId="0" applyNumberFormat="1" applyFont="1" applyFill="1" applyBorder="1" applyAlignment="1" applyProtection="1">
      <alignment horizontal="center" vertical="center"/>
    </xf>
    <xf numFmtId="178" fontId="45" fillId="5" borderId="2" xfId="0" applyNumberFormat="1" applyFont="1" applyFill="1" applyBorder="1" applyAlignment="1" applyProtection="1">
      <alignment horizontal="center" vertical="center"/>
    </xf>
    <xf numFmtId="178" fontId="30" fillId="5" borderId="7" xfId="0" applyNumberFormat="1" applyFont="1" applyFill="1" applyBorder="1" applyAlignment="1" applyProtection="1">
      <alignment horizontal="center" vertical="center"/>
    </xf>
    <xf numFmtId="178" fontId="43" fillId="6" borderId="2" xfId="0" applyNumberFormat="1" applyFont="1" applyFill="1" applyBorder="1" applyAlignment="1" applyProtection="1">
      <alignment horizontal="center" vertical="center"/>
    </xf>
    <xf numFmtId="178" fontId="44" fillId="6" borderId="2" xfId="0" applyNumberFormat="1" applyFont="1" applyFill="1" applyBorder="1" applyAlignment="1" applyProtection="1">
      <alignment horizontal="center" vertical="center"/>
    </xf>
    <xf numFmtId="178" fontId="30" fillId="6" borderId="2" xfId="0" applyNumberFormat="1" applyFont="1" applyFill="1" applyBorder="1" applyAlignment="1" applyProtection="1">
      <alignment horizontal="center" vertical="center"/>
    </xf>
    <xf numFmtId="177" fontId="30" fillId="8" borderId="2" xfId="0" applyNumberFormat="1" applyFont="1" applyFill="1" applyBorder="1" applyAlignment="1" applyProtection="1">
      <alignment horizontal="center" vertical="center"/>
    </xf>
    <xf numFmtId="178" fontId="30" fillId="0" borderId="2" xfId="0" applyNumberFormat="1" applyFont="1" applyBorder="1" applyAlignment="1" applyProtection="1">
      <alignment horizontal="center" vertical="center"/>
    </xf>
    <xf numFmtId="178" fontId="30" fillId="0" borderId="8" xfId="0" applyNumberFormat="1" applyFont="1" applyBorder="1" applyAlignment="1" applyProtection="1">
      <alignment horizontal="center" vertical="center"/>
    </xf>
    <xf numFmtId="178" fontId="30" fillId="0" borderId="7" xfId="0" applyNumberFormat="1" applyFont="1" applyBorder="1" applyAlignment="1" applyProtection="1">
      <alignment horizontal="center" vertical="center"/>
    </xf>
    <xf numFmtId="0" fontId="0" fillId="0" borderId="49" xfId="0" quotePrefix="1" applyFill="1" applyBorder="1" applyAlignment="1" applyProtection="1">
      <alignment horizontal="center" vertical="center"/>
    </xf>
    <xf numFmtId="0" fontId="4" fillId="6" borderId="7" xfId="0" applyFont="1" applyFill="1" applyBorder="1" applyAlignment="1" applyProtection="1">
      <alignment horizontal="center"/>
    </xf>
    <xf numFmtId="0" fontId="4" fillId="6" borderId="53" xfId="0" quotePrefix="1" applyFont="1" applyFill="1" applyBorder="1" applyAlignment="1" applyProtection="1">
      <alignment horizontal="center"/>
    </xf>
    <xf numFmtId="176" fontId="3" fillId="6" borderId="21" xfId="0" applyNumberFormat="1" applyFont="1" applyFill="1" applyBorder="1" applyAlignment="1" applyProtection="1">
      <alignment horizontal="center" vertical="center" wrapText="1"/>
    </xf>
    <xf numFmtId="177" fontId="14" fillId="6" borderId="32" xfId="0" applyNumberFormat="1" applyFont="1" applyFill="1" applyBorder="1" applyProtection="1"/>
    <xf numFmtId="177" fontId="14" fillId="6" borderId="7" xfId="0" applyNumberFormat="1" applyFont="1" applyFill="1" applyBorder="1" applyProtection="1"/>
    <xf numFmtId="177" fontId="14" fillId="11" borderId="19" xfId="0" applyNumberFormat="1" applyFont="1" applyFill="1" applyBorder="1" applyProtection="1"/>
    <xf numFmtId="177" fontId="14" fillId="11" borderId="7" xfId="0" applyNumberFormat="1" applyFont="1" applyFill="1" applyBorder="1" applyProtection="1"/>
    <xf numFmtId="177" fontId="14" fillId="6" borderId="19" xfId="0" applyNumberFormat="1" applyFont="1" applyFill="1" applyBorder="1" applyProtection="1"/>
    <xf numFmtId="177" fontId="33" fillId="6" borderId="32" xfId="0" applyNumberFormat="1" applyFont="1" applyFill="1" applyBorder="1" applyProtection="1"/>
    <xf numFmtId="177" fontId="33" fillId="6" borderId="7" xfId="0" applyNumberFormat="1" applyFont="1" applyFill="1" applyBorder="1" applyProtection="1"/>
    <xf numFmtId="177" fontId="33" fillId="11" borderId="19" xfId="0" applyNumberFormat="1" applyFont="1" applyFill="1" applyBorder="1" applyProtection="1"/>
    <xf numFmtId="177" fontId="33" fillId="11" borderId="7" xfId="0" applyNumberFormat="1" applyFont="1" applyFill="1" applyBorder="1" applyProtection="1"/>
    <xf numFmtId="177" fontId="33" fillId="6" borderId="19" xfId="0" applyNumberFormat="1" applyFont="1" applyFill="1" applyBorder="1" applyProtection="1"/>
    <xf numFmtId="177" fontId="0" fillId="6" borderId="32" xfId="0" applyNumberFormat="1" applyFont="1" applyFill="1" applyBorder="1" applyProtection="1"/>
    <xf numFmtId="177" fontId="0" fillId="6" borderId="7" xfId="0" applyNumberFormat="1" applyFont="1" applyFill="1" applyBorder="1" applyProtection="1"/>
    <xf numFmtId="177" fontId="0" fillId="11" borderId="19" xfId="0" applyNumberFormat="1" applyFont="1" applyFill="1" applyBorder="1" applyProtection="1"/>
    <xf numFmtId="177" fontId="0" fillId="11" borderId="7" xfId="0" applyNumberFormat="1" applyFont="1" applyFill="1" applyBorder="1" applyProtection="1"/>
    <xf numFmtId="177" fontId="0" fillId="6" borderId="19" xfId="0" applyNumberFormat="1" applyFont="1" applyFill="1" applyBorder="1" applyProtection="1"/>
    <xf numFmtId="177" fontId="11" fillId="6" borderId="32" xfId="0" applyNumberFormat="1" applyFont="1" applyFill="1" applyBorder="1" applyProtection="1"/>
    <xf numFmtId="177" fontId="11" fillId="6" borderId="19" xfId="0" applyNumberFormat="1" applyFont="1" applyFill="1" applyBorder="1" applyProtection="1"/>
    <xf numFmtId="177" fontId="11" fillId="6" borderId="7" xfId="0" applyNumberFormat="1" applyFont="1" applyFill="1" applyBorder="1" applyProtection="1"/>
    <xf numFmtId="177" fontId="0" fillId="6" borderId="63" xfId="0" applyNumberFormat="1" applyFill="1" applyBorder="1" applyAlignment="1" applyProtection="1">
      <alignment horizontal="center" vertical="center"/>
    </xf>
    <xf numFmtId="0" fontId="4" fillId="7" borderId="67" xfId="0" applyFont="1" applyFill="1" applyBorder="1" applyAlignment="1" applyProtection="1">
      <alignment horizontal="center"/>
    </xf>
    <xf numFmtId="0" fontId="4" fillId="10" borderId="48" xfId="0" applyFont="1" applyFill="1" applyBorder="1" applyAlignment="1" applyProtection="1">
      <alignment horizontal="center"/>
    </xf>
    <xf numFmtId="176" fontId="5" fillId="7" borderId="36" xfId="0" applyNumberFormat="1" applyFont="1" applyFill="1" applyBorder="1" applyAlignment="1" applyProtection="1">
      <alignment horizontal="center" vertical="center" wrapText="1"/>
    </xf>
    <xf numFmtId="177" fontId="14" fillId="0" borderId="39" xfId="0" applyNumberFormat="1" applyFont="1" applyBorder="1" applyProtection="1">
      <protection locked="0"/>
    </xf>
    <xf numFmtId="177" fontId="14" fillId="0" borderId="1" xfId="0" applyNumberFormat="1" applyFont="1" applyBorder="1" applyProtection="1">
      <protection locked="0"/>
    </xf>
    <xf numFmtId="177" fontId="11" fillId="0" borderId="16" xfId="0" applyNumberFormat="1" applyFont="1" applyBorder="1" applyProtection="1">
      <protection locked="0"/>
    </xf>
    <xf numFmtId="176" fontId="3" fillId="7" borderId="55" xfId="0" applyNumberFormat="1" applyFont="1" applyFill="1" applyBorder="1" applyAlignment="1" applyProtection="1">
      <alignment horizontal="center" vertical="center" wrapText="1"/>
    </xf>
    <xf numFmtId="177" fontId="0" fillId="7" borderId="58" xfId="0" applyNumberFormat="1" applyFill="1" applyBorder="1" applyAlignment="1" applyProtection="1">
      <alignment horizontal="center" vertical="center"/>
    </xf>
    <xf numFmtId="176" fontId="3" fillId="7" borderId="57" xfId="0" applyNumberFormat="1" applyFont="1" applyFill="1" applyBorder="1" applyAlignment="1" applyProtection="1">
      <alignment horizontal="center" vertical="center" wrapText="1"/>
    </xf>
    <xf numFmtId="177" fontId="0" fillId="7" borderId="65" xfId="0" applyNumberFormat="1" applyFill="1" applyBorder="1" applyAlignment="1" applyProtection="1">
      <alignment horizontal="center" vertical="center"/>
    </xf>
    <xf numFmtId="0" fontId="0" fillId="5" borderId="2" xfId="0" applyFont="1" applyFill="1" applyBorder="1" applyAlignment="1" applyProtection="1">
      <alignment horizontal="center" vertical="center" wrapText="1"/>
    </xf>
    <xf numFmtId="0" fontId="0" fillId="6" borderId="0" xfId="0" applyFont="1" applyFill="1" applyAlignment="1" applyProtection="1">
      <alignment horizontal="center" vertical="center" wrapText="1"/>
    </xf>
    <xf numFmtId="0" fontId="8" fillId="0" borderId="27" xfId="1" applyFont="1" applyFill="1" applyBorder="1" applyAlignment="1">
      <alignment horizontal="center" vertical="center" wrapText="1"/>
    </xf>
    <xf numFmtId="0" fontId="52" fillId="0" borderId="0" xfId="6" applyFont="1" applyFill="1" applyBorder="1" applyAlignment="1" applyProtection="1">
      <alignment horizontal="center" vertical="center"/>
      <protection locked="0"/>
    </xf>
    <xf numFmtId="0" fontId="52" fillId="0" borderId="0" xfId="6" applyFont="1" applyAlignment="1" applyProtection="1">
      <alignment vertical="center"/>
      <protection locked="0"/>
    </xf>
    <xf numFmtId="0" fontId="53" fillId="0" borderId="0" xfId="6" applyFont="1" applyAlignment="1" applyProtection="1">
      <protection locked="0"/>
    </xf>
    <xf numFmtId="0" fontId="53" fillId="0" borderId="0" xfId="6" applyFont="1" applyAlignment="1" applyProtection="1">
      <alignment vertical="center"/>
      <protection locked="0"/>
    </xf>
    <xf numFmtId="0" fontId="52" fillId="0" borderId="2" xfId="6" applyFont="1" applyFill="1" applyBorder="1" applyAlignment="1" applyProtection="1">
      <alignment horizontal="center" vertical="center"/>
      <protection locked="0"/>
    </xf>
    <xf numFmtId="0" fontId="68" fillId="0" borderId="0" xfId="1" applyFont="1" applyFill="1" applyBorder="1" applyAlignment="1">
      <alignment horizontal="center" vertical="center"/>
    </xf>
    <xf numFmtId="0" fontId="17" fillId="0" borderId="0" xfId="0" applyFont="1"/>
    <xf numFmtId="0" fontId="9" fillId="0" borderId="0" xfId="8" applyFill="1" applyBorder="1" applyAlignment="1">
      <alignment horizontal="left" vertical="top"/>
    </xf>
    <xf numFmtId="0" fontId="22" fillId="0" borderId="0" xfId="1" applyFont="1" applyFill="1" applyBorder="1" applyAlignment="1">
      <alignment horizontal="center" vertical="center"/>
    </xf>
    <xf numFmtId="0" fontId="69" fillId="0" borderId="28" xfId="1" applyFont="1" applyFill="1" applyBorder="1" applyAlignment="1">
      <alignment horizontal="center" vertical="center" wrapText="1"/>
    </xf>
    <xf numFmtId="0" fontId="22" fillId="0" borderId="28" xfId="1" applyFont="1" applyFill="1" applyBorder="1" applyAlignment="1">
      <alignment horizontal="center" vertical="center" wrapText="1"/>
    </xf>
    <xf numFmtId="1" fontId="70" fillId="0" borderId="28" xfId="1" applyNumberFormat="1" applyFont="1" applyFill="1" applyBorder="1" applyAlignment="1">
      <alignment horizontal="center" vertical="center" shrinkToFit="1"/>
    </xf>
    <xf numFmtId="0" fontId="69" fillId="0" borderId="30" xfId="0" applyFont="1" applyFill="1" applyBorder="1" applyAlignment="1">
      <alignment horizontal="center" vertical="center" wrapText="1"/>
    </xf>
    <xf numFmtId="0" fontId="69" fillId="0" borderId="28" xfId="0" applyFont="1" applyFill="1" applyBorder="1" applyAlignment="1">
      <alignment horizontal="center" vertical="center" wrapText="1"/>
    </xf>
    <xf numFmtId="1" fontId="70" fillId="0" borderId="30" xfId="0" applyNumberFormat="1" applyFont="1" applyFill="1" applyBorder="1" applyAlignment="1">
      <alignment horizontal="center" vertical="center" shrinkToFit="1"/>
    </xf>
    <xf numFmtId="1" fontId="70" fillId="0" borderId="28" xfId="0" applyNumberFormat="1" applyFont="1" applyFill="1" applyBorder="1" applyAlignment="1">
      <alignment horizontal="center" vertical="center" shrinkToFit="1"/>
    </xf>
    <xf numFmtId="0" fontId="69" fillId="0" borderId="27" xfId="0" applyFont="1" applyFill="1" applyBorder="1" applyAlignment="1">
      <alignment horizontal="center" vertical="center" wrapText="1"/>
    </xf>
    <xf numFmtId="0" fontId="69" fillId="0" borderId="2" xfId="0" applyFont="1" applyFill="1" applyBorder="1" applyAlignment="1">
      <alignment horizontal="center" vertical="center" wrapText="1"/>
    </xf>
    <xf numFmtId="0" fontId="18" fillId="0" borderId="29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6" fillId="0" borderId="7" xfId="1" applyFont="1" applyFill="1" applyBorder="1" applyAlignment="1">
      <alignment horizontal="center" vertical="center" wrapText="1"/>
    </xf>
    <xf numFmtId="1" fontId="22" fillId="0" borderId="0" xfId="1" applyNumberFormat="1" applyFont="1" applyFill="1" applyBorder="1" applyAlignment="1">
      <alignment horizontal="center" vertical="center" wrapText="1" shrinkToFit="1"/>
    </xf>
    <xf numFmtId="0" fontId="69" fillId="0" borderId="29" xfId="0" applyFont="1" applyFill="1" applyBorder="1" applyAlignment="1">
      <alignment horizontal="center" vertical="center" wrapText="1"/>
    </xf>
    <xf numFmtId="1" fontId="22" fillId="0" borderId="7" xfId="1" applyNumberFormat="1" applyFont="1" applyFill="1" applyBorder="1" applyAlignment="1">
      <alignment horizontal="center" vertical="center" wrapText="1" shrinkToFit="1"/>
    </xf>
    <xf numFmtId="0" fontId="18" fillId="0" borderId="7" xfId="1" applyFont="1" applyFill="1" applyBorder="1" applyAlignment="1">
      <alignment horizontal="center" vertical="center" wrapText="1"/>
    </xf>
    <xf numFmtId="0" fontId="0" fillId="0" borderId="0" xfId="0" applyBorder="1"/>
    <xf numFmtId="0" fontId="8" fillId="0" borderId="0" xfId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0" fillId="0" borderId="0" xfId="0" applyFill="1" applyBorder="1"/>
    <xf numFmtId="0" fontId="25" fillId="0" borderId="2" xfId="1" applyFont="1" applyFill="1" applyBorder="1" applyAlignment="1">
      <alignment horizontal="center" vertical="center" wrapText="1"/>
    </xf>
    <xf numFmtId="0" fontId="71" fillId="0" borderId="0" xfId="2" applyFont="1" applyBorder="1" applyAlignment="1" applyProtection="1">
      <alignment vertical="center"/>
      <protection locked="0"/>
    </xf>
    <xf numFmtId="0" fontId="17" fillId="0" borderId="0" xfId="2" applyProtection="1">
      <protection locked="0"/>
    </xf>
    <xf numFmtId="0" fontId="8" fillId="0" borderId="0" xfId="2" applyFont="1" applyProtection="1">
      <protection locked="0"/>
    </xf>
    <xf numFmtId="0" fontId="17" fillId="0" borderId="0" xfId="2" applyFill="1" applyProtection="1">
      <protection locked="0"/>
    </xf>
    <xf numFmtId="0" fontId="76" fillId="0" borderId="0" xfId="2" applyFont="1" applyFill="1" applyProtection="1">
      <protection locked="0"/>
    </xf>
    <xf numFmtId="0" fontId="75" fillId="12" borderId="4" xfId="2" applyFont="1" applyFill="1" applyBorder="1" applyAlignment="1" applyProtection="1">
      <alignment horizontal="center" vertical="center" wrapText="1"/>
      <protection locked="0"/>
    </xf>
    <xf numFmtId="0" fontId="26" fillId="12" borderId="4" xfId="2" applyFont="1" applyFill="1" applyBorder="1" applyAlignment="1" applyProtection="1">
      <alignment horizontal="center" vertical="center" wrapText="1"/>
      <protection locked="0"/>
    </xf>
    <xf numFmtId="0" fontId="77" fillId="0" borderId="2" xfId="2" applyFont="1" applyBorder="1" applyAlignment="1" applyProtection="1">
      <alignment horizontal="center" vertical="center" wrapText="1"/>
      <protection locked="0"/>
    </xf>
    <xf numFmtId="0" fontId="17" fillId="0" borderId="2" xfId="2" applyFont="1" applyBorder="1" applyAlignment="1" applyProtection="1">
      <alignment horizontal="center" vertical="center" wrapText="1"/>
      <protection locked="0"/>
    </xf>
    <xf numFmtId="0" fontId="52" fillId="0" borderId="2" xfId="2" applyFont="1" applyBorder="1" applyAlignment="1" applyProtection="1">
      <alignment horizontal="center" vertical="center" wrapText="1"/>
      <protection locked="0"/>
    </xf>
    <xf numFmtId="0" fontId="16" fillId="0" borderId="0" xfId="2" applyFont="1" applyProtection="1">
      <protection locked="0"/>
    </xf>
    <xf numFmtId="0" fontId="17" fillId="0" borderId="2" xfId="2" applyFont="1" applyBorder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26" fillId="12" borderId="2" xfId="2" applyFont="1" applyFill="1" applyBorder="1" applyAlignment="1" applyProtection="1">
      <alignment horizontal="center" vertical="center" wrapText="1"/>
    </xf>
    <xf numFmtId="0" fontId="79" fillId="0" borderId="0" xfId="2" applyFont="1" applyFill="1" applyAlignment="1" applyProtection="1">
      <alignment horizontal="left" vertical="center"/>
      <protection locked="0"/>
    </xf>
    <xf numFmtId="0" fontId="80" fillId="0" borderId="0" xfId="2" applyFont="1" applyFill="1" applyAlignment="1" applyProtection="1">
      <alignment horizontal="left" vertical="center"/>
      <protection locked="0"/>
    </xf>
    <xf numFmtId="0" fontId="80" fillId="0" borderId="0" xfId="2" applyFont="1" applyAlignment="1" applyProtection="1">
      <alignment horizontal="left"/>
      <protection locked="0"/>
    </xf>
    <xf numFmtId="0" fontId="65" fillId="0" borderId="0" xfId="2" applyFont="1" applyProtection="1">
      <protection locked="0"/>
    </xf>
    <xf numFmtId="0" fontId="81" fillId="0" borderId="0" xfId="2" applyFont="1" applyProtection="1">
      <protection locked="0"/>
    </xf>
    <xf numFmtId="0" fontId="53" fillId="8" borderId="2" xfId="6" applyFont="1" applyFill="1" applyBorder="1" applyAlignment="1" applyProtection="1">
      <alignment horizontal="center" vertical="center"/>
      <protection locked="0"/>
    </xf>
    <xf numFmtId="0" fontId="53" fillId="8" borderId="10" xfId="6" applyFont="1" applyFill="1" applyBorder="1" applyAlignment="1" applyProtection="1">
      <alignment horizontal="center" vertical="center"/>
      <protection locked="0"/>
    </xf>
    <xf numFmtId="1" fontId="69" fillId="0" borderId="28" xfId="0" applyNumberFormat="1" applyFont="1" applyFill="1" applyBorder="1" applyAlignment="1">
      <alignment horizontal="center" vertical="center" shrinkToFit="1"/>
    </xf>
    <xf numFmtId="0" fontId="17" fillId="14" borderId="2" xfId="7" applyFont="1" applyFill="1" applyBorder="1" applyAlignment="1" applyProtection="1">
      <alignment horizontal="center" vertical="center"/>
      <protection locked="0"/>
    </xf>
    <xf numFmtId="0" fontId="56" fillId="14" borderId="2" xfId="7" applyFont="1" applyFill="1" applyBorder="1" applyAlignment="1" applyProtection="1">
      <alignment horizontal="center" vertical="center"/>
      <protection locked="0"/>
    </xf>
    <xf numFmtId="0" fontId="17" fillId="14" borderId="43" xfId="7" applyFont="1" applyFill="1" applyBorder="1" applyAlignment="1" applyProtection="1">
      <alignment horizontal="center" vertical="center"/>
      <protection locked="0"/>
    </xf>
    <xf numFmtId="176" fontId="5" fillId="15" borderId="5" xfId="0" applyNumberFormat="1" applyFont="1" applyFill="1" applyBorder="1" applyAlignment="1">
      <alignment horizontal="center" vertical="center" wrapText="1"/>
    </xf>
    <xf numFmtId="0" fontId="4" fillId="15" borderId="2" xfId="0" applyFont="1" applyFill="1" applyBorder="1" applyAlignment="1" applyProtection="1">
      <alignment horizontal="center"/>
    </xf>
    <xf numFmtId="177" fontId="3" fillId="15" borderId="59" xfId="0" applyNumberFormat="1" applyFont="1" applyFill="1" applyBorder="1" applyAlignment="1" applyProtection="1">
      <alignment horizontal="center" vertical="center"/>
    </xf>
    <xf numFmtId="177" fontId="13" fillId="2" borderId="34" xfId="0" applyNumberFormat="1" applyFont="1" applyFill="1" applyBorder="1" applyAlignment="1" applyProtection="1">
      <alignment horizontal="center"/>
    </xf>
    <xf numFmtId="177" fontId="13" fillId="2" borderId="2" xfId="0" applyNumberFormat="1" applyFont="1" applyFill="1" applyBorder="1" applyAlignment="1" applyProtection="1">
      <alignment horizontal="center"/>
    </xf>
    <xf numFmtId="177" fontId="13" fillId="2" borderId="17" xfId="0" applyNumberFormat="1" applyFont="1" applyFill="1" applyBorder="1" applyAlignment="1" applyProtection="1">
      <alignment horizontal="center"/>
    </xf>
    <xf numFmtId="177" fontId="31" fillId="2" borderId="34" xfId="0" applyNumberFormat="1" applyFont="1" applyFill="1" applyBorder="1" applyAlignment="1" applyProtection="1">
      <alignment horizontal="center"/>
    </xf>
    <xf numFmtId="177" fontId="31" fillId="2" borderId="2" xfId="0" applyNumberFormat="1" applyFont="1" applyFill="1" applyBorder="1" applyAlignment="1" applyProtection="1">
      <alignment horizontal="center"/>
    </xf>
    <xf numFmtId="177" fontId="31" fillId="2" borderId="17" xfId="0" applyNumberFormat="1" applyFont="1" applyFill="1" applyBorder="1" applyAlignment="1" applyProtection="1">
      <alignment horizontal="center"/>
    </xf>
    <xf numFmtId="177" fontId="3" fillId="2" borderId="34" xfId="0" applyNumberFormat="1" applyFont="1" applyFill="1" applyBorder="1" applyAlignment="1" applyProtection="1">
      <alignment horizontal="center"/>
    </xf>
    <xf numFmtId="177" fontId="3" fillId="2" borderId="2" xfId="0" applyNumberFormat="1" applyFont="1" applyFill="1" applyBorder="1" applyAlignment="1" applyProtection="1">
      <alignment horizontal="center"/>
    </xf>
    <xf numFmtId="177" fontId="3" fillId="2" borderId="17" xfId="0" applyNumberFormat="1" applyFont="1" applyFill="1" applyBorder="1" applyAlignment="1" applyProtection="1">
      <alignment horizontal="center"/>
    </xf>
    <xf numFmtId="177" fontId="10" fillId="2" borderId="34" xfId="0" applyNumberFormat="1" applyFont="1" applyFill="1" applyBorder="1" applyAlignment="1" applyProtection="1">
      <alignment horizontal="center"/>
    </xf>
    <xf numFmtId="177" fontId="10" fillId="2" borderId="17" xfId="0" applyNumberFormat="1" applyFont="1" applyFill="1" applyBorder="1" applyAlignment="1" applyProtection="1">
      <alignment horizontal="center"/>
    </xf>
    <xf numFmtId="177" fontId="10" fillId="2" borderId="2" xfId="0" applyNumberFormat="1" applyFont="1" applyFill="1" applyBorder="1" applyAlignment="1" applyProtection="1">
      <alignment horizontal="center"/>
    </xf>
    <xf numFmtId="177" fontId="13" fillId="3" borderId="34" xfId="0" applyNumberFormat="1" applyFont="1" applyFill="1" applyBorder="1" applyAlignment="1" applyProtection="1">
      <alignment horizontal="center"/>
    </xf>
    <xf numFmtId="177" fontId="13" fillId="3" borderId="2" xfId="0" applyNumberFormat="1" applyFont="1" applyFill="1" applyBorder="1" applyAlignment="1" applyProtection="1">
      <alignment horizontal="center"/>
    </xf>
    <xf numFmtId="177" fontId="13" fillId="3" borderId="17" xfId="0" applyNumberFormat="1" applyFont="1" applyFill="1" applyBorder="1" applyAlignment="1" applyProtection="1">
      <alignment horizontal="center"/>
    </xf>
    <xf numFmtId="177" fontId="31" fillId="3" borderId="34" xfId="0" applyNumberFormat="1" applyFont="1" applyFill="1" applyBorder="1" applyAlignment="1" applyProtection="1">
      <alignment horizontal="center"/>
    </xf>
    <xf numFmtId="177" fontId="31" fillId="3" borderId="2" xfId="0" applyNumberFormat="1" applyFont="1" applyFill="1" applyBorder="1" applyAlignment="1" applyProtection="1">
      <alignment horizontal="center"/>
    </xf>
    <xf numFmtId="177" fontId="31" fillId="3" borderId="17" xfId="0" applyNumberFormat="1" applyFont="1" applyFill="1" applyBorder="1" applyAlignment="1" applyProtection="1">
      <alignment horizontal="center"/>
    </xf>
    <xf numFmtId="177" fontId="3" fillId="3" borderId="34" xfId="0" applyNumberFormat="1" applyFont="1" applyFill="1" applyBorder="1" applyAlignment="1" applyProtection="1">
      <alignment horizontal="center"/>
    </xf>
    <xf numFmtId="177" fontId="3" fillId="3" borderId="2" xfId="0" applyNumberFormat="1" applyFont="1" applyFill="1" applyBorder="1" applyAlignment="1" applyProtection="1">
      <alignment horizontal="center"/>
    </xf>
    <xf numFmtId="177" fontId="3" fillId="3" borderId="17" xfId="0" applyNumberFormat="1" applyFont="1" applyFill="1" applyBorder="1" applyAlignment="1" applyProtection="1">
      <alignment horizontal="center"/>
    </xf>
    <xf numFmtId="177" fontId="10" fillId="3" borderId="34" xfId="0" applyNumberFormat="1" applyFont="1" applyFill="1" applyBorder="1" applyAlignment="1" applyProtection="1">
      <alignment horizontal="center"/>
    </xf>
    <xf numFmtId="177" fontId="10" fillId="3" borderId="17" xfId="0" applyNumberFormat="1" applyFont="1" applyFill="1" applyBorder="1" applyAlignment="1" applyProtection="1">
      <alignment horizontal="center"/>
    </xf>
    <xf numFmtId="177" fontId="10" fillId="3" borderId="2" xfId="0" applyNumberFormat="1" applyFont="1" applyFill="1" applyBorder="1" applyAlignment="1" applyProtection="1">
      <alignment horizontal="center"/>
    </xf>
    <xf numFmtId="177" fontId="13" fillId="15" borderId="35" xfId="0" applyNumberFormat="1" applyFont="1" applyFill="1" applyBorder="1" applyAlignment="1" applyProtection="1">
      <alignment horizontal="center"/>
    </xf>
    <xf numFmtId="177" fontId="13" fillId="15" borderId="3" xfId="0" applyNumberFormat="1" applyFont="1" applyFill="1" applyBorder="1" applyAlignment="1" applyProtection="1">
      <alignment horizontal="center"/>
    </xf>
    <xf numFmtId="177" fontId="13" fillId="15" borderId="5" xfId="0" applyNumberFormat="1" applyFont="1" applyFill="1" applyBorder="1" applyAlignment="1" applyProtection="1">
      <alignment horizontal="center"/>
    </xf>
    <xf numFmtId="177" fontId="31" fillId="15" borderId="35" xfId="0" applyNumberFormat="1" applyFont="1" applyFill="1" applyBorder="1" applyAlignment="1" applyProtection="1">
      <alignment horizontal="center"/>
    </xf>
    <xf numFmtId="177" fontId="31" fillId="15" borderId="3" xfId="0" applyNumberFormat="1" applyFont="1" applyFill="1" applyBorder="1" applyAlignment="1" applyProtection="1">
      <alignment horizontal="center"/>
    </xf>
    <xf numFmtId="177" fontId="31" fillId="15" borderId="5" xfId="0" applyNumberFormat="1" applyFont="1" applyFill="1" applyBorder="1" applyAlignment="1" applyProtection="1">
      <alignment horizontal="center"/>
    </xf>
    <xf numFmtId="177" fontId="3" fillId="15" borderId="35" xfId="0" applyNumberFormat="1" applyFont="1" applyFill="1" applyBorder="1" applyAlignment="1" applyProtection="1">
      <alignment horizontal="center"/>
    </xf>
    <xf numFmtId="177" fontId="3" fillId="15" borderId="3" xfId="0" applyNumberFormat="1" applyFont="1" applyFill="1" applyBorder="1" applyAlignment="1" applyProtection="1">
      <alignment horizontal="center"/>
    </xf>
    <xf numFmtId="177" fontId="3" fillId="15" borderId="5" xfId="0" applyNumberFormat="1" applyFont="1" applyFill="1" applyBorder="1" applyAlignment="1" applyProtection="1">
      <alignment horizontal="center"/>
    </xf>
    <xf numFmtId="177" fontId="10" fillId="15" borderId="35" xfId="0" applyNumberFormat="1" applyFont="1" applyFill="1" applyBorder="1" applyAlignment="1" applyProtection="1">
      <alignment horizontal="center"/>
    </xf>
    <xf numFmtId="177" fontId="10" fillId="15" borderId="5" xfId="0" applyNumberFormat="1" applyFont="1" applyFill="1" applyBorder="1" applyAlignment="1" applyProtection="1">
      <alignment horizontal="center"/>
    </xf>
    <xf numFmtId="177" fontId="10" fillId="15" borderId="3" xfId="0" applyNumberFormat="1" applyFont="1" applyFill="1" applyBorder="1" applyAlignment="1" applyProtection="1">
      <alignment horizontal="center"/>
    </xf>
    <xf numFmtId="177" fontId="14" fillId="0" borderId="1" xfId="0" applyNumberFormat="1" applyFont="1" applyFill="1" applyBorder="1" applyProtection="1">
      <protection locked="0"/>
    </xf>
    <xf numFmtId="177" fontId="14" fillId="0" borderId="16" xfId="0" applyNumberFormat="1" applyFont="1" applyFill="1" applyBorder="1" applyProtection="1">
      <protection locked="0"/>
    </xf>
    <xf numFmtId="177" fontId="14" fillId="0" borderId="39" xfId="0" applyNumberFormat="1" applyFont="1" applyFill="1" applyBorder="1" applyProtection="1">
      <protection locked="0"/>
    </xf>
    <xf numFmtId="177" fontId="33" fillId="0" borderId="39" xfId="0" applyNumberFormat="1" applyFont="1" applyFill="1" applyBorder="1" applyProtection="1">
      <protection locked="0"/>
    </xf>
    <xf numFmtId="177" fontId="33" fillId="0" borderId="1" xfId="0" applyNumberFormat="1" applyFont="1" applyFill="1" applyBorder="1" applyProtection="1">
      <protection locked="0"/>
    </xf>
    <xf numFmtId="177" fontId="33" fillId="0" borderId="16" xfId="0" applyNumberFormat="1" applyFont="1" applyFill="1" applyBorder="1" applyProtection="1">
      <protection locked="0"/>
    </xf>
    <xf numFmtId="177" fontId="0" fillId="0" borderId="39" xfId="0" applyNumberFormat="1" applyFont="1" applyFill="1" applyBorder="1" applyProtection="1">
      <protection locked="0"/>
    </xf>
    <xf numFmtId="177" fontId="0" fillId="0" borderId="1" xfId="0" applyNumberFormat="1" applyFont="1" applyFill="1" applyBorder="1" applyProtection="1">
      <protection locked="0"/>
    </xf>
    <xf numFmtId="177" fontId="0" fillId="0" borderId="16" xfId="0" applyNumberFormat="1" applyFont="1" applyFill="1" applyBorder="1" applyProtection="1">
      <protection locked="0"/>
    </xf>
    <xf numFmtId="177" fontId="11" fillId="0" borderId="39" xfId="0" applyNumberFormat="1" applyFont="1" applyFill="1" applyBorder="1" applyProtection="1">
      <protection locked="0"/>
    </xf>
    <xf numFmtId="177" fontId="11" fillId="0" borderId="16" xfId="0" applyNumberFormat="1" applyFont="1" applyFill="1" applyBorder="1" applyProtection="1">
      <protection locked="0"/>
    </xf>
    <xf numFmtId="177" fontId="11" fillId="0" borderId="1" xfId="0" applyNumberFormat="1" applyFont="1" applyFill="1" applyBorder="1" applyProtection="1">
      <protection locked="0"/>
    </xf>
    <xf numFmtId="177" fontId="14" fillId="0" borderId="2" xfId="0" applyNumberFormat="1" applyFont="1" applyFill="1" applyBorder="1" applyProtection="1">
      <protection locked="0"/>
    </xf>
    <xf numFmtId="177" fontId="14" fillId="0" borderId="17" xfId="0" applyNumberFormat="1" applyFont="1" applyFill="1" applyBorder="1" applyProtection="1">
      <protection locked="0"/>
    </xf>
    <xf numFmtId="177" fontId="14" fillId="0" borderId="34" xfId="0" applyNumberFormat="1" applyFont="1" applyFill="1" applyBorder="1" applyProtection="1">
      <protection locked="0"/>
    </xf>
    <xf numFmtId="177" fontId="33" fillId="0" borderId="34" xfId="0" applyNumberFormat="1" applyFont="1" applyFill="1" applyBorder="1" applyProtection="1">
      <protection locked="0"/>
    </xf>
    <xf numFmtId="177" fontId="33" fillId="0" borderId="2" xfId="0" applyNumberFormat="1" applyFont="1" applyFill="1" applyBorder="1" applyProtection="1">
      <protection locked="0"/>
    </xf>
    <xf numFmtId="177" fontId="33" fillId="0" borderId="17" xfId="0" applyNumberFormat="1" applyFont="1" applyFill="1" applyBorder="1" applyProtection="1">
      <protection locked="0"/>
    </xf>
    <xf numFmtId="177" fontId="0" fillId="0" borderId="34" xfId="0" applyNumberFormat="1" applyFont="1" applyFill="1" applyBorder="1" applyProtection="1">
      <protection locked="0"/>
    </xf>
    <xf numFmtId="177" fontId="0" fillId="0" borderId="2" xfId="0" applyNumberFormat="1" applyFont="1" applyFill="1" applyBorder="1" applyProtection="1">
      <protection locked="0"/>
    </xf>
    <xf numFmtId="177" fontId="0" fillId="0" borderId="17" xfId="0" applyNumberFormat="1" applyFont="1" applyFill="1" applyBorder="1" applyProtection="1">
      <protection locked="0"/>
    </xf>
    <xf numFmtId="177" fontId="11" fillId="0" borderId="34" xfId="0" applyNumberFormat="1" applyFont="1" applyFill="1" applyBorder="1" applyProtection="1">
      <protection locked="0"/>
    </xf>
    <xf numFmtId="177" fontId="11" fillId="0" borderId="17" xfId="0" applyNumberFormat="1" applyFont="1" applyFill="1" applyBorder="1" applyProtection="1">
      <protection locked="0"/>
    </xf>
    <xf numFmtId="177" fontId="11" fillId="0" borderId="2" xfId="0" applyNumberFormat="1" applyFont="1" applyFill="1" applyBorder="1" applyProtection="1">
      <protection locked="0"/>
    </xf>
    <xf numFmtId="0" fontId="52" fillId="0" borderId="17" xfId="6" applyFont="1" applyBorder="1" applyAlignment="1" applyProtection="1">
      <alignment horizontal="center" vertical="center"/>
    </xf>
    <xf numFmtId="0" fontId="52" fillId="0" borderId="5" xfId="6" applyFont="1" applyBorder="1" applyAlignment="1" applyProtection="1">
      <alignment horizontal="center" vertical="center"/>
    </xf>
    <xf numFmtId="0" fontId="52" fillId="0" borderId="3" xfId="6" applyFont="1" applyBorder="1" applyAlignment="1" applyProtection="1">
      <alignment horizontal="center" vertical="center"/>
    </xf>
    <xf numFmtId="0" fontId="17" fillId="0" borderId="2" xfId="7" applyFont="1" applyFill="1" applyBorder="1" applyAlignment="1" applyProtection="1">
      <alignment horizontal="center" vertical="center"/>
    </xf>
    <xf numFmtId="0" fontId="52" fillId="0" borderId="41" xfId="6" applyFont="1" applyBorder="1" applyAlignment="1" applyProtection="1">
      <alignment horizontal="center" vertical="center"/>
    </xf>
    <xf numFmtId="0" fontId="52" fillId="0" borderId="43" xfId="6" applyFont="1" applyBorder="1" applyAlignment="1" applyProtection="1">
      <alignment horizontal="center" vertical="center"/>
    </xf>
    <xf numFmtId="0" fontId="17" fillId="0" borderId="43" xfId="7" applyFont="1" applyFill="1" applyBorder="1" applyAlignment="1" applyProtection="1">
      <alignment horizontal="center" vertical="center"/>
    </xf>
    <xf numFmtId="0" fontId="52" fillId="0" borderId="45" xfId="6" applyFont="1" applyBorder="1" applyAlignment="1" applyProtection="1">
      <alignment horizontal="center" vertical="center"/>
    </xf>
    <xf numFmtId="0" fontId="52" fillId="0" borderId="0" xfId="6" applyFont="1" applyProtection="1">
      <alignment vertical="center"/>
      <protection locked="0"/>
    </xf>
    <xf numFmtId="0" fontId="1" fillId="0" borderId="0" xfId="6" applyProtection="1">
      <alignment vertical="center"/>
      <protection locked="0"/>
    </xf>
    <xf numFmtId="0" fontId="54" fillId="0" borderId="70" xfId="6" applyFont="1" applyFill="1" applyBorder="1" applyAlignment="1" applyProtection="1">
      <alignment horizontal="center" vertical="center"/>
      <protection locked="0"/>
    </xf>
    <xf numFmtId="0" fontId="53" fillId="0" borderId="2" xfId="6" applyFont="1" applyBorder="1" applyAlignment="1" applyProtection="1">
      <alignment horizontal="center" vertical="center"/>
      <protection locked="0"/>
    </xf>
    <xf numFmtId="0" fontId="53" fillId="0" borderId="3" xfId="6" applyFont="1" applyFill="1" applyBorder="1" applyAlignment="1" applyProtection="1">
      <alignment horizontal="center" vertical="center"/>
      <protection locked="0"/>
    </xf>
    <xf numFmtId="0" fontId="53" fillId="0" borderId="41" xfId="6" applyFont="1" applyBorder="1" applyAlignment="1" applyProtection="1">
      <alignment horizontal="center" vertical="center"/>
      <protection locked="0"/>
    </xf>
    <xf numFmtId="0" fontId="53" fillId="0" borderId="10" xfId="6" applyFont="1" applyBorder="1" applyAlignment="1" applyProtection="1">
      <alignment horizontal="center" vertical="center"/>
      <protection locked="0"/>
    </xf>
    <xf numFmtId="0" fontId="52" fillId="0" borderId="70" xfId="6" applyFont="1" applyFill="1" applyBorder="1" applyAlignment="1" applyProtection="1">
      <alignment horizontal="center" vertical="center"/>
      <protection locked="0"/>
    </xf>
    <xf numFmtId="41" fontId="52" fillId="0" borderId="2" xfId="6" applyNumberFormat="1" applyFont="1" applyFill="1" applyBorder="1" applyAlignment="1" applyProtection="1">
      <alignment vertical="center"/>
      <protection locked="0"/>
    </xf>
    <xf numFmtId="41" fontId="52" fillId="0" borderId="17" xfId="6" applyNumberFormat="1" applyFont="1" applyFill="1" applyBorder="1" applyAlignment="1" applyProtection="1">
      <alignment vertical="center"/>
      <protection locked="0"/>
    </xf>
    <xf numFmtId="0" fontId="53" fillId="0" borderId="0" xfId="6" applyFont="1" applyBorder="1" applyAlignment="1" applyProtection="1">
      <alignment horizontal="center" vertical="center" textRotation="255"/>
      <protection locked="0"/>
    </xf>
    <xf numFmtId="41" fontId="58" fillId="0" borderId="0" xfId="6" applyNumberFormat="1" applyFont="1" applyFill="1" applyBorder="1" applyAlignment="1" applyProtection="1">
      <alignment vertical="center"/>
      <protection locked="0"/>
    </xf>
    <xf numFmtId="0" fontId="52" fillId="0" borderId="68" xfId="6" applyFont="1" applyBorder="1" applyProtection="1">
      <alignment vertical="center"/>
      <protection locked="0"/>
    </xf>
    <xf numFmtId="0" fontId="52" fillId="0" borderId="0" xfId="6" applyFont="1" applyBorder="1" applyProtection="1">
      <alignment vertical="center"/>
      <protection locked="0"/>
    </xf>
    <xf numFmtId="0" fontId="52" fillId="0" borderId="0" xfId="6" applyFont="1" applyBorder="1" applyAlignment="1" applyProtection="1">
      <alignment horizontal="center" vertical="center"/>
      <protection locked="0"/>
    </xf>
    <xf numFmtId="0" fontId="69" fillId="6" borderId="2" xfId="0" applyFont="1" applyFill="1" applyBorder="1" applyAlignment="1">
      <alignment horizontal="center" vertical="center" wrapText="1"/>
    </xf>
    <xf numFmtId="0" fontId="69" fillId="6" borderId="27" xfId="0" applyFont="1" applyFill="1" applyBorder="1" applyAlignment="1">
      <alignment horizontal="center" vertical="center" wrapText="1"/>
    </xf>
    <xf numFmtId="0" fontId="69" fillId="6" borderId="28" xfId="0" applyFont="1" applyFill="1" applyBorder="1" applyAlignment="1">
      <alignment horizontal="center" vertical="center" wrapText="1"/>
    </xf>
    <xf numFmtId="1" fontId="70" fillId="6" borderId="30" xfId="0" applyNumberFormat="1" applyFont="1" applyFill="1" applyBorder="1" applyAlignment="1">
      <alignment horizontal="center" vertical="center" shrinkToFit="1"/>
    </xf>
    <xf numFmtId="1" fontId="70" fillId="6" borderId="28" xfId="0" applyNumberFormat="1" applyFont="1" applyFill="1" applyBorder="1" applyAlignment="1">
      <alignment horizontal="center" vertical="center" shrinkToFit="1"/>
    </xf>
    <xf numFmtId="0" fontId="69" fillId="6" borderId="30" xfId="0" applyFont="1" applyFill="1" applyBorder="1" applyAlignment="1">
      <alignment horizontal="center" vertical="center" wrapText="1"/>
    </xf>
    <xf numFmtId="0" fontId="8" fillId="6" borderId="28" xfId="1" applyFont="1" applyFill="1" applyBorder="1" applyAlignment="1">
      <alignment horizontal="center" vertical="center" wrapText="1"/>
    </xf>
    <xf numFmtId="0" fontId="8" fillId="6" borderId="31" xfId="1" applyFont="1" applyFill="1" applyBorder="1" applyAlignment="1">
      <alignment horizontal="center" vertical="center" wrapText="1"/>
    </xf>
    <xf numFmtId="0" fontId="8" fillId="6" borderId="2" xfId="1" applyFont="1" applyFill="1" applyBorder="1" applyAlignment="1">
      <alignment horizontal="center" vertical="center" wrapText="1"/>
    </xf>
    <xf numFmtId="0" fontId="8" fillId="6" borderId="29" xfId="1" applyFont="1" applyFill="1" applyBorder="1" applyAlignment="1">
      <alignment horizontal="center" vertical="center" wrapText="1"/>
    </xf>
    <xf numFmtId="0" fontId="8" fillId="6" borderId="7" xfId="1" applyFont="1" applyFill="1" applyBorder="1" applyAlignment="1">
      <alignment horizontal="center" vertical="center" wrapText="1"/>
    </xf>
    <xf numFmtId="1" fontId="21" fillId="6" borderId="2" xfId="1" applyNumberFormat="1" applyFont="1" applyFill="1" applyBorder="1" applyAlignment="1">
      <alignment horizontal="center" vertical="center" shrinkToFit="1"/>
    </xf>
    <xf numFmtId="1" fontId="21" fillId="6" borderId="7" xfId="1" applyNumberFormat="1" applyFont="1" applyFill="1" applyBorder="1" applyAlignment="1">
      <alignment horizontal="center" vertical="center" shrinkToFit="1"/>
    </xf>
    <xf numFmtId="0" fontId="69" fillId="6" borderId="29" xfId="0" applyFont="1" applyFill="1" applyBorder="1" applyAlignment="1">
      <alignment horizontal="center" vertical="center" wrapText="1"/>
    </xf>
    <xf numFmtId="0" fontId="26" fillId="6" borderId="2" xfId="1" applyFont="1" applyFill="1" applyBorder="1" applyAlignment="1">
      <alignment horizontal="center" vertical="center" wrapText="1"/>
    </xf>
    <xf numFmtId="0" fontId="26" fillId="6" borderId="7" xfId="1" applyFont="1" applyFill="1" applyBorder="1" applyAlignment="1">
      <alignment horizontal="center" vertical="center" wrapText="1"/>
    </xf>
    <xf numFmtId="1" fontId="22" fillId="6" borderId="2" xfId="1" applyNumberFormat="1" applyFont="1" applyFill="1" applyBorder="1" applyAlignment="1">
      <alignment horizontal="center" vertical="center" wrapText="1" shrinkToFit="1"/>
    </xf>
    <xf numFmtId="0" fontId="18" fillId="6" borderId="29" xfId="1" applyFont="1" applyFill="1" applyBorder="1" applyAlignment="1">
      <alignment horizontal="center" vertical="center" wrapText="1"/>
    </xf>
    <xf numFmtId="0" fontId="18" fillId="6" borderId="2" xfId="1" applyFont="1" applyFill="1" applyBorder="1" applyAlignment="1">
      <alignment horizontal="center" vertical="center" wrapText="1"/>
    </xf>
    <xf numFmtId="0" fontId="18" fillId="6" borderId="7" xfId="1" applyFont="1" applyFill="1" applyBorder="1" applyAlignment="1">
      <alignment horizontal="center" vertical="center" wrapText="1"/>
    </xf>
    <xf numFmtId="1" fontId="70" fillId="6" borderId="2" xfId="0" applyNumberFormat="1" applyFont="1" applyFill="1" applyBorder="1" applyAlignment="1">
      <alignment horizontal="center" vertical="center" shrinkToFit="1"/>
    </xf>
    <xf numFmtId="1" fontId="70" fillId="6" borderId="31" xfId="0" applyNumberFormat="1" applyFont="1" applyFill="1" applyBorder="1" applyAlignment="1">
      <alignment horizontal="center" vertical="center" shrinkToFit="1"/>
    </xf>
    <xf numFmtId="1" fontId="24" fillId="6" borderId="2" xfId="1" applyNumberFormat="1" applyFont="1" applyFill="1" applyBorder="1" applyAlignment="1">
      <alignment horizontal="center" vertical="center" wrapText="1" shrinkToFit="1"/>
    </xf>
    <xf numFmtId="0" fontId="52" fillId="16" borderId="2" xfId="6" applyFont="1" applyFill="1" applyBorder="1" applyAlignment="1" applyProtection="1">
      <alignment horizontal="center" vertical="center"/>
      <protection locked="0"/>
    </xf>
    <xf numFmtId="41" fontId="52" fillId="16" borderId="2" xfId="6" applyNumberFormat="1" applyFont="1" applyFill="1" applyBorder="1" applyAlignment="1" applyProtection="1">
      <alignment vertical="center"/>
      <protection locked="0"/>
    </xf>
    <xf numFmtId="0" fontId="53" fillId="16" borderId="0" xfId="6" applyFont="1" applyFill="1" applyBorder="1" applyAlignment="1" applyProtection="1">
      <alignment horizontal="center" vertical="center" textRotation="255"/>
      <protection locked="0"/>
    </xf>
    <xf numFmtId="0" fontId="52" fillId="16" borderId="0" xfId="6" applyFont="1" applyFill="1" applyBorder="1" applyAlignment="1" applyProtection="1">
      <alignment horizontal="center" vertical="center"/>
      <protection locked="0"/>
    </xf>
    <xf numFmtId="41" fontId="58" fillId="16" borderId="0" xfId="6" applyNumberFormat="1" applyFont="1" applyFill="1" applyBorder="1" applyAlignment="1" applyProtection="1">
      <alignment vertical="center"/>
      <protection locked="0"/>
    </xf>
    <xf numFmtId="0" fontId="52" fillId="16" borderId="0" xfId="6" applyFont="1" applyFill="1" applyProtection="1">
      <alignment vertical="center"/>
      <protection locked="0"/>
    </xf>
    <xf numFmtId="0" fontId="52" fillId="16" borderId="68" xfId="6" applyFont="1" applyFill="1" applyBorder="1" applyProtection="1">
      <alignment vertical="center"/>
      <protection locked="0"/>
    </xf>
    <xf numFmtId="0" fontId="53" fillId="16" borderId="2" xfId="6" applyFont="1" applyFill="1" applyBorder="1" applyAlignment="1" applyProtection="1">
      <alignment horizontal="center" vertical="center"/>
      <protection locked="0"/>
    </xf>
    <xf numFmtId="0" fontId="52" fillId="16" borderId="0" xfId="6" applyFont="1" applyFill="1" applyBorder="1" applyProtection="1">
      <alignment vertical="center"/>
      <protection locked="0"/>
    </xf>
    <xf numFmtId="0" fontId="53" fillId="16" borderId="10" xfId="6" applyFont="1" applyFill="1" applyBorder="1" applyAlignment="1" applyProtection="1">
      <alignment horizontal="center" vertical="center"/>
      <protection locked="0"/>
    </xf>
    <xf numFmtId="41" fontId="52" fillId="16" borderId="17" xfId="6" applyNumberFormat="1" applyFont="1" applyFill="1" applyBorder="1" applyAlignment="1" applyProtection="1">
      <alignment vertical="center"/>
      <protection locked="0"/>
    </xf>
    <xf numFmtId="0" fontId="62" fillId="0" borderId="0" xfId="6" applyFont="1" applyProtection="1">
      <alignment vertical="center"/>
      <protection locked="0"/>
    </xf>
    <xf numFmtId="41" fontId="64" fillId="16" borderId="105" xfId="6" applyNumberFormat="1" applyFont="1" applyFill="1" applyBorder="1" applyAlignment="1" applyProtection="1">
      <alignment horizontal="center" vertical="center" wrapText="1"/>
    </xf>
    <xf numFmtId="41" fontId="64" fillId="16" borderId="106" xfId="6" applyNumberFormat="1" applyFont="1" applyFill="1" applyBorder="1" applyAlignment="1" applyProtection="1">
      <alignment horizontal="center" vertical="center" wrapText="1"/>
    </xf>
    <xf numFmtId="41" fontId="64" fillId="16" borderId="107" xfId="6" applyNumberFormat="1" applyFont="1" applyFill="1" applyBorder="1" applyAlignment="1" applyProtection="1">
      <alignment horizontal="center" vertical="center" wrapText="1"/>
    </xf>
    <xf numFmtId="41" fontId="64" fillId="16" borderId="110" xfId="6" applyNumberFormat="1" applyFont="1" applyFill="1" applyBorder="1" applyAlignment="1" applyProtection="1">
      <alignment horizontal="center" vertical="center" wrapText="1"/>
    </xf>
    <xf numFmtId="41" fontId="64" fillId="16" borderId="111" xfId="6" applyNumberFormat="1" applyFont="1" applyFill="1" applyBorder="1" applyAlignment="1" applyProtection="1">
      <alignment horizontal="center" vertical="center" wrapText="1"/>
    </xf>
    <xf numFmtId="41" fontId="64" fillId="16" borderId="112" xfId="6" applyNumberFormat="1" applyFont="1" applyFill="1" applyBorder="1" applyAlignment="1" applyProtection="1">
      <alignment horizontal="center" vertical="center" wrapText="1"/>
    </xf>
    <xf numFmtId="0" fontId="52" fillId="16" borderId="105" xfId="6" applyFont="1" applyFill="1" applyBorder="1" applyAlignment="1" applyProtection="1">
      <alignment horizontal="center" vertical="center" wrapText="1"/>
      <protection locked="0"/>
    </xf>
    <xf numFmtId="0" fontId="52" fillId="16" borderId="106" xfId="6" applyFont="1" applyFill="1" applyBorder="1" applyAlignment="1" applyProtection="1">
      <alignment horizontal="center" vertical="center" wrapText="1"/>
      <protection locked="0"/>
    </xf>
    <xf numFmtId="0" fontId="52" fillId="16" borderId="107" xfId="6" applyFont="1" applyFill="1" applyBorder="1" applyAlignment="1" applyProtection="1">
      <alignment horizontal="center" vertical="center" wrapText="1"/>
      <protection locked="0"/>
    </xf>
    <xf numFmtId="0" fontId="52" fillId="16" borderId="110" xfId="6" applyFont="1" applyFill="1" applyBorder="1" applyAlignment="1" applyProtection="1">
      <alignment horizontal="center" vertical="center" wrapText="1"/>
      <protection locked="0"/>
    </xf>
    <xf numFmtId="0" fontId="52" fillId="16" borderId="111" xfId="6" applyFont="1" applyFill="1" applyBorder="1" applyAlignment="1" applyProtection="1">
      <alignment horizontal="center" vertical="center" wrapText="1"/>
      <protection locked="0"/>
    </xf>
    <xf numFmtId="0" fontId="52" fillId="16" borderId="112" xfId="6" applyFont="1" applyFill="1" applyBorder="1" applyAlignment="1" applyProtection="1">
      <alignment horizontal="center" vertical="center" wrapText="1"/>
      <protection locked="0"/>
    </xf>
    <xf numFmtId="41" fontId="64" fillId="16" borderId="105" xfId="6" applyNumberFormat="1" applyFont="1" applyFill="1" applyBorder="1" applyAlignment="1" applyProtection="1">
      <alignment horizontal="center" vertical="center"/>
    </xf>
    <xf numFmtId="41" fontId="64" fillId="16" borderId="106" xfId="6" applyNumberFormat="1" applyFont="1" applyFill="1" applyBorder="1" applyAlignment="1" applyProtection="1">
      <alignment horizontal="center" vertical="center"/>
    </xf>
    <xf numFmtId="41" fontId="64" fillId="16" borderId="107" xfId="6" applyNumberFormat="1" applyFont="1" applyFill="1" applyBorder="1" applyAlignment="1" applyProtection="1">
      <alignment horizontal="center" vertical="center"/>
    </xf>
    <xf numFmtId="41" fontId="64" fillId="16" borderId="110" xfId="6" applyNumberFormat="1" applyFont="1" applyFill="1" applyBorder="1" applyAlignment="1" applyProtection="1">
      <alignment horizontal="center" vertical="center"/>
    </xf>
    <xf numFmtId="41" fontId="64" fillId="16" borderId="111" xfId="6" applyNumberFormat="1" applyFont="1" applyFill="1" applyBorder="1" applyAlignment="1" applyProtection="1">
      <alignment horizontal="center" vertical="center"/>
    </xf>
    <xf numFmtId="41" fontId="64" fillId="16" borderId="112" xfId="6" applyNumberFormat="1" applyFont="1" applyFill="1" applyBorder="1" applyAlignment="1" applyProtection="1">
      <alignment horizontal="center" vertical="center"/>
    </xf>
    <xf numFmtId="0" fontId="64" fillId="0" borderId="105" xfId="6" applyFont="1" applyFill="1" applyBorder="1" applyAlignment="1" applyProtection="1">
      <alignment horizontal="center" vertical="center" wrapText="1"/>
      <protection locked="0"/>
    </xf>
    <xf numFmtId="0" fontId="64" fillId="0" borderId="106" xfId="6" applyFont="1" applyFill="1" applyBorder="1" applyAlignment="1" applyProtection="1">
      <alignment horizontal="center" vertical="center" wrapText="1"/>
      <protection locked="0"/>
    </xf>
    <xf numFmtId="0" fontId="64" fillId="0" borderId="107" xfId="6" applyFont="1" applyFill="1" applyBorder="1" applyAlignment="1" applyProtection="1">
      <alignment horizontal="center" vertical="center" wrapText="1"/>
      <protection locked="0"/>
    </xf>
    <xf numFmtId="0" fontId="64" fillId="0" borderId="110" xfId="6" applyFont="1" applyFill="1" applyBorder="1" applyAlignment="1" applyProtection="1">
      <alignment horizontal="center" vertical="center" wrapText="1"/>
      <protection locked="0"/>
    </xf>
    <xf numFmtId="0" fontId="64" fillId="0" borderId="111" xfId="6" applyFont="1" applyFill="1" applyBorder="1" applyAlignment="1" applyProtection="1">
      <alignment horizontal="center" vertical="center" wrapText="1"/>
      <protection locked="0"/>
    </xf>
    <xf numFmtId="0" fontId="64" fillId="0" borderId="112" xfId="6" applyFont="1" applyFill="1" applyBorder="1" applyAlignment="1" applyProtection="1">
      <alignment horizontal="center" vertical="center" wrapText="1"/>
      <protection locked="0"/>
    </xf>
    <xf numFmtId="41" fontId="64" fillId="0" borderId="105" xfId="6" applyNumberFormat="1" applyFont="1" applyFill="1" applyBorder="1" applyAlignment="1" applyProtection="1">
      <alignment horizontal="center" vertical="center"/>
    </xf>
    <xf numFmtId="41" fontId="64" fillId="0" borderId="106" xfId="6" applyNumberFormat="1" applyFont="1" applyFill="1" applyBorder="1" applyAlignment="1" applyProtection="1">
      <alignment horizontal="center" vertical="center"/>
    </xf>
    <xf numFmtId="41" fontId="64" fillId="0" borderId="107" xfId="6" applyNumberFormat="1" applyFont="1" applyFill="1" applyBorder="1" applyAlignment="1" applyProtection="1">
      <alignment horizontal="center" vertical="center"/>
    </xf>
    <xf numFmtId="41" fontId="64" fillId="0" borderId="110" xfId="6" applyNumberFormat="1" applyFont="1" applyFill="1" applyBorder="1" applyAlignment="1" applyProtection="1">
      <alignment horizontal="center" vertical="center"/>
    </xf>
    <xf numFmtId="41" fontId="64" fillId="0" borderId="111" xfId="6" applyNumberFormat="1" applyFont="1" applyFill="1" applyBorder="1" applyAlignment="1" applyProtection="1">
      <alignment horizontal="center" vertical="center"/>
    </xf>
    <xf numFmtId="41" fontId="64" fillId="0" borderId="112" xfId="6" applyNumberFormat="1" applyFont="1" applyFill="1" applyBorder="1" applyAlignment="1" applyProtection="1">
      <alignment horizontal="center" vertical="center"/>
    </xf>
    <xf numFmtId="41" fontId="62" fillId="0" borderId="21" xfId="6" applyNumberFormat="1" applyFont="1" applyBorder="1" applyAlignment="1" applyProtection="1">
      <alignment horizontal="center" vertical="center"/>
    </xf>
    <xf numFmtId="41" fontId="62" fillId="0" borderId="56" xfId="6" applyNumberFormat="1" applyFont="1" applyBorder="1" applyAlignment="1" applyProtection="1">
      <alignment horizontal="center" vertical="center"/>
    </xf>
    <xf numFmtId="0" fontId="52" fillId="0" borderId="4" xfId="6" applyFont="1" applyFill="1" applyBorder="1" applyAlignment="1" applyProtection="1">
      <alignment horizontal="center" vertical="center"/>
      <protection locked="0"/>
    </xf>
    <xf numFmtId="0" fontId="52" fillId="0" borderId="54" xfId="6" applyFont="1" applyFill="1" applyBorder="1" applyAlignment="1" applyProtection="1">
      <alignment horizontal="center" vertical="center"/>
      <protection locked="0"/>
    </xf>
    <xf numFmtId="0" fontId="62" fillId="14" borderId="4" xfId="6" applyFont="1" applyFill="1" applyBorder="1" applyAlignment="1" applyProtection="1">
      <alignment horizontal="center" vertical="center"/>
      <protection locked="0"/>
    </xf>
    <xf numFmtId="0" fontId="62" fillId="14" borderId="54" xfId="6" applyFont="1" applyFill="1" applyBorder="1" applyAlignment="1" applyProtection="1">
      <alignment horizontal="center" vertical="center"/>
      <protection locked="0"/>
    </xf>
    <xf numFmtId="41" fontId="62" fillId="0" borderId="4" xfId="6" applyNumberFormat="1" applyFont="1" applyBorder="1" applyAlignment="1" applyProtection="1">
      <alignment horizontal="center" vertical="center"/>
    </xf>
    <xf numFmtId="41" fontId="62" fillId="0" borderId="54" xfId="6" applyNumberFormat="1" applyFont="1" applyBorder="1" applyAlignment="1" applyProtection="1">
      <alignment horizontal="center" vertical="center"/>
    </xf>
    <xf numFmtId="178" fontId="52" fillId="16" borderId="8" xfId="6" applyNumberFormat="1" applyFont="1" applyFill="1" applyBorder="1" applyAlignment="1" applyProtection="1">
      <alignment horizontal="center" vertical="center"/>
    </xf>
    <xf numFmtId="0" fontId="52" fillId="16" borderId="2" xfId="6" applyFont="1" applyFill="1" applyBorder="1" applyAlignment="1" applyProtection="1">
      <alignment horizontal="center" vertical="center"/>
      <protection locked="0"/>
    </xf>
    <xf numFmtId="0" fontId="53" fillId="16" borderId="2" xfId="6" applyFont="1" applyFill="1" applyBorder="1" applyAlignment="1" applyProtection="1">
      <alignment horizontal="center" vertical="center"/>
      <protection locked="0"/>
    </xf>
    <xf numFmtId="41" fontId="52" fillId="16" borderId="2" xfId="6" applyNumberFormat="1" applyFont="1" applyFill="1" applyBorder="1" applyAlignment="1" applyProtection="1">
      <alignment horizontal="center" vertical="center"/>
      <protection locked="0"/>
    </xf>
    <xf numFmtId="41" fontId="52" fillId="16" borderId="2" xfId="6" applyNumberFormat="1" applyFont="1" applyFill="1" applyBorder="1" applyAlignment="1" applyProtection="1">
      <alignment horizontal="center" vertical="center" wrapText="1"/>
      <protection locked="0"/>
    </xf>
    <xf numFmtId="178" fontId="52" fillId="16" borderId="2" xfId="6" applyNumberFormat="1" applyFont="1" applyFill="1" applyBorder="1" applyAlignment="1" applyProtection="1">
      <alignment horizontal="center" vertical="center"/>
    </xf>
    <xf numFmtId="41" fontId="62" fillId="0" borderId="10" xfId="6" applyNumberFormat="1" applyFont="1" applyBorder="1" applyAlignment="1" applyProtection="1">
      <alignment horizontal="center" vertical="center"/>
    </xf>
    <xf numFmtId="0" fontId="62" fillId="14" borderId="10" xfId="6" applyFont="1" applyFill="1" applyBorder="1" applyAlignment="1" applyProtection="1">
      <alignment horizontal="center" vertical="center"/>
      <protection locked="0"/>
    </xf>
    <xf numFmtId="41" fontId="62" fillId="0" borderId="53" xfId="6" applyNumberFormat="1" applyFont="1" applyBorder="1" applyAlignment="1" applyProtection="1">
      <alignment horizontal="center" vertical="center"/>
    </xf>
    <xf numFmtId="0" fontId="64" fillId="0" borderId="108" xfId="6" applyFont="1" applyFill="1" applyBorder="1" applyAlignment="1" applyProtection="1">
      <alignment horizontal="center" vertical="center"/>
      <protection locked="0"/>
    </xf>
    <xf numFmtId="0" fontId="64" fillId="0" borderId="0" xfId="6" applyFont="1" applyFill="1" applyBorder="1" applyAlignment="1" applyProtection="1">
      <alignment horizontal="center" vertical="center"/>
      <protection locked="0"/>
    </xf>
    <xf numFmtId="0" fontId="64" fillId="0" borderId="109" xfId="6" applyFont="1" applyFill="1" applyBorder="1" applyAlignment="1" applyProtection="1">
      <alignment horizontal="center" vertical="center"/>
      <protection locked="0"/>
    </xf>
    <xf numFmtId="0" fontId="64" fillId="0" borderId="110" xfId="6" applyFont="1" applyFill="1" applyBorder="1" applyAlignment="1" applyProtection="1">
      <alignment horizontal="center" vertical="center"/>
      <protection locked="0"/>
    </xf>
    <xf numFmtId="0" fontId="64" fillId="0" borderId="111" xfId="6" applyFont="1" applyFill="1" applyBorder="1" applyAlignment="1" applyProtection="1">
      <alignment horizontal="center" vertical="center"/>
      <protection locked="0"/>
    </xf>
    <xf numFmtId="0" fontId="64" fillId="0" borderId="112" xfId="6" applyFont="1" applyFill="1" applyBorder="1" applyAlignment="1" applyProtection="1">
      <alignment horizontal="center" vertical="center"/>
      <protection locked="0"/>
    </xf>
    <xf numFmtId="41" fontId="64" fillId="0" borderId="0" xfId="6" applyNumberFormat="1" applyFont="1" applyFill="1" applyBorder="1" applyAlignment="1" applyProtection="1">
      <alignment horizontal="center" vertical="center"/>
    </xf>
    <xf numFmtId="41" fontId="64" fillId="0" borderId="109" xfId="6" applyNumberFormat="1" applyFont="1" applyFill="1" applyBorder="1" applyAlignment="1" applyProtection="1">
      <alignment horizontal="center" vertical="center"/>
    </xf>
    <xf numFmtId="0" fontId="52" fillId="0" borderId="10" xfId="6" applyFont="1" applyFill="1" applyBorder="1" applyAlignment="1" applyProtection="1">
      <alignment horizontal="center" vertical="center"/>
      <protection locked="0"/>
    </xf>
    <xf numFmtId="41" fontId="63" fillId="0" borderId="21" xfId="6" applyNumberFormat="1" applyFont="1" applyFill="1" applyBorder="1" applyAlignment="1" applyProtection="1">
      <alignment horizontal="center" vertical="center"/>
      <protection locked="0"/>
    </xf>
    <xf numFmtId="41" fontId="63" fillId="0" borderId="26" xfId="6" applyNumberFormat="1" applyFont="1" applyFill="1" applyBorder="1" applyAlignment="1" applyProtection="1">
      <alignment horizontal="center" vertical="center"/>
      <protection locked="0"/>
    </xf>
    <xf numFmtId="41" fontId="63" fillId="0" borderId="14" xfId="6" applyNumberFormat="1" applyFont="1" applyFill="1" applyBorder="1" applyAlignment="1" applyProtection="1">
      <alignment horizontal="center" vertical="center"/>
      <protection locked="0"/>
    </xf>
    <xf numFmtId="41" fontId="63" fillId="0" borderId="81" xfId="6" applyNumberFormat="1" applyFont="1" applyFill="1" applyBorder="1" applyAlignment="1" applyProtection="1">
      <alignment horizontal="center" vertical="center"/>
      <protection locked="0"/>
    </xf>
    <xf numFmtId="41" fontId="63" fillId="0" borderId="0" xfId="6" applyNumberFormat="1" applyFont="1" applyFill="1" applyBorder="1" applyAlignment="1" applyProtection="1">
      <alignment horizontal="center" vertical="center"/>
      <protection locked="0"/>
    </xf>
    <xf numFmtId="41" fontId="63" fillId="0" borderId="24" xfId="6" applyNumberFormat="1" applyFont="1" applyFill="1" applyBorder="1" applyAlignment="1" applyProtection="1">
      <alignment horizontal="center" vertical="center"/>
      <protection locked="0"/>
    </xf>
    <xf numFmtId="0" fontId="52" fillId="0" borderId="45" xfId="6" applyFont="1" applyBorder="1" applyAlignment="1" applyProtection="1">
      <alignment horizontal="center" vertical="center" wrapText="1"/>
      <protection locked="0"/>
    </xf>
    <xf numFmtId="0" fontId="52" fillId="0" borderId="87" xfId="6" applyFont="1" applyBorder="1" applyAlignment="1" applyProtection="1">
      <alignment horizontal="center" vertical="center" wrapText="1"/>
      <protection locked="0"/>
    </xf>
    <xf numFmtId="0" fontId="52" fillId="0" borderId="42" xfId="6" applyFont="1" applyBorder="1" applyAlignment="1" applyProtection="1">
      <alignment horizontal="center" vertical="center" wrapText="1"/>
      <protection locked="0"/>
    </xf>
    <xf numFmtId="0" fontId="52" fillId="0" borderId="89" xfId="6" applyFont="1" applyBorder="1" applyAlignment="1" applyProtection="1">
      <alignment horizontal="center" vertical="center" wrapText="1"/>
      <protection locked="0"/>
    </xf>
    <xf numFmtId="0" fontId="52" fillId="0" borderId="90" xfId="6" applyFont="1" applyBorder="1" applyAlignment="1" applyProtection="1">
      <alignment horizontal="center" vertical="center" wrapText="1"/>
      <protection locked="0"/>
    </xf>
    <xf numFmtId="0" fontId="52" fillId="0" borderId="91" xfId="6" applyFont="1" applyBorder="1" applyAlignment="1" applyProtection="1">
      <alignment horizontal="center" vertical="center" wrapText="1"/>
      <protection locked="0"/>
    </xf>
    <xf numFmtId="0" fontId="52" fillId="0" borderId="97" xfId="6" applyFont="1" applyBorder="1" applyAlignment="1" applyProtection="1">
      <alignment horizontal="center" vertical="center" wrapText="1"/>
      <protection locked="0"/>
    </xf>
    <xf numFmtId="0" fontId="52" fillId="0" borderId="98" xfId="6" applyFont="1" applyBorder="1" applyAlignment="1" applyProtection="1">
      <alignment horizontal="center" vertical="center" wrapText="1"/>
      <protection locked="0"/>
    </xf>
    <xf numFmtId="0" fontId="52" fillId="0" borderId="99" xfId="6" applyFont="1" applyBorder="1" applyAlignment="1" applyProtection="1">
      <alignment horizontal="center" vertical="center" wrapText="1"/>
      <protection locked="0"/>
    </xf>
    <xf numFmtId="41" fontId="54" fillId="14" borderId="88" xfId="6" applyNumberFormat="1" applyFont="1" applyFill="1" applyBorder="1" applyAlignment="1" applyProtection="1">
      <alignment horizontal="center" vertical="center" wrapText="1"/>
      <protection locked="0"/>
    </xf>
    <xf numFmtId="41" fontId="54" fillId="14" borderId="87" xfId="6" applyNumberFormat="1" applyFont="1" applyFill="1" applyBorder="1" applyAlignment="1" applyProtection="1">
      <alignment horizontal="center" vertical="center" wrapText="1"/>
      <protection locked="0"/>
    </xf>
    <xf numFmtId="41" fontId="54" fillId="14" borderId="42" xfId="6" applyNumberFormat="1" applyFont="1" applyFill="1" applyBorder="1" applyAlignment="1" applyProtection="1">
      <alignment horizontal="center" vertical="center" wrapText="1"/>
      <protection locked="0"/>
    </xf>
    <xf numFmtId="41" fontId="54" fillId="14" borderId="92" xfId="6" applyNumberFormat="1" applyFont="1" applyFill="1" applyBorder="1" applyAlignment="1" applyProtection="1">
      <alignment horizontal="center" vertical="center" wrapText="1"/>
      <protection locked="0"/>
    </xf>
    <xf numFmtId="41" fontId="54" fillId="14" borderId="90" xfId="6" applyNumberFormat="1" applyFont="1" applyFill="1" applyBorder="1" applyAlignment="1" applyProtection="1">
      <alignment horizontal="center" vertical="center" wrapText="1"/>
      <protection locked="0"/>
    </xf>
    <xf numFmtId="41" fontId="54" fillId="14" borderId="91" xfId="6" applyNumberFormat="1" applyFont="1" applyFill="1" applyBorder="1" applyAlignment="1" applyProtection="1">
      <alignment horizontal="center" vertical="center" wrapText="1"/>
      <protection locked="0"/>
    </xf>
    <xf numFmtId="41" fontId="54" fillId="14" borderId="100" xfId="6" applyNumberFormat="1" applyFont="1" applyFill="1" applyBorder="1" applyAlignment="1" applyProtection="1">
      <alignment horizontal="center" vertical="center" wrapText="1"/>
      <protection locked="0"/>
    </xf>
    <xf numFmtId="41" fontId="54" fillId="14" borderId="98" xfId="6" applyNumberFormat="1" applyFont="1" applyFill="1" applyBorder="1" applyAlignment="1" applyProtection="1">
      <alignment horizontal="center" vertical="center" wrapText="1"/>
      <protection locked="0"/>
    </xf>
    <xf numFmtId="41" fontId="54" fillId="14" borderId="99" xfId="6" applyNumberFormat="1" applyFont="1" applyFill="1" applyBorder="1" applyAlignment="1" applyProtection="1">
      <alignment horizontal="center" vertical="center" wrapText="1"/>
      <protection locked="0"/>
    </xf>
    <xf numFmtId="41" fontId="63" fillId="0" borderId="93" xfId="6" applyNumberFormat="1" applyFont="1" applyFill="1" applyBorder="1" applyAlignment="1" applyProtection="1">
      <alignment horizontal="center" vertical="center"/>
      <protection locked="0"/>
    </xf>
    <xf numFmtId="41" fontId="63" fillId="0" borderId="94" xfId="6" applyNumberFormat="1" applyFont="1" applyFill="1" applyBorder="1" applyAlignment="1" applyProtection="1">
      <alignment horizontal="center" vertical="center"/>
      <protection locked="0"/>
    </xf>
    <xf numFmtId="41" fontId="63" fillId="0" borderId="95" xfId="6" applyNumberFormat="1" applyFont="1" applyFill="1" applyBorder="1" applyAlignment="1" applyProtection="1">
      <alignment horizontal="center" vertical="center"/>
      <protection locked="0"/>
    </xf>
    <xf numFmtId="41" fontId="63" fillId="0" borderId="101" xfId="6" applyNumberFormat="1" applyFont="1" applyFill="1" applyBorder="1" applyAlignment="1" applyProtection="1">
      <alignment horizontal="center" vertical="center"/>
      <protection locked="0"/>
    </xf>
    <xf numFmtId="41" fontId="63" fillId="0" borderId="102" xfId="6" applyNumberFormat="1" applyFont="1" applyFill="1" applyBorder="1" applyAlignment="1" applyProtection="1">
      <alignment horizontal="center" vertical="center"/>
      <protection locked="0"/>
    </xf>
    <xf numFmtId="41" fontId="63" fillId="0" borderId="103" xfId="6" applyNumberFormat="1" applyFont="1" applyFill="1" applyBorder="1" applyAlignment="1" applyProtection="1">
      <alignment horizontal="center" vertical="center"/>
      <protection locked="0"/>
    </xf>
    <xf numFmtId="41" fontId="63" fillId="0" borderId="96" xfId="6" applyNumberFormat="1" applyFont="1" applyFill="1" applyBorder="1" applyAlignment="1" applyProtection="1">
      <alignment horizontal="center" vertical="center"/>
      <protection locked="0"/>
    </xf>
    <xf numFmtId="41" fontId="63" fillId="0" borderId="104" xfId="6" applyNumberFormat="1" applyFont="1" applyFill="1" applyBorder="1" applyAlignment="1" applyProtection="1">
      <alignment horizontal="center" vertical="center"/>
      <protection locked="0"/>
    </xf>
    <xf numFmtId="0" fontId="52" fillId="0" borderId="105" xfId="6" applyFont="1" applyBorder="1" applyAlignment="1" applyProtection="1">
      <alignment horizontal="center" vertical="center"/>
      <protection locked="0"/>
    </xf>
    <xf numFmtId="0" fontId="52" fillId="0" borderId="106" xfId="6" applyFont="1" applyBorder="1" applyAlignment="1" applyProtection="1">
      <alignment horizontal="center" vertical="center"/>
      <protection locked="0"/>
    </xf>
    <xf numFmtId="0" fontId="52" fillId="0" borderId="107" xfId="6" applyFont="1" applyBorder="1" applyAlignment="1" applyProtection="1">
      <alignment horizontal="center" vertical="center"/>
      <protection locked="0"/>
    </xf>
    <xf numFmtId="0" fontId="52" fillId="0" borderId="108" xfId="6" applyFont="1" applyBorder="1" applyAlignment="1" applyProtection="1">
      <alignment horizontal="center" vertical="center"/>
      <protection locked="0"/>
    </xf>
    <xf numFmtId="0" fontId="52" fillId="0" borderId="0" xfId="6" applyFont="1" applyBorder="1" applyAlignment="1" applyProtection="1">
      <alignment horizontal="center" vertical="center"/>
      <protection locked="0"/>
    </xf>
    <xf numFmtId="0" fontId="52" fillId="0" borderId="109" xfId="6" applyFont="1" applyBorder="1" applyAlignment="1" applyProtection="1">
      <alignment horizontal="center" vertical="center"/>
      <protection locked="0"/>
    </xf>
    <xf numFmtId="41" fontId="64" fillId="0" borderId="106" xfId="6" applyNumberFormat="1" applyFont="1" applyBorder="1" applyAlignment="1" applyProtection="1">
      <alignment horizontal="center" vertical="center" wrapText="1"/>
    </xf>
    <xf numFmtId="41" fontId="64" fillId="0" borderId="107" xfId="6" applyNumberFormat="1" applyFont="1" applyBorder="1" applyAlignment="1" applyProtection="1">
      <alignment horizontal="center" vertical="center" wrapText="1"/>
    </xf>
    <xf numFmtId="41" fontId="64" fillId="0" borderId="0" xfId="6" applyNumberFormat="1" applyFont="1" applyBorder="1" applyAlignment="1" applyProtection="1">
      <alignment horizontal="center" vertical="center" wrapText="1"/>
    </xf>
    <xf numFmtId="41" fontId="64" fillId="0" borderId="109" xfId="6" applyNumberFormat="1" applyFont="1" applyBorder="1" applyAlignment="1" applyProtection="1">
      <alignment horizontal="center" vertical="center" wrapText="1"/>
    </xf>
    <xf numFmtId="0" fontId="62" fillId="14" borderId="46" xfId="6" applyFont="1" applyFill="1" applyBorder="1" applyAlignment="1" applyProtection="1">
      <alignment horizontal="center" vertical="center"/>
      <protection locked="0"/>
    </xf>
    <xf numFmtId="41" fontId="62" fillId="0" borderId="46" xfId="6" applyNumberFormat="1" applyFont="1" applyBorder="1" applyAlignment="1" applyProtection="1">
      <alignment horizontal="center" vertical="center"/>
    </xf>
    <xf numFmtId="41" fontId="62" fillId="0" borderId="81" xfId="6" applyNumberFormat="1" applyFont="1" applyBorder="1" applyAlignment="1" applyProtection="1">
      <alignment horizontal="center" vertical="center"/>
    </xf>
    <xf numFmtId="0" fontId="52" fillId="0" borderId="110" xfId="6" applyFont="1" applyBorder="1" applyAlignment="1" applyProtection="1">
      <alignment horizontal="center" vertical="center"/>
      <protection locked="0"/>
    </xf>
    <xf numFmtId="0" fontId="52" fillId="0" borderId="111" xfId="6" applyFont="1" applyBorder="1" applyAlignment="1" applyProtection="1">
      <alignment horizontal="center" vertical="center"/>
      <protection locked="0"/>
    </xf>
    <xf numFmtId="0" fontId="52" fillId="0" borderId="112" xfId="6" applyFont="1" applyBorder="1" applyAlignment="1" applyProtection="1">
      <alignment horizontal="center" vertical="center"/>
      <protection locked="0"/>
    </xf>
    <xf numFmtId="41" fontId="64" fillId="0" borderId="106" xfId="6" applyNumberFormat="1" applyFont="1" applyBorder="1" applyAlignment="1" applyProtection="1">
      <alignment horizontal="center" vertical="center"/>
    </xf>
    <xf numFmtId="41" fontId="64" fillId="0" borderId="107" xfId="6" applyNumberFormat="1" applyFont="1" applyBorder="1" applyAlignment="1" applyProtection="1">
      <alignment horizontal="center" vertical="center"/>
    </xf>
    <xf numFmtId="41" fontId="64" fillId="0" borderId="111" xfId="6" applyNumberFormat="1" applyFont="1" applyBorder="1" applyAlignment="1" applyProtection="1">
      <alignment horizontal="center" vertical="center"/>
    </xf>
    <xf numFmtId="41" fontId="64" fillId="0" borderId="112" xfId="6" applyNumberFormat="1" applyFont="1" applyBorder="1" applyAlignment="1" applyProtection="1">
      <alignment horizontal="center" vertical="center"/>
    </xf>
    <xf numFmtId="41" fontId="52" fillId="0" borderId="1" xfId="6" applyNumberFormat="1" applyFont="1" applyBorder="1" applyAlignment="1" applyProtection="1">
      <alignment horizontal="center" vertical="center"/>
    </xf>
    <xf numFmtId="41" fontId="52" fillId="0" borderId="16" xfId="6" applyNumberFormat="1" applyFont="1" applyBorder="1" applyAlignment="1" applyProtection="1">
      <alignment horizontal="center" vertical="center"/>
    </xf>
    <xf numFmtId="178" fontId="52" fillId="0" borderId="2" xfId="6" applyNumberFormat="1" applyFont="1" applyBorder="1" applyAlignment="1" applyProtection="1">
      <alignment horizontal="center" vertical="center"/>
    </xf>
    <xf numFmtId="178" fontId="52" fillId="0" borderId="17" xfId="6" applyNumberFormat="1" applyFont="1" applyBorder="1" applyAlignment="1" applyProtection="1">
      <alignment horizontal="center" vertical="center"/>
    </xf>
    <xf numFmtId="178" fontId="59" fillId="6" borderId="2" xfId="6" applyNumberFormat="1" applyFont="1" applyFill="1" applyBorder="1" applyAlignment="1" applyProtection="1">
      <alignment horizontal="center" vertical="center"/>
    </xf>
    <xf numFmtId="178" fontId="59" fillId="6" borderId="3" xfId="6" applyNumberFormat="1" applyFont="1" applyFill="1" applyBorder="1" applyAlignment="1" applyProtection="1">
      <alignment horizontal="center" vertical="center"/>
    </xf>
    <xf numFmtId="178" fontId="59" fillId="6" borderId="17" xfId="6" applyNumberFormat="1" applyFont="1" applyFill="1" applyBorder="1" applyAlignment="1" applyProtection="1">
      <alignment horizontal="center" vertical="center"/>
    </xf>
    <xf numFmtId="178" fontId="59" fillId="6" borderId="5" xfId="6" applyNumberFormat="1" applyFont="1" applyFill="1" applyBorder="1" applyAlignment="1" applyProtection="1">
      <alignment horizontal="center" vertical="center"/>
    </xf>
    <xf numFmtId="0" fontId="53" fillId="0" borderId="83" xfId="6" applyFont="1" applyBorder="1" applyAlignment="1" applyProtection="1">
      <alignment horizontal="center" vertical="center" textRotation="255"/>
      <protection locked="0"/>
    </xf>
    <xf numFmtId="0" fontId="53" fillId="0" borderId="86" xfId="6" applyFont="1" applyBorder="1" applyAlignment="1" applyProtection="1">
      <alignment horizontal="center" vertical="center" textRotation="255"/>
      <protection locked="0"/>
    </xf>
    <xf numFmtId="0" fontId="53" fillId="0" borderId="55" xfId="6" applyFont="1" applyBorder="1" applyAlignment="1" applyProtection="1">
      <alignment horizontal="center" vertical="center" textRotation="255"/>
      <protection locked="0"/>
    </xf>
    <xf numFmtId="0" fontId="52" fillId="0" borderId="84" xfId="6" applyFont="1" applyFill="1" applyBorder="1" applyAlignment="1" applyProtection="1">
      <alignment horizontal="left" vertical="center" wrapText="1"/>
      <protection locked="0"/>
    </xf>
    <xf numFmtId="0" fontId="52" fillId="0" borderId="40" xfId="6" applyFont="1" applyFill="1" applyBorder="1" applyAlignment="1" applyProtection="1">
      <alignment horizontal="left" vertical="center" wrapText="1"/>
      <protection locked="0"/>
    </xf>
    <xf numFmtId="0" fontId="53" fillId="0" borderId="85" xfId="6" applyFont="1" applyFill="1" applyBorder="1" applyAlignment="1" applyProtection="1">
      <alignment horizontal="center" vertical="center"/>
      <protection locked="0"/>
    </xf>
    <xf numFmtId="0" fontId="53" fillId="0" borderId="10" xfId="6" applyFont="1" applyFill="1" applyBorder="1" applyAlignment="1" applyProtection="1">
      <alignment horizontal="center" vertical="center"/>
      <protection locked="0"/>
    </xf>
    <xf numFmtId="0" fontId="52" fillId="0" borderId="85" xfId="6" applyFont="1" applyFill="1" applyBorder="1" applyAlignment="1" applyProtection="1">
      <alignment horizontal="center" vertical="center"/>
      <protection locked="0"/>
    </xf>
    <xf numFmtId="0" fontId="52" fillId="0" borderId="39" xfId="6" applyFont="1" applyFill="1" applyBorder="1" applyAlignment="1" applyProtection="1">
      <alignment horizontal="center" vertical="center"/>
      <protection locked="0"/>
    </xf>
    <xf numFmtId="0" fontId="52" fillId="0" borderId="34" xfId="6" applyFont="1" applyFill="1" applyBorder="1" applyAlignment="1" applyProtection="1">
      <alignment horizontal="center" vertical="center"/>
      <protection locked="0"/>
    </xf>
    <xf numFmtId="0" fontId="52" fillId="0" borderId="35" xfId="6" applyFont="1" applyFill="1" applyBorder="1" applyAlignment="1" applyProtection="1">
      <alignment horizontal="center" vertical="center"/>
      <protection locked="0"/>
    </xf>
    <xf numFmtId="0" fontId="52" fillId="0" borderId="1" xfId="6" applyFont="1" applyFill="1" applyBorder="1" applyAlignment="1" applyProtection="1">
      <alignment horizontal="center" vertical="center"/>
      <protection locked="0"/>
    </xf>
    <xf numFmtId="0" fontId="52" fillId="0" borderId="2" xfId="6" applyFont="1" applyFill="1" applyBorder="1" applyAlignment="1" applyProtection="1">
      <alignment horizontal="center" vertical="center"/>
      <protection locked="0"/>
    </xf>
    <xf numFmtId="0" fontId="52" fillId="0" borderId="3" xfId="6" applyFont="1" applyFill="1" applyBorder="1" applyAlignment="1" applyProtection="1">
      <alignment horizontal="center" vertical="center"/>
      <protection locked="0"/>
    </xf>
    <xf numFmtId="41" fontId="62" fillId="0" borderId="1" xfId="6" applyNumberFormat="1" applyFont="1" applyBorder="1" applyAlignment="1" applyProtection="1">
      <alignment horizontal="center" vertical="center"/>
    </xf>
    <xf numFmtId="41" fontId="62" fillId="0" borderId="2" xfId="6" applyNumberFormat="1" applyFont="1" applyBorder="1" applyAlignment="1" applyProtection="1">
      <alignment horizontal="center" vertical="center"/>
    </xf>
    <xf numFmtId="41" fontId="62" fillId="0" borderId="3" xfId="6" applyNumberFormat="1" applyFont="1" applyBorder="1" applyAlignment="1" applyProtection="1">
      <alignment horizontal="center" vertical="center"/>
    </xf>
    <xf numFmtId="41" fontId="62" fillId="0" borderId="16" xfId="6" applyNumberFormat="1" applyFont="1" applyBorder="1" applyAlignment="1" applyProtection="1">
      <alignment horizontal="center" vertical="center"/>
    </xf>
    <xf numFmtId="41" fontId="62" fillId="0" borderId="17" xfId="6" applyNumberFormat="1" applyFont="1" applyBorder="1" applyAlignment="1" applyProtection="1">
      <alignment horizontal="center" vertical="center"/>
    </xf>
    <xf numFmtId="41" fontId="62" fillId="0" borderId="5" xfId="6" applyNumberFormat="1" applyFont="1" applyBorder="1" applyAlignment="1" applyProtection="1">
      <alignment horizontal="center" vertical="center"/>
    </xf>
    <xf numFmtId="0" fontId="60" fillId="0" borderId="85" xfId="6" applyFont="1" applyFill="1" applyBorder="1" applyAlignment="1" applyProtection="1">
      <alignment horizontal="center" vertical="center" wrapText="1"/>
      <protection locked="0"/>
    </xf>
    <xf numFmtId="0" fontId="60" fillId="0" borderId="10" xfId="6" applyFont="1" applyFill="1" applyBorder="1" applyAlignment="1" applyProtection="1">
      <alignment horizontal="center" vertical="center" wrapText="1"/>
      <protection locked="0"/>
    </xf>
    <xf numFmtId="0" fontId="52" fillId="0" borderId="22" xfId="6" applyFont="1" applyFill="1" applyBorder="1" applyAlignment="1" applyProtection="1">
      <alignment horizontal="center" vertical="center"/>
      <protection locked="0"/>
    </xf>
    <xf numFmtId="0" fontId="52" fillId="0" borderId="53" xfId="6" applyFont="1" applyFill="1" applyBorder="1" applyAlignment="1" applyProtection="1">
      <alignment horizontal="center" vertical="center"/>
      <protection locked="0"/>
    </xf>
    <xf numFmtId="0" fontId="53" fillId="8" borderId="2" xfId="6" applyFont="1" applyFill="1" applyBorder="1" applyAlignment="1" applyProtection="1">
      <alignment horizontal="center" vertical="center"/>
      <protection locked="0"/>
    </xf>
    <xf numFmtId="0" fontId="53" fillId="8" borderId="2" xfId="6" applyFont="1" applyFill="1" applyBorder="1" applyAlignment="1" applyProtection="1">
      <alignment horizontal="center" vertical="center" shrinkToFit="1"/>
      <protection locked="0"/>
    </xf>
    <xf numFmtId="0" fontId="53" fillId="8" borderId="7" xfId="6" applyFont="1" applyFill="1" applyBorder="1" applyAlignment="1" applyProtection="1">
      <alignment horizontal="center" vertical="center" shrinkToFit="1"/>
      <protection locked="0"/>
    </xf>
    <xf numFmtId="178" fontId="52" fillId="0" borderId="1" xfId="6" applyNumberFormat="1" applyFont="1" applyBorder="1" applyAlignment="1" applyProtection="1">
      <alignment horizontal="center" vertical="center"/>
    </xf>
    <xf numFmtId="178" fontId="52" fillId="0" borderId="4" xfId="6" applyNumberFormat="1" applyFont="1" applyBorder="1" applyAlignment="1" applyProtection="1">
      <alignment horizontal="center" vertical="center"/>
    </xf>
    <xf numFmtId="178" fontId="17" fillId="0" borderId="2" xfId="6" applyNumberFormat="1" applyFont="1" applyFill="1" applyBorder="1" applyAlignment="1" applyProtection="1">
      <alignment horizontal="center" vertical="center"/>
    </xf>
    <xf numFmtId="178" fontId="17" fillId="0" borderId="3" xfId="6" applyNumberFormat="1" applyFont="1" applyFill="1" applyBorder="1" applyAlignment="1" applyProtection="1">
      <alignment horizontal="center" vertical="center"/>
    </xf>
    <xf numFmtId="178" fontId="17" fillId="0" borderId="4" xfId="6" applyNumberFormat="1" applyFont="1" applyFill="1" applyBorder="1" applyAlignment="1" applyProtection="1">
      <alignment horizontal="center" vertical="center"/>
    </xf>
    <xf numFmtId="178" fontId="17" fillId="0" borderId="6" xfId="6" applyNumberFormat="1" applyFont="1" applyFill="1" applyBorder="1" applyAlignment="1" applyProtection="1">
      <alignment horizontal="center" vertical="center"/>
    </xf>
    <xf numFmtId="41" fontId="52" fillId="0" borderId="19" xfId="6" applyNumberFormat="1" applyFont="1" applyFill="1" applyBorder="1" applyAlignment="1" applyProtection="1">
      <alignment horizontal="center" vertical="center"/>
      <protection locked="0"/>
    </xf>
    <xf numFmtId="41" fontId="52" fillId="0" borderId="18" xfId="6" applyNumberFormat="1" applyFont="1" applyFill="1" applyBorder="1" applyAlignment="1" applyProtection="1">
      <alignment horizontal="center" vertical="center"/>
      <protection locked="0"/>
    </xf>
    <xf numFmtId="41" fontId="52" fillId="0" borderId="7" xfId="6" applyNumberFormat="1" applyFont="1" applyFill="1" applyBorder="1" applyAlignment="1" applyProtection="1">
      <alignment horizontal="center" vertical="center"/>
      <protection locked="0"/>
    </xf>
    <xf numFmtId="41" fontId="52" fillId="0" borderId="8" xfId="6" applyNumberFormat="1" applyFont="1" applyFill="1" applyBorder="1" applyAlignment="1" applyProtection="1">
      <alignment horizontal="center" vertical="center"/>
      <protection locked="0"/>
    </xf>
    <xf numFmtId="41" fontId="52" fillId="0" borderId="13" xfId="6" applyNumberFormat="1" applyFont="1" applyFill="1" applyBorder="1" applyAlignment="1" applyProtection="1">
      <alignment horizontal="center" vertical="center"/>
      <protection locked="0"/>
    </xf>
    <xf numFmtId="41" fontId="52" fillId="0" borderId="113" xfId="6" applyNumberFormat="1" applyFont="1" applyFill="1" applyBorder="1" applyAlignment="1" applyProtection="1">
      <alignment horizontal="center" vertical="center"/>
      <protection locked="0"/>
    </xf>
    <xf numFmtId="41" fontId="52" fillId="0" borderId="81" xfId="6" applyNumberFormat="1" applyFont="1" applyFill="1" applyBorder="1" applyAlignment="1" applyProtection="1">
      <alignment horizontal="center" vertical="center"/>
      <protection locked="0"/>
    </xf>
    <xf numFmtId="41" fontId="52" fillId="0" borderId="0" xfId="6" applyNumberFormat="1" applyFont="1" applyFill="1" applyBorder="1" applyAlignment="1" applyProtection="1">
      <alignment horizontal="center" vertical="center"/>
      <protection locked="0"/>
    </xf>
    <xf numFmtId="41" fontId="52" fillId="0" borderId="53" xfId="6" applyNumberFormat="1" applyFont="1" applyFill="1" applyBorder="1" applyAlignment="1" applyProtection="1">
      <alignment horizontal="center" vertical="center"/>
      <protection locked="0"/>
    </xf>
    <xf numFmtId="41" fontId="52" fillId="0" borderId="9" xfId="6" applyNumberFormat="1" applyFont="1" applyFill="1" applyBorder="1" applyAlignment="1" applyProtection="1">
      <alignment horizontal="center" vertical="center"/>
      <protection locked="0"/>
    </xf>
    <xf numFmtId="41" fontId="52" fillId="0" borderId="21" xfId="6" applyNumberFormat="1" applyFont="1" applyFill="1" applyBorder="1" applyAlignment="1" applyProtection="1">
      <alignment horizontal="center" vertical="center"/>
      <protection locked="0"/>
    </xf>
    <xf numFmtId="41" fontId="52" fillId="0" borderId="14" xfId="6" applyNumberFormat="1" applyFont="1" applyFill="1" applyBorder="1" applyAlignment="1" applyProtection="1">
      <alignment horizontal="center" vertical="center"/>
      <protection locked="0"/>
    </xf>
    <xf numFmtId="41" fontId="52" fillId="0" borderId="24" xfId="6" applyNumberFormat="1" applyFont="1" applyFill="1" applyBorder="1" applyAlignment="1" applyProtection="1">
      <alignment horizontal="center" vertical="center"/>
      <protection locked="0"/>
    </xf>
    <xf numFmtId="41" fontId="52" fillId="0" borderId="25" xfId="6" applyNumberFormat="1" applyFont="1" applyFill="1" applyBorder="1" applyAlignment="1" applyProtection="1">
      <alignment horizontal="center" vertical="center"/>
      <protection locked="0"/>
    </xf>
    <xf numFmtId="41" fontId="52" fillId="0" borderId="21" xfId="6" applyNumberFormat="1" applyFont="1" applyFill="1" applyBorder="1" applyAlignment="1" applyProtection="1">
      <alignment horizontal="center" vertical="center" wrapText="1"/>
      <protection locked="0"/>
    </xf>
    <xf numFmtId="41" fontId="52" fillId="0" borderId="26" xfId="6" applyNumberFormat="1" applyFont="1" applyFill="1" applyBorder="1" applyAlignment="1" applyProtection="1">
      <alignment horizontal="center" vertical="center" wrapText="1"/>
      <protection locked="0"/>
    </xf>
    <xf numFmtId="41" fontId="52" fillId="0" borderId="14" xfId="6" applyNumberFormat="1" applyFont="1" applyFill="1" applyBorder="1" applyAlignment="1" applyProtection="1">
      <alignment horizontal="center" vertical="center" wrapText="1"/>
      <protection locked="0"/>
    </xf>
    <xf numFmtId="41" fontId="52" fillId="0" borderId="53" xfId="6" applyNumberFormat="1" applyFont="1" applyFill="1" applyBorder="1" applyAlignment="1" applyProtection="1">
      <alignment horizontal="center" vertical="center" wrapText="1"/>
      <protection locked="0"/>
    </xf>
    <xf numFmtId="41" fontId="52" fillId="0" borderId="9" xfId="6" applyNumberFormat="1" applyFont="1" applyFill="1" applyBorder="1" applyAlignment="1" applyProtection="1">
      <alignment horizontal="center" vertical="center" wrapText="1"/>
      <protection locked="0"/>
    </xf>
    <xf numFmtId="41" fontId="52" fillId="0" borderId="25" xfId="6" applyNumberFormat="1" applyFont="1" applyFill="1" applyBorder="1" applyAlignment="1" applyProtection="1">
      <alignment horizontal="center" vertical="center" wrapText="1"/>
      <protection locked="0"/>
    </xf>
    <xf numFmtId="41" fontId="52" fillId="0" borderId="26" xfId="6" applyNumberFormat="1" applyFont="1" applyFill="1" applyBorder="1" applyAlignment="1" applyProtection="1">
      <alignment horizontal="center" vertical="center"/>
      <protection locked="0"/>
    </xf>
    <xf numFmtId="0" fontId="53" fillId="0" borderId="34" xfId="6" applyFont="1" applyFill="1" applyBorder="1" applyAlignment="1" applyProtection="1">
      <alignment horizontal="center" vertical="center" wrapText="1"/>
      <protection locked="0"/>
    </xf>
    <xf numFmtId="0" fontId="53" fillId="0" borderId="34" xfId="6" applyFont="1" applyFill="1" applyBorder="1" applyAlignment="1" applyProtection="1">
      <alignment horizontal="center" vertical="center"/>
      <protection locked="0"/>
    </xf>
    <xf numFmtId="0" fontId="53" fillId="0" borderId="32" xfId="6" applyFont="1" applyFill="1" applyBorder="1" applyAlignment="1" applyProtection="1">
      <alignment horizontal="center" vertical="center"/>
      <protection locked="0"/>
    </xf>
    <xf numFmtId="0" fontId="52" fillId="0" borderId="39" xfId="6" applyFont="1" applyFill="1" applyBorder="1" applyAlignment="1" applyProtection="1">
      <alignment horizontal="center" vertical="center" wrapText="1"/>
      <protection locked="0"/>
    </xf>
    <xf numFmtId="0" fontId="52" fillId="0" borderId="1" xfId="6" applyFont="1" applyFill="1" applyBorder="1" applyAlignment="1" applyProtection="1">
      <alignment horizontal="center" vertical="center" wrapText="1"/>
      <protection locked="0"/>
    </xf>
    <xf numFmtId="0" fontId="52" fillId="0" borderId="34" xfId="6" applyFont="1" applyFill="1" applyBorder="1" applyAlignment="1" applyProtection="1">
      <alignment horizontal="center" vertical="center" wrapText="1"/>
      <protection locked="0"/>
    </xf>
    <xf numFmtId="0" fontId="52" fillId="0" borderId="2" xfId="6" applyFont="1" applyFill="1" applyBorder="1" applyAlignment="1" applyProtection="1">
      <alignment horizontal="center" vertical="center" wrapText="1"/>
      <protection locked="0"/>
    </xf>
    <xf numFmtId="0" fontId="17" fillId="6" borderId="34" xfId="6" applyFont="1" applyFill="1" applyBorder="1" applyAlignment="1" applyProtection="1">
      <alignment horizontal="center" vertical="center" wrapText="1"/>
      <protection locked="0"/>
    </xf>
    <xf numFmtId="0" fontId="17" fillId="6" borderId="35" xfId="6" applyFont="1" applyFill="1" applyBorder="1" applyAlignment="1" applyProtection="1">
      <alignment horizontal="center" vertical="center" wrapText="1"/>
      <protection locked="0"/>
    </xf>
    <xf numFmtId="0" fontId="17" fillId="6" borderId="2" xfId="6" applyFont="1" applyFill="1" applyBorder="1" applyAlignment="1" applyProtection="1">
      <alignment horizontal="center" vertical="center" wrapText="1"/>
      <protection locked="0"/>
    </xf>
    <xf numFmtId="0" fontId="17" fillId="6" borderId="3" xfId="6" applyFont="1" applyFill="1" applyBorder="1" applyAlignment="1" applyProtection="1">
      <alignment horizontal="center" vertical="center" wrapText="1"/>
      <protection locked="0"/>
    </xf>
    <xf numFmtId="0" fontId="52" fillId="0" borderId="7" xfId="6" applyFont="1" applyFill="1" applyBorder="1" applyAlignment="1" applyProtection="1">
      <alignment horizontal="center" vertical="center"/>
      <protection locked="0"/>
    </xf>
    <xf numFmtId="0" fontId="52" fillId="0" borderId="8" xfId="6" applyFont="1" applyFill="1" applyBorder="1" applyAlignment="1" applyProtection="1">
      <alignment horizontal="center" vertical="center"/>
      <protection locked="0"/>
    </xf>
    <xf numFmtId="0" fontId="52" fillId="0" borderId="13" xfId="6" applyFont="1" applyFill="1" applyBorder="1" applyAlignment="1" applyProtection="1">
      <alignment horizontal="center" vertical="center"/>
      <protection locked="0"/>
    </xf>
    <xf numFmtId="0" fontId="53" fillId="0" borderId="39" xfId="6" applyFont="1" applyBorder="1" applyAlignment="1" applyProtection="1">
      <alignment horizontal="center" vertical="center" textRotation="255"/>
      <protection locked="0"/>
    </xf>
    <xf numFmtId="0" fontId="53" fillId="0" borderId="1" xfId="6" applyFont="1" applyBorder="1" applyAlignment="1" applyProtection="1">
      <alignment horizontal="center" vertical="center" textRotation="255"/>
      <protection locked="0"/>
    </xf>
    <xf numFmtId="0" fontId="53" fillId="0" borderId="16" xfId="6" applyFont="1" applyBorder="1" applyAlignment="1" applyProtection="1">
      <alignment horizontal="center" vertical="center" textRotation="255"/>
      <protection locked="0"/>
    </xf>
    <xf numFmtId="0" fontId="52" fillId="0" borderId="79" xfId="6" applyFont="1" applyFill="1" applyBorder="1" applyAlignment="1" applyProtection="1">
      <alignment horizontal="left" vertical="center" wrapText="1"/>
      <protection locked="0"/>
    </xf>
    <xf numFmtId="0" fontId="52" fillId="0" borderId="80" xfId="6" applyFont="1" applyFill="1" applyBorder="1" applyAlignment="1" applyProtection="1">
      <alignment horizontal="left" vertical="center"/>
      <protection locked="0"/>
    </xf>
    <xf numFmtId="0" fontId="52" fillId="0" borderId="17" xfId="6" applyFont="1" applyFill="1" applyBorder="1" applyAlignment="1" applyProtection="1">
      <alignment horizontal="center" vertical="center"/>
      <protection locked="0"/>
    </xf>
    <xf numFmtId="41" fontId="52" fillId="0" borderId="56" xfId="6" applyNumberFormat="1" applyFont="1" applyFill="1" applyBorder="1" applyAlignment="1" applyProtection="1">
      <alignment horizontal="center" vertical="center"/>
      <protection locked="0"/>
    </xf>
    <xf numFmtId="41" fontId="52" fillId="0" borderId="82" xfId="6" applyNumberFormat="1" applyFont="1" applyFill="1" applyBorder="1" applyAlignment="1" applyProtection="1">
      <alignment horizontal="center" vertical="center"/>
      <protection locked="0"/>
    </xf>
    <xf numFmtId="0" fontId="53" fillId="0" borderId="7" xfId="6" applyFont="1" applyBorder="1" applyAlignment="1" applyProtection="1">
      <alignment horizontal="center" vertical="center"/>
      <protection locked="0"/>
    </xf>
    <xf numFmtId="0" fontId="53" fillId="0" borderId="12" xfId="6" applyFont="1" applyBorder="1" applyAlignment="1" applyProtection="1">
      <alignment horizontal="center" vertical="center"/>
      <protection locked="0"/>
    </xf>
    <xf numFmtId="0" fontId="53" fillId="0" borderId="8" xfId="6" applyFont="1" applyBorder="1" applyAlignment="1" applyProtection="1">
      <alignment horizontal="center" vertical="center"/>
      <protection locked="0"/>
    </xf>
    <xf numFmtId="0" fontId="53" fillId="0" borderId="2" xfId="6" applyFont="1" applyBorder="1" applyAlignment="1" applyProtection="1">
      <alignment horizontal="center" vertical="center"/>
      <protection locked="0"/>
    </xf>
    <xf numFmtId="0" fontId="17" fillId="0" borderId="21" xfId="7" applyFont="1" applyFill="1" applyBorder="1" applyAlignment="1" applyProtection="1">
      <alignment horizontal="center" vertical="center"/>
    </xf>
    <xf numFmtId="0" fontId="17" fillId="0" borderId="14" xfId="7" applyFont="1" applyFill="1" applyBorder="1" applyAlignment="1" applyProtection="1">
      <alignment horizontal="center" vertical="center"/>
    </xf>
    <xf numFmtId="0" fontId="53" fillId="0" borderId="19" xfId="6" applyFont="1" applyBorder="1" applyAlignment="1" applyProtection="1">
      <alignment horizontal="center" vertical="center"/>
      <protection locked="0"/>
    </xf>
    <xf numFmtId="0" fontId="53" fillId="0" borderId="20" xfId="6" applyFont="1" applyBorder="1" applyAlignment="1" applyProtection="1">
      <alignment horizontal="center" vertical="center"/>
      <protection locked="0"/>
    </xf>
    <xf numFmtId="0" fontId="53" fillId="0" borderId="18" xfId="6" applyFont="1" applyBorder="1" applyAlignment="1" applyProtection="1">
      <alignment horizontal="center" vertical="center"/>
      <protection locked="0"/>
    </xf>
    <xf numFmtId="0" fontId="17" fillId="0" borderId="44" xfId="7" applyFont="1" applyFill="1" applyBorder="1" applyAlignment="1" applyProtection="1">
      <alignment horizontal="center" vertical="center"/>
    </xf>
    <xf numFmtId="0" fontId="17" fillId="0" borderId="78" xfId="7" applyFont="1" applyFill="1" applyBorder="1" applyAlignment="1" applyProtection="1">
      <alignment horizontal="center" vertical="center"/>
    </xf>
    <xf numFmtId="0" fontId="51" fillId="0" borderId="0" xfId="6" applyFont="1" applyBorder="1" applyAlignment="1" applyProtection="1">
      <alignment horizontal="center" vertical="center"/>
      <protection locked="0"/>
    </xf>
    <xf numFmtId="0" fontId="53" fillId="0" borderId="32" xfId="6" applyFont="1" applyBorder="1" applyAlignment="1" applyProtection="1">
      <alignment horizontal="center" vertical="center"/>
      <protection locked="0"/>
    </xf>
    <xf numFmtId="0" fontId="53" fillId="0" borderId="68" xfId="6" applyFont="1" applyBorder="1" applyAlignment="1" applyProtection="1">
      <alignment horizontal="center" vertical="center"/>
      <protection locked="0"/>
    </xf>
    <xf numFmtId="0" fontId="53" fillId="0" borderId="33" xfId="6" applyFont="1" applyBorder="1" applyAlignment="1" applyProtection="1">
      <alignment horizontal="center" vertical="center"/>
      <protection locked="0"/>
    </xf>
    <xf numFmtId="0" fontId="64" fillId="13" borderId="32" xfId="6" applyFont="1" applyFill="1" applyBorder="1" applyAlignment="1" applyProtection="1">
      <alignment horizontal="center" vertical="center"/>
      <protection locked="0"/>
    </xf>
    <xf numFmtId="0" fontId="64" fillId="13" borderId="68" xfId="6" applyFont="1" applyFill="1" applyBorder="1" applyAlignment="1" applyProtection="1">
      <alignment horizontal="center" vertical="center"/>
      <protection locked="0"/>
    </xf>
    <xf numFmtId="0" fontId="64" fillId="13" borderId="69" xfId="6" applyFont="1" applyFill="1" applyBorder="1" applyAlignment="1" applyProtection="1">
      <alignment horizontal="center" vertical="center"/>
      <protection locked="0"/>
    </xf>
    <xf numFmtId="0" fontId="66" fillId="6" borderId="71" xfId="6" applyFont="1" applyFill="1" applyBorder="1" applyAlignment="1" applyProtection="1">
      <alignment horizontal="center" vertical="center" textRotation="255"/>
      <protection locked="0"/>
    </xf>
    <xf numFmtId="0" fontId="66" fillId="6" borderId="76" xfId="6" applyFont="1" applyFill="1" applyBorder="1" applyAlignment="1" applyProtection="1">
      <alignment horizontal="center" vertical="center" textRotation="255"/>
      <protection locked="0"/>
    </xf>
    <xf numFmtId="0" fontId="66" fillId="6" borderId="77" xfId="6" applyFont="1" applyFill="1" applyBorder="1" applyAlignment="1" applyProtection="1">
      <alignment horizontal="center" vertical="center" textRotation="255"/>
      <protection locked="0"/>
    </xf>
    <xf numFmtId="0" fontId="42" fillId="6" borderId="72" xfId="6" applyFont="1" applyFill="1" applyBorder="1" applyAlignment="1" applyProtection="1">
      <alignment horizontal="center" vertical="center"/>
      <protection locked="0"/>
    </xf>
    <xf numFmtId="0" fontId="42" fillId="6" borderId="73" xfId="6" applyFont="1" applyFill="1" applyBorder="1" applyAlignment="1" applyProtection="1">
      <alignment horizontal="center" vertical="center"/>
      <protection locked="0"/>
    </xf>
    <xf numFmtId="0" fontId="42" fillId="6" borderId="74" xfId="6" applyFont="1" applyFill="1" applyBorder="1" applyAlignment="1" applyProtection="1">
      <alignment horizontal="center" vertical="center"/>
      <protection locked="0"/>
    </xf>
    <xf numFmtId="0" fontId="53" fillId="6" borderId="72" xfId="6" applyFont="1" applyFill="1" applyBorder="1" applyAlignment="1" applyProtection="1">
      <alignment horizontal="center" vertical="center"/>
      <protection locked="0"/>
    </xf>
    <xf numFmtId="0" fontId="53" fillId="6" borderId="73" xfId="6" applyFont="1" applyFill="1" applyBorder="1" applyAlignment="1" applyProtection="1">
      <alignment horizontal="center" vertical="center"/>
      <protection locked="0"/>
    </xf>
    <xf numFmtId="0" fontId="53" fillId="6" borderId="75" xfId="6" applyFont="1" applyFill="1" applyBorder="1" applyAlignment="1" applyProtection="1">
      <alignment horizontal="center" vertical="center"/>
      <protection locked="0"/>
    </xf>
    <xf numFmtId="0" fontId="55" fillId="0" borderId="7" xfId="6" applyFont="1" applyBorder="1" applyAlignment="1" applyProtection="1">
      <alignment horizontal="center" vertical="center"/>
      <protection locked="0"/>
    </xf>
    <xf numFmtId="0" fontId="55" fillId="0" borderId="8" xfId="6" applyFont="1" applyBorder="1" applyAlignment="1" applyProtection="1">
      <alignment horizontal="center" vertical="center"/>
      <protection locked="0"/>
    </xf>
    <xf numFmtId="0" fontId="17" fillId="14" borderId="44" xfId="7" applyFont="1" applyFill="1" applyBorder="1" applyAlignment="1" applyProtection="1">
      <alignment horizontal="center" vertical="center"/>
      <protection locked="0"/>
    </xf>
    <xf numFmtId="0" fontId="17" fillId="14" borderId="78" xfId="7" applyFont="1" applyFill="1" applyBorder="1" applyAlignment="1" applyProtection="1">
      <alignment horizontal="center" vertical="center"/>
      <protection locked="0"/>
    </xf>
    <xf numFmtId="0" fontId="53" fillId="16" borderId="2" xfId="6" applyFont="1" applyFill="1" applyBorder="1" applyAlignment="1" applyProtection="1">
      <alignment horizontal="center" vertical="center" wrapText="1"/>
      <protection locked="0"/>
    </xf>
    <xf numFmtId="178" fontId="17" fillId="16" borderId="2" xfId="6" applyNumberFormat="1" applyFont="1" applyFill="1" applyBorder="1" applyAlignment="1" applyProtection="1">
      <alignment horizontal="center" vertical="center"/>
    </xf>
    <xf numFmtId="178" fontId="17" fillId="16" borderId="3" xfId="6" applyNumberFormat="1" applyFont="1" applyFill="1" applyBorder="1" applyAlignment="1" applyProtection="1">
      <alignment horizontal="center" vertical="center"/>
    </xf>
    <xf numFmtId="0" fontId="52" fillId="16" borderId="8" xfId="6" applyFont="1" applyFill="1" applyBorder="1" applyAlignment="1" applyProtection="1">
      <alignment horizontal="center" vertical="center" wrapText="1"/>
      <protection locked="0"/>
    </xf>
    <xf numFmtId="0" fontId="17" fillId="16" borderId="2" xfId="6" applyFont="1" applyFill="1" applyBorder="1" applyAlignment="1" applyProtection="1">
      <alignment horizontal="center" vertical="center" wrapText="1"/>
      <protection locked="0"/>
    </xf>
    <xf numFmtId="0" fontId="52" fillId="16" borderId="2" xfId="6" applyFont="1" applyFill="1" applyBorder="1" applyAlignment="1" applyProtection="1">
      <alignment horizontal="center" vertical="center" wrapText="1"/>
      <protection locked="0"/>
    </xf>
    <xf numFmtId="0" fontId="51" fillId="16" borderId="2" xfId="0" applyFont="1" applyFill="1" applyBorder="1" applyAlignment="1" applyProtection="1">
      <alignment horizontal="center" vertical="center"/>
      <protection locked="0"/>
    </xf>
    <xf numFmtId="0" fontId="53" fillId="16" borderId="2" xfId="6" applyFont="1" applyFill="1" applyBorder="1" applyAlignment="1" applyProtection="1">
      <alignment horizontal="center" vertical="center" shrinkToFit="1"/>
      <protection locked="0"/>
    </xf>
    <xf numFmtId="0" fontId="53" fillId="16" borderId="2" xfId="6" applyFont="1" applyFill="1" applyBorder="1" applyAlignment="1" applyProtection="1">
      <alignment horizontal="center" vertical="center" textRotation="255"/>
      <protection locked="0"/>
    </xf>
    <xf numFmtId="0" fontId="52" fillId="16" borderId="80" xfId="6" applyFont="1" applyFill="1" applyBorder="1" applyAlignment="1" applyProtection="1">
      <alignment horizontal="left" vertical="center" wrapText="1"/>
      <protection locked="0"/>
    </xf>
    <xf numFmtId="0" fontId="52" fillId="16" borderId="80" xfId="6" applyFont="1" applyFill="1" applyBorder="1" applyAlignment="1" applyProtection="1">
      <alignment horizontal="left" vertical="center"/>
      <protection locked="0"/>
    </xf>
    <xf numFmtId="178" fontId="52" fillId="16" borderId="4" xfId="6" applyNumberFormat="1" applyFont="1" applyFill="1" applyBorder="1" applyAlignment="1" applyProtection="1">
      <alignment horizontal="center" vertical="center"/>
    </xf>
    <xf numFmtId="178" fontId="17" fillId="16" borderId="4" xfId="6" applyNumberFormat="1" applyFont="1" applyFill="1" applyBorder="1" applyAlignment="1" applyProtection="1">
      <alignment horizontal="center" vertical="center"/>
    </xf>
    <xf numFmtId="178" fontId="17" fillId="16" borderId="6" xfId="6" applyNumberFormat="1" applyFont="1" applyFill="1" applyBorder="1" applyAlignment="1" applyProtection="1">
      <alignment horizontal="center" vertical="center"/>
    </xf>
    <xf numFmtId="41" fontId="52" fillId="16" borderId="1" xfId="6" applyNumberFormat="1" applyFont="1" applyFill="1" applyBorder="1" applyAlignment="1" applyProtection="1">
      <alignment horizontal="center" vertical="center"/>
    </xf>
    <xf numFmtId="41" fontId="52" fillId="16" borderId="16" xfId="6" applyNumberFormat="1" applyFont="1" applyFill="1" applyBorder="1" applyAlignment="1" applyProtection="1">
      <alignment horizontal="center" vertical="center"/>
    </xf>
    <xf numFmtId="178" fontId="52" fillId="16" borderId="17" xfId="6" applyNumberFormat="1" applyFont="1" applyFill="1" applyBorder="1" applyAlignment="1" applyProtection="1">
      <alignment horizontal="center" vertical="center"/>
    </xf>
    <xf numFmtId="178" fontId="59" fillId="16" borderId="2" xfId="6" applyNumberFormat="1" applyFont="1" applyFill="1" applyBorder="1" applyAlignment="1" applyProtection="1">
      <alignment horizontal="center" vertical="center"/>
    </xf>
    <xf numFmtId="178" fontId="59" fillId="16" borderId="3" xfId="6" applyNumberFormat="1" applyFont="1" applyFill="1" applyBorder="1" applyAlignment="1" applyProtection="1">
      <alignment horizontal="center" vertical="center"/>
    </xf>
    <xf numFmtId="178" fontId="59" fillId="16" borderId="17" xfId="6" applyNumberFormat="1" applyFont="1" applyFill="1" applyBorder="1" applyAlignment="1" applyProtection="1">
      <alignment horizontal="center" vertical="center"/>
    </xf>
    <xf numFmtId="178" fontId="59" fillId="16" borderId="5" xfId="6" applyNumberFormat="1" applyFont="1" applyFill="1" applyBorder="1" applyAlignment="1" applyProtection="1">
      <alignment horizontal="center" vertical="center"/>
    </xf>
    <xf numFmtId="0" fontId="53" fillId="16" borderId="83" xfId="6" applyFont="1" applyFill="1" applyBorder="1" applyAlignment="1" applyProtection="1">
      <alignment horizontal="center" vertical="center" textRotation="255"/>
      <protection locked="0"/>
    </xf>
    <xf numFmtId="0" fontId="53" fillId="16" borderId="86" xfId="6" applyFont="1" applyFill="1" applyBorder="1" applyAlignment="1" applyProtection="1">
      <alignment horizontal="center" vertical="center" textRotation="255"/>
      <protection locked="0"/>
    </xf>
    <xf numFmtId="0" fontId="53" fillId="16" borderId="55" xfId="6" applyFont="1" applyFill="1" applyBorder="1" applyAlignment="1" applyProtection="1">
      <alignment horizontal="center" vertical="center" textRotation="255"/>
      <protection locked="0"/>
    </xf>
    <xf numFmtId="0" fontId="52" fillId="16" borderId="84" xfId="6" applyFont="1" applyFill="1" applyBorder="1" applyAlignment="1" applyProtection="1">
      <alignment horizontal="left" vertical="center" wrapText="1"/>
      <protection locked="0"/>
    </xf>
    <xf numFmtId="0" fontId="52" fillId="16" borderId="40" xfId="6" applyFont="1" applyFill="1" applyBorder="1" applyAlignment="1" applyProtection="1">
      <alignment horizontal="left" vertical="center" wrapText="1"/>
      <protection locked="0"/>
    </xf>
    <xf numFmtId="0" fontId="53" fillId="16" borderId="85" xfId="6" applyFont="1" applyFill="1" applyBorder="1" applyAlignment="1" applyProtection="1">
      <alignment horizontal="center" vertical="center"/>
      <protection locked="0"/>
    </xf>
    <xf numFmtId="0" fontId="53" fillId="16" borderId="10" xfId="6" applyFont="1" applyFill="1" applyBorder="1" applyAlignment="1" applyProtection="1">
      <alignment horizontal="center" vertical="center"/>
      <protection locked="0"/>
    </xf>
    <xf numFmtId="0" fontId="52" fillId="16" borderId="85" xfId="6" applyFont="1" applyFill="1" applyBorder="1" applyAlignment="1" applyProtection="1">
      <alignment horizontal="center" vertical="center"/>
      <protection locked="0"/>
    </xf>
    <xf numFmtId="0" fontId="52" fillId="16" borderId="10" xfId="6" applyFont="1" applyFill="1" applyBorder="1" applyAlignment="1" applyProtection="1">
      <alignment horizontal="center" vertical="center"/>
      <protection locked="0"/>
    </xf>
    <xf numFmtId="0" fontId="60" fillId="16" borderId="85" xfId="6" applyFont="1" applyFill="1" applyBorder="1" applyAlignment="1" applyProtection="1">
      <alignment horizontal="center" vertical="center" wrapText="1"/>
      <protection locked="0"/>
    </xf>
    <xf numFmtId="0" fontId="60" fillId="16" borderId="10" xfId="6" applyFont="1" applyFill="1" applyBorder="1" applyAlignment="1" applyProtection="1">
      <alignment horizontal="center" vertical="center" wrapText="1"/>
      <protection locked="0"/>
    </xf>
    <xf numFmtId="0" fontId="52" fillId="16" borderId="22" xfId="6" applyFont="1" applyFill="1" applyBorder="1" applyAlignment="1" applyProtection="1">
      <alignment horizontal="center" vertical="center"/>
      <protection locked="0"/>
    </xf>
    <xf numFmtId="0" fontId="52" fillId="16" borderId="53" xfId="6" applyFont="1" applyFill="1" applyBorder="1" applyAlignment="1" applyProtection="1">
      <alignment horizontal="center" vertical="center"/>
      <protection locked="0"/>
    </xf>
    <xf numFmtId="0" fontId="52" fillId="16" borderId="39" xfId="6" applyFont="1" applyFill="1" applyBorder="1" applyAlignment="1" applyProtection="1">
      <alignment horizontal="center" vertical="center"/>
      <protection locked="0"/>
    </xf>
    <xf numFmtId="0" fontId="52" fillId="16" borderId="34" xfId="6" applyFont="1" applyFill="1" applyBorder="1" applyAlignment="1" applyProtection="1">
      <alignment horizontal="center" vertical="center"/>
      <protection locked="0"/>
    </xf>
    <xf numFmtId="0" fontId="52" fillId="16" borderId="35" xfId="6" applyFont="1" applyFill="1" applyBorder="1" applyAlignment="1" applyProtection="1">
      <alignment horizontal="center" vertical="center"/>
      <protection locked="0"/>
    </xf>
    <xf numFmtId="0" fontId="52" fillId="16" borderId="1" xfId="6" applyFont="1" applyFill="1" applyBorder="1" applyAlignment="1" applyProtection="1">
      <alignment horizontal="center" vertical="center"/>
      <protection locked="0"/>
    </xf>
    <xf numFmtId="0" fontId="52" fillId="16" borderId="3" xfId="6" applyFont="1" applyFill="1" applyBorder="1" applyAlignment="1" applyProtection="1">
      <alignment horizontal="center" vertical="center"/>
      <protection locked="0"/>
    </xf>
    <xf numFmtId="0" fontId="52" fillId="16" borderId="4" xfId="6" applyFont="1" applyFill="1" applyBorder="1" applyAlignment="1" applyProtection="1">
      <alignment horizontal="center" vertical="center"/>
      <protection locked="0"/>
    </xf>
    <xf numFmtId="0" fontId="62" fillId="16" borderId="4" xfId="6" applyFont="1" applyFill="1" applyBorder="1" applyAlignment="1" applyProtection="1">
      <alignment horizontal="center" vertical="center"/>
      <protection locked="0"/>
    </xf>
    <xf numFmtId="0" fontId="62" fillId="16" borderId="10" xfId="6" applyFont="1" applyFill="1" applyBorder="1" applyAlignment="1" applyProtection="1">
      <alignment horizontal="center" vertical="center"/>
      <protection locked="0"/>
    </xf>
    <xf numFmtId="41" fontId="62" fillId="16" borderId="4" xfId="6" applyNumberFormat="1" applyFont="1" applyFill="1" applyBorder="1" applyAlignment="1" applyProtection="1">
      <alignment horizontal="center" vertical="center"/>
    </xf>
    <xf numFmtId="41" fontId="62" fillId="16" borderId="10" xfId="6" applyNumberFormat="1" applyFont="1" applyFill="1" applyBorder="1" applyAlignment="1" applyProtection="1">
      <alignment horizontal="center" vertical="center"/>
    </xf>
    <xf numFmtId="41" fontId="63" fillId="16" borderId="21" xfId="6" applyNumberFormat="1" applyFont="1" applyFill="1" applyBorder="1" applyAlignment="1" applyProtection="1">
      <alignment horizontal="center" vertical="center"/>
      <protection locked="0"/>
    </xf>
    <xf numFmtId="41" fontId="63" fillId="16" borderId="26" xfId="6" applyNumberFormat="1" applyFont="1" applyFill="1" applyBorder="1" applyAlignment="1" applyProtection="1">
      <alignment horizontal="center" vertical="center"/>
      <protection locked="0"/>
    </xf>
    <xf numFmtId="41" fontId="63" fillId="16" borderId="14" xfId="6" applyNumberFormat="1" applyFont="1" applyFill="1" applyBorder="1" applyAlignment="1" applyProtection="1">
      <alignment horizontal="center" vertical="center"/>
      <protection locked="0"/>
    </xf>
    <xf numFmtId="41" fontId="63" fillId="16" borderId="81" xfId="6" applyNumberFormat="1" applyFont="1" applyFill="1" applyBorder="1" applyAlignment="1" applyProtection="1">
      <alignment horizontal="center" vertical="center"/>
      <protection locked="0"/>
    </xf>
    <xf numFmtId="41" fontId="63" fillId="16" borderId="0" xfId="6" applyNumberFormat="1" applyFont="1" applyFill="1" applyBorder="1" applyAlignment="1" applyProtection="1">
      <alignment horizontal="center" vertical="center"/>
      <protection locked="0"/>
    </xf>
    <xf numFmtId="41" fontId="63" fillId="16" borderId="24" xfId="6" applyNumberFormat="1" applyFont="1" applyFill="1" applyBorder="1" applyAlignment="1" applyProtection="1">
      <alignment horizontal="center" vertical="center"/>
      <protection locked="0"/>
    </xf>
    <xf numFmtId="41" fontId="62" fillId="16" borderId="1" xfId="6" applyNumberFormat="1" applyFont="1" applyFill="1" applyBorder="1" applyAlignment="1" applyProtection="1">
      <alignment horizontal="center" vertical="center"/>
    </xf>
    <xf numFmtId="41" fontId="62" fillId="16" borderId="2" xfId="6" applyNumberFormat="1" applyFont="1" applyFill="1" applyBorder="1" applyAlignment="1" applyProtection="1">
      <alignment horizontal="center" vertical="center"/>
    </xf>
    <xf numFmtId="41" fontId="62" fillId="16" borderId="3" xfId="6" applyNumberFormat="1" applyFont="1" applyFill="1" applyBorder="1" applyAlignment="1" applyProtection="1">
      <alignment horizontal="center" vertical="center"/>
    </xf>
    <xf numFmtId="0" fontId="52" fillId="16" borderId="105" xfId="6" applyFont="1" applyFill="1" applyBorder="1" applyAlignment="1" applyProtection="1">
      <alignment horizontal="center" vertical="center"/>
      <protection locked="0"/>
    </xf>
    <xf numFmtId="0" fontId="52" fillId="16" borderId="106" xfId="6" applyFont="1" applyFill="1" applyBorder="1" applyAlignment="1" applyProtection="1">
      <alignment horizontal="center" vertical="center"/>
      <protection locked="0"/>
    </xf>
    <xf numFmtId="0" fontId="52" fillId="16" borderId="107" xfId="6" applyFont="1" applyFill="1" applyBorder="1" applyAlignment="1" applyProtection="1">
      <alignment horizontal="center" vertical="center"/>
      <protection locked="0"/>
    </xf>
    <xf numFmtId="0" fontId="52" fillId="16" borderId="110" xfId="6" applyFont="1" applyFill="1" applyBorder="1" applyAlignment="1" applyProtection="1">
      <alignment horizontal="center" vertical="center"/>
      <protection locked="0"/>
    </xf>
    <xf numFmtId="0" fontId="52" fillId="16" borderId="111" xfId="6" applyFont="1" applyFill="1" applyBorder="1" applyAlignment="1" applyProtection="1">
      <alignment horizontal="center" vertical="center"/>
      <protection locked="0"/>
    </xf>
    <xf numFmtId="0" fontId="52" fillId="16" borderId="112" xfId="6" applyFont="1" applyFill="1" applyBorder="1" applyAlignment="1" applyProtection="1">
      <alignment horizontal="center" vertical="center"/>
      <protection locked="0"/>
    </xf>
    <xf numFmtId="0" fontId="52" fillId="16" borderId="54" xfId="6" applyFont="1" applyFill="1" applyBorder="1" applyAlignment="1" applyProtection="1">
      <alignment horizontal="center" vertical="center"/>
      <protection locked="0"/>
    </xf>
    <xf numFmtId="0" fontId="62" fillId="16" borderId="54" xfId="6" applyFont="1" applyFill="1" applyBorder="1" applyAlignment="1" applyProtection="1">
      <alignment horizontal="center" vertical="center"/>
      <protection locked="0"/>
    </xf>
    <xf numFmtId="41" fontId="62" fillId="16" borderId="54" xfId="6" applyNumberFormat="1" applyFont="1" applyFill="1" applyBorder="1" applyAlignment="1" applyProtection="1">
      <alignment horizontal="center" vertical="center"/>
    </xf>
    <xf numFmtId="41" fontId="62" fillId="16" borderId="21" xfId="6" applyNumberFormat="1" applyFont="1" applyFill="1" applyBorder="1" applyAlignment="1" applyProtection="1">
      <alignment horizontal="center" vertical="center"/>
    </xf>
    <xf numFmtId="41" fontId="62" fillId="16" borderId="56" xfId="6" applyNumberFormat="1" applyFont="1" applyFill="1" applyBorder="1" applyAlignment="1" applyProtection="1">
      <alignment horizontal="center" vertical="center"/>
    </xf>
    <xf numFmtId="41" fontId="62" fillId="16" borderId="16" xfId="6" applyNumberFormat="1" applyFont="1" applyFill="1" applyBorder="1" applyAlignment="1" applyProtection="1">
      <alignment horizontal="center" vertical="center"/>
    </xf>
    <xf numFmtId="41" fontId="62" fillId="16" borderId="17" xfId="6" applyNumberFormat="1" applyFont="1" applyFill="1" applyBorder="1" applyAlignment="1" applyProtection="1">
      <alignment horizontal="center" vertical="center"/>
    </xf>
    <xf numFmtId="41" fontId="62" fillId="16" borderId="5" xfId="6" applyNumberFormat="1" applyFont="1" applyFill="1" applyBorder="1" applyAlignment="1" applyProtection="1">
      <alignment horizontal="center" vertical="center"/>
    </xf>
    <xf numFmtId="41" fontId="62" fillId="16" borderId="53" xfId="6" applyNumberFormat="1" applyFont="1" applyFill="1" applyBorder="1" applyAlignment="1" applyProtection="1">
      <alignment horizontal="center" vertical="center"/>
    </xf>
    <xf numFmtId="41" fontId="63" fillId="16" borderId="93" xfId="6" applyNumberFormat="1" applyFont="1" applyFill="1" applyBorder="1" applyAlignment="1" applyProtection="1">
      <alignment horizontal="center" vertical="center"/>
      <protection locked="0"/>
    </xf>
    <xf numFmtId="41" fontId="63" fillId="16" borderId="94" xfId="6" applyNumberFormat="1" applyFont="1" applyFill="1" applyBorder="1" applyAlignment="1" applyProtection="1">
      <alignment horizontal="center" vertical="center"/>
      <protection locked="0"/>
    </xf>
    <xf numFmtId="41" fontId="63" fillId="16" borderId="95" xfId="6" applyNumberFormat="1" applyFont="1" applyFill="1" applyBorder="1" applyAlignment="1" applyProtection="1">
      <alignment horizontal="center" vertical="center"/>
      <protection locked="0"/>
    </xf>
    <xf numFmtId="41" fontId="63" fillId="16" borderId="101" xfId="6" applyNumberFormat="1" applyFont="1" applyFill="1" applyBorder="1" applyAlignment="1" applyProtection="1">
      <alignment horizontal="center" vertical="center"/>
      <protection locked="0"/>
    </xf>
    <xf numFmtId="41" fontId="63" fillId="16" borderId="102" xfId="6" applyNumberFormat="1" applyFont="1" applyFill="1" applyBorder="1" applyAlignment="1" applyProtection="1">
      <alignment horizontal="center" vertical="center"/>
      <protection locked="0"/>
    </xf>
    <xf numFmtId="41" fontId="63" fillId="16" borderId="103" xfId="6" applyNumberFormat="1" applyFont="1" applyFill="1" applyBorder="1" applyAlignment="1" applyProtection="1">
      <alignment horizontal="center" vertical="center"/>
      <protection locked="0"/>
    </xf>
    <xf numFmtId="41" fontId="63" fillId="16" borderId="96" xfId="6" applyNumberFormat="1" applyFont="1" applyFill="1" applyBorder="1" applyAlignment="1" applyProtection="1">
      <alignment horizontal="center" vertical="center"/>
      <protection locked="0"/>
    </xf>
    <xf numFmtId="41" fontId="63" fillId="16" borderId="104" xfId="6" applyNumberFormat="1" applyFont="1" applyFill="1" applyBorder="1" applyAlignment="1" applyProtection="1">
      <alignment horizontal="center" vertical="center"/>
      <protection locked="0"/>
    </xf>
    <xf numFmtId="0" fontId="62" fillId="16" borderId="46" xfId="6" applyFont="1" applyFill="1" applyBorder="1" applyAlignment="1" applyProtection="1">
      <alignment horizontal="center" vertical="center"/>
      <protection locked="0"/>
    </xf>
    <xf numFmtId="41" fontId="62" fillId="16" borderId="46" xfId="6" applyNumberFormat="1" applyFont="1" applyFill="1" applyBorder="1" applyAlignment="1" applyProtection="1">
      <alignment horizontal="center" vertical="center"/>
    </xf>
    <xf numFmtId="41" fontId="62" fillId="16" borderId="81" xfId="6" applyNumberFormat="1" applyFont="1" applyFill="1" applyBorder="1" applyAlignment="1" applyProtection="1">
      <alignment horizontal="center" vertical="center"/>
    </xf>
    <xf numFmtId="0" fontId="78" fillId="12" borderId="21" xfId="2" applyFont="1" applyFill="1" applyBorder="1" applyAlignment="1" applyProtection="1">
      <alignment horizontal="center" vertical="center" wrapText="1"/>
    </xf>
    <xf numFmtId="0" fontId="78" fillId="12" borderId="26" xfId="2" applyFont="1" applyFill="1" applyBorder="1" applyAlignment="1" applyProtection="1">
      <alignment horizontal="center" vertical="center" wrapText="1"/>
    </xf>
    <xf numFmtId="0" fontId="78" fillId="12" borderId="14" xfId="2" applyFont="1" applyFill="1" applyBorder="1" applyAlignment="1" applyProtection="1">
      <alignment horizontal="center" vertical="center" wrapText="1"/>
    </xf>
    <xf numFmtId="0" fontId="78" fillId="12" borderId="53" xfId="2" applyFont="1" applyFill="1" applyBorder="1" applyAlignment="1" applyProtection="1">
      <alignment horizontal="center" vertical="center" wrapText="1"/>
    </xf>
    <xf numFmtId="0" fontId="78" fillId="12" borderId="9" xfId="2" applyFont="1" applyFill="1" applyBorder="1" applyAlignment="1" applyProtection="1">
      <alignment horizontal="center" vertical="center" wrapText="1"/>
    </xf>
    <xf numFmtId="0" fontId="78" fillId="12" borderId="25" xfId="2" applyFont="1" applyFill="1" applyBorder="1" applyAlignment="1" applyProtection="1">
      <alignment horizontal="center" vertical="center" wrapText="1"/>
    </xf>
    <xf numFmtId="0" fontId="26" fillId="12" borderId="7" xfId="2" applyFont="1" applyFill="1" applyBorder="1" applyAlignment="1" applyProtection="1">
      <alignment horizontal="center" vertical="center" wrapText="1"/>
    </xf>
    <xf numFmtId="0" fontId="26" fillId="12" borderId="8" xfId="2" applyFont="1" applyFill="1" applyBorder="1" applyAlignment="1" applyProtection="1">
      <alignment horizontal="center" vertical="center" wrapText="1"/>
    </xf>
    <xf numFmtId="0" fontId="71" fillId="0" borderId="0" xfId="2" applyFont="1" applyBorder="1" applyAlignment="1" applyProtection="1">
      <alignment horizontal="center" vertical="center"/>
      <protection locked="0"/>
    </xf>
    <xf numFmtId="0" fontId="72" fillId="0" borderId="9" xfId="2" applyFont="1" applyBorder="1" applyAlignment="1" applyProtection="1">
      <alignment horizontal="center" wrapText="1"/>
      <protection locked="0"/>
    </xf>
    <xf numFmtId="0" fontId="26" fillId="12" borderId="2" xfId="2" applyFont="1" applyFill="1" applyBorder="1" applyAlignment="1" applyProtection="1">
      <alignment horizontal="center" vertical="center" wrapText="1"/>
      <protection locked="0"/>
    </xf>
    <xf numFmtId="0" fontId="26" fillId="12" borderId="4" xfId="2" applyFont="1" applyFill="1" applyBorder="1" applyAlignment="1" applyProtection="1">
      <alignment horizontal="center" vertical="center" wrapText="1"/>
      <protection locked="0"/>
    </xf>
    <xf numFmtId="0" fontId="75" fillId="12" borderId="4" xfId="2" applyFont="1" applyFill="1" applyBorder="1" applyAlignment="1" applyProtection="1">
      <alignment horizontal="center" vertical="center" wrapText="1"/>
      <protection locked="0"/>
    </xf>
    <xf numFmtId="0" fontId="75" fillId="12" borderId="46" xfId="2" applyFont="1" applyFill="1" applyBorder="1" applyAlignment="1" applyProtection="1">
      <alignment horizontal="center" vertical="center" wrapText="1"/>
      <protection locked="0"/>
    </xf>
    <xf numFmtId="0" fontId="75" fillId="12" borderId="7" xfId="2" applyFont="1" applyFill="1" applyBorder="1" applyAlignment="1" applyProtection="1">
      <alignment horizontal="center" vertical="center" wrapText="1"/>
      <protection locked="0"/>
    </xf>
    <xf numFmtId="0" fontId="75" fillId="12" borderId="8" xfId="2" applyFont="1" applyFill="1" applyBorder="1" applyAlignment="1" applyProtection="1">
      <alignment horizontal="center" vertical="center" wrapText="1"/>
      <protection locked="0"/>
    </xf>
    <xf numFmtId="0" fontId="23" fillId="0" borderId="0" xfId="8" applyFont="1" applyFill="1" applyBorder="1" applyAlignment="1">
      <alignment horizontal="center" vertical="center"/>
    </xf>
    <xf numFmtId="0" fontId="69" fillId="0" borderId="114" xfId="1" applyFont="1" applyFill="1" applyBorder="1" applyAlignment="1">
      <alignment horizontal="center" vertical="center" wrapText="1"/>
    </xf>
    <xf numFmtId="0" fontId="69" fillId="0" borderId="117" xfId="1" applyFont="1" applyFill="1" applyBorder="1" applyAlignment="1">
      <alignment horizontal="center" vertical="center" wrapText="1"/>
    </xf>
    <xf numFmtId="0" fontId="69" fillId="0" borderId="115" xfId="1" applyFont="1" applyFill="1" applyBorder="1" applyAlignment="1">
      <alignment horizontal="center" vertical="center" wrapText="1"/>
    </xf>
    <xf numFmtId="0" fontId="69" fillId="0" borderId="118" xfId="1" applyFont="1" applyFill="1" applyBorder="1" applyAlignment="1">
      <alignment horizontal="center" vertical="center" wrapText="1"/>
    </xf>
    <xf numFmtId="0" fontId="22" fillId="0" borderId="115" xfId="1" applyFont="1" applyFill="1" applyBorder="1" applyAlignment="1">
      <alignment horizontal="center" vertical="center" wrapText="1"/>
    </xf>
    <xf numFmtId="0" fontId="22" fillId="0" borderId="118" xfId="1" applyFont="1" applyFill="1" applyBorder="1" applyAlignment="1">
      <alignment horizontal="center" vertical="center" wrapText="1"/>
    </xf>
    <xf numFmtId="0" fontId="69" fillId="0" borderId="116" xfId="1" applyFont="1" applyFill="1" applyBorder="1" applyAlignment="1">
      <alignment horizontal="center" vertical="center" wrapText="1"/>
    </xf>
    <xf numFmtId="0" fontId="69" fillId="0" borderId="119" xfId="1" applyFont="1" applyFill="1" applyBorder="1" applyAlignment="1">
      <alignment horizontal="center" vertical="center" wrapText="1"/>
    </xf>
    <xf numFmtId="0" fontId="69" fillId="0" borderId="29" xfId="1" applyFont="1" applyFill="1" applyBorder="1" applyAlignment="1">
      <alignment horizontal="center" vertical="center" wrapText="1"/>
    </xf>
    <xf numFmtId="0" fontId="22" fillId="0" borderId="47" xfId="1" applyFont="1" applyFill="1" applyBorder="1" applyAlignment="1">
      <alignment horizontal="center" vertical="center" wrapText="1"/>
    </xf>
    <xf numFmtId="0" fontId="22" fillId="0" borderId="27" xfId="1" applyFont="1" applyFill="1" applyBorder="1" applyAlignment="1">
      <alignment horizontal="center" vertical="center" wrapText="1"/>
    </xf>
    <xf numFmtId="176" fontId="17" fillId="0" borderId="2" xfId="0" quotePrefix="1" applyNumberFormat="1" applyFont="1" applyBorder="1" applyAlignment="1" applyProtection="1">
      <alignment horizontal="right" vertical="center"/>
    </xf>
    <xf numFmtId="176" fontId="39" fillId="0" borderId="2" xfId="0" quotePrefix="1" applyNumberFormat="1" applyFont="1" applyBorder="1" applyAlignment="1" applyProtection="1">
      <alignment horizontal="right" vertical="center"/>
    </xf>
    <xf numFmtId="0" fontId="17" fillId="0" borderId="2" xfId="0" applyFont="1" applyBorder="1" applyAlignment="1" applyProtection="1">
      <alignment horizontal="right"/>
    </xf>
    <xf numFmtId="177" fontId="42" fillId="8" borderId="2" xfId="0" applyNumberFormat="1" applyFont="1" applyFill="1" applyBorder="1" applyAlignment="1" applyProtection="1">
      <alignment horizontal="center" vertical="center"/>
    </xf>
    <xf numFmtId="0" fontId="47" fillId="0" borderId="26" xfId="0" applyFont="1" applyBorder="1" applyAlignment="1" applyProtection="1">
      <alignment horizontal="center" vertical="center"/>
    </xf>
    <xf numFmtId="0" fontId="47" fillId="0" borderId="1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right" vertical="center"/>
    </xf>
    <xf numFmtId="0" fontId="0" fillId="0" borderId="7" xfId="0" applyFont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</xf>
    <xf numFmtId="176" fontId="34" fillId="0" borderId="2" xfId="0" quotePrefix="1" applyNumberFormat="1" applyFont="1" applyBorder="1" applyAlignment="1" applyProtection="1">
      <alignment horizontal="right" vertical="center"/>
    </xf>
    <xf numFmtId="176" fontId="36" fillId="0" borderId="2" xfId="0" quotePrefix="1" applyNumberFormat="1" applyFont="1" applyBorder="1" applyAlignment="1" applyProtection="1">
      <alignment horizontal="right" vertical="center"/>
    </xf>
    <xf numFmtId="0" fontId="41" fillId="0" borderId="48" xfId="0" applyFont="1" applyFill="1" applyBorder="1" applyAlignment="1" applyProtection="1">
      <alignment horizontal="center" wrapText="1"/>
    </xf>
    <xf numFmtId="0" fontId="41" fillId="0" borderId="37" xfId="0" applyFont="1" applyFill="1" applyBorder="1" applyAlignment="1" applyProtection="1">
      <alignment horizontal="center" wrapText="1"/>
    </xf>
    <xf numFmtId="0" fontId="0" fillId="5" borderId="4" xfId="0" applyFont="1" applyFill="1" applyBorder="1" applyAlignment="1" applyProtection="1">
      <alignment horizontal="center" vertical="center" wrapText="1"/>
    </xf>
    <xf numFmtId="0" fontId="0" fillId="5" borderId="10" xfId="0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 applyProtection="1">
      <alignment horizontal="center" vertical="center" wrapText="1"/>
    </xf>
    <xf numFmtId="0" fontId="0" fillId="6" borderId="10" xfId="0" applyFont="1" applyFill="1" applyBorder="1" applyAlignment="1" applyProtection="1">
      <alignment horizontal="center" vertical="center" wrapText="1"/>
    </xf>
    <xf numFmtId="0" fontId="0" fillId="7" borderId="66" xfId="0" applyFill="1" applyBorder="1" applyAlignment="1" applyProtection="1">
      <alignment horizontal="center" vertical="center" wrapText="1"/>
    </xf>
    <xf numFmtId="0" fontId="0" fillId="7" borderId="11" xfId="0" applyFill="1" applyBorder="1" applyAlignment="1" applyProtection="1">
      <alignment horizontal="center" vertical="center" wrapText="1"/>
    </xf>
    <xf numFmtId="0" fontId="0" fillId="7" borderId="23" xfId="0" applyFill="1" applyBorder="1" applyAlignment="1" applyProtection="1">
      <alignment horizontal="center" vertical="center" wrapText="1"/>
    </xf>
    <xf numFmtId="176" fontId="0" fillId="0" borderId="11" xfId="0" applyNumberFormat="1" applyBorder="1" applyAlignment="1" applyProtection="1">
      <alignment horizontal="center" vertical="center"/>
    </xf>
    <xf numFmtId="176" fontId="0" fillId="0" borderId="11" xfId="0" applyNumberFormat="1" applyBorder="1" applyAlignment="1" applyProtection="1">
      <alignment horizontal="center" wrapText="1"/>
    </xf>
    <xf numFmtId="0" fontId="0" fillId="0" borderId="11" xfId="0" applyBorder="1" applyAlignment="1" applyProtection="1">
      <alignment horizontal="center" wrapText="1"/>
    </xf>
    <xf numFmtId="0" fontId="46" fillId="3" borderId="2" xfId="0" applyFont="1" applyFill="1" applyBorder="1" applyAlignment="1" applyProtection="1">
      <alignment horizontal="center" vertical="center" wrapText="1"/>
    </xf>
    <xf numFmtId="0" fontId="0" fillId="5" borderId="22" xfId="0" applyFill="1" applyBorder="1" applyAlignment="1" applyProtection="1">
      <alignment horizontal="center" vertical="center" wrapText="1"/>
    </xf>
    <xf numFmtId="0" fontId="0" fillId="5" borderId="11" xfId="0" applyFill="1" applyBorder="1" applyAlignment="1" applyProtection="1">
      <alignment horizontal="center" vertical="center" wrapText="1"/>
    </xf>
    <xf numFmtId="0" fontId="0" fillId="6" borderId="22" xfId="0" applyFill="1" applyBorder="1" applyAlignment="1" applyProtection="1">
      <alignment horizontal="center" vertical="center" wrapText="1"/>
    </xf>
    <xf numFmtId="0" fontId="0" fillId="6" borderId="11" xfId="0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176" fontId="16" fillId="2" borderId="0" xfId="0" applyNumberFormat="1" applyFont="1" applyFill="1" applyAlignment="1" applyProtection="1">
      <alignment horizontal="distributed" vertical="center"/>
    </xf>
    <xf numFmtId="0" fontId="0" fillId="0" borderId="12" xfId="0" applyFont="1" applyBorder="1" applyAlignment="1" applyProtection="1">
      <alignment horizontal="center" vertical="center" wrapText="1"/>
    </xf>
  </cellXfs>
  <cellStyles count="9">
    <cellStyle name="一般" xfId="0" builtinId="0"/>
    <cellStyle name="一般 2" xfId="1"/>
    <cellStyle name="一般 3" xfId="2"/>
    <cellStyle name="一般 4" xfId="5"/>
    <cellStyle name="一般 4 2" xfId="7"/>
    <cellStyle name="一般 4 3" xfId="8"/>
    <cellStyle name="一般 5" xfId="6"/>
    <cellStyle name="千分位 2" xfId="4"/>
    <cellStyle name="百分比 2" xfId="3"/>
  </cellStyles>
  <dxfs count="0"/>
  <tableStyles count="0" defaultTableStyle="TableStyleMedium9" defaultPivotStyle="PivotStyleLight16"/>
  <colors>
    <mruColors>
      <color rgb="FFF7E6E5"/>
      <color rgb="FFF9EEED"/>
      <color rgb="FFF3DEDD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3"/>
  <sheetViews>
    <sheetView tabSelected="1" zoomScale="80" zoomScaleNormal="80" workbookViewId="0">
      <selection activeCell="AC19" sqref="AC19"/>
    </sheetView>
  </sheetViews>
  <sheetFormatPr defaultRowHeight="16.3"/>
  <cols>
    <col min="1" max="1" width="4.875" style="485" customWidth="1"/>
    <col min="2" max="11" width="11.625" style="485" customWidth="1"/>
    <col min="12" max="12" width="3.125" style="485" customWidth="1"/>
    <col min="13" max="13" width="8.75" style="485" customWidth="1"/>
    <col min="14" max="14" width="11.625" style="485" customWidth="1"/>
    <col min="15" max="15" width="3.125" style="485" customWidth="1"/>
    <col min="16" max="16" width="7.625" style="485" customWidth="1"/>
    <col min="17" max="18" width="11.625" style="485" customWidth="1"/>
    <col min="19" max="19" width="7.625" style="485" customWidth="1"/>
    <col min="20" max="20" width="4.375" style="485" customWidth="1"/>
    <col min="21" max="21" width="11.625" style="485" customWidth="1"/>
    <col min="22" max="22" width="5.375" style="486" customWidth="1"/>
    <col min="23" max="16384" width="9" style="486"/>
  </cols>
  <sheetData>
    <row r="1" spans="1:21" ht="35.1" customHeight="1" thickBot="1">
      <c r="A1" s="738" t="s">
        <v>242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738"/>
      <c r="R1" s="738"/>
      <c r="S1" s="738"/>
      <c r="T1" s="738"/>
    </row>
    <row r="2" spans="1:21" ht="27.55" customHeight="1" thickTop="1">
      <c r="A2" s="719" t="s">
        <v>188</v>
      </c>
      <c r="B2" s="739" t="s">
        <v>189</v>
      </c>
      <c r="C2" s="740"/>
      <c r="D2" s="741"/>
      <c r="E2" s="742"/>
      <c r="F2" s="743"/>
      <c r="G2" s="743"/>
      <c r="H2" s="743"/>
      <c r="I2" s="743"/>
      <c r="J2" s="743"/>
      <c r="K2" s="744"/>
      <c r="L2" s="487"/>
      <c r="M2" s="745" t="s">
        <v>252</v>
      </c>
      <c r="N2" s="748" t="s">
        <v>190</v>
      </c>
      <c r="O2" s="749"/>
      <c r="P2" s="749"/>
      <c r="Q2" s="750"/>
      <c r="R2" s="751" t="s">
        <v>191</v>
      </c>
      <c r="S2" s="752"/>
      <c r="T2" s="752"/>
      <c r="U2" s="753"/>
    </row>
    <row r="3" spans="1:21" ht="23.35" customHeight="1">
      <c r="A3" s="720"/>
      <c r="B3" s="727" t="s">
        <v>192</v>
      </c>
      <c r="C3" s="728"/>
      <c r="D3" s="729"/>
      <c r="E3" s="488" t="s">
        <v>193</v>
      </c>
      <c r="F3" s="488" t="s">
        <v>194</v>
      </c>
      <c r="G3" s="488" t="s">
        <v>195</v>
      </c>
      <c r="H3" s="488" t="s">
        <v>196</v>
      </c>
      <c r="I3" s="488" t="s">
        <v>197</v>
      </c>
      <c r="J3" s="488" t="s">
        <v>198</v>
      </c>
      <c r="K3" s="489" t="s">
        <v>199</v>
      </c>
      <c r="L3" s="356"/>
      <c r="M3" s="746"/>
      <c r="N3" s="727" t="s">
        <v>244</v>
      </c>
      <c r="O3" s="728"/>
      <c r="P3" s="729"/>
      <c r="Q3" s="411"/>
      <c r="R3" s="488" t="s">
        <v>200</v>
      </c>
      <c r="S3" s="754" t="s">
        <v>201</v>
      </c>
      <c r="T3" s="755"/>
      <c r="U3" s="490" t="s">
        <v>199</v>
      </c>
    </row>
    <row r="4" spans="1:21" ht="23.35" customHeight="1">
      <c r="A4" s="720"/>
      <c r="B4" s="727" t="s">
        <v>202</v>
      </c>
      <c r="C4" s="728"/>
      <c r="D4" s="729"/>
      <c r="E4" s="411"/>
      <c r="F4" s="411"/>
      <c r="G4" s="411"/>
      <c r="H4" s="411"/>
      <c r="I4" s="411"/>
      <c r="J4" s="411"/>
      <c r="K4" s="479">
        <f>SUM(E4:J4)</f>
        <v>0</v>
      </c>
      <c r="L4" s="356"/>
      <c r="M4" s="746"/>
      <c r="N4" s="730" t="s">
        <v>238</v>
      </c>
      <c r="O4" s="730"/>
      <c r="P4" s="730"/>
      <c r="Q4" s="730"/>
      <c r="R4" s="480">
        <f>花東B表!F34</f>
        <v>0</v>
      </c>
      <c r="S4" s="731">
        <f>花東B表!G34</f>
        <v>0</v>
      </c>
      <c r="T4" s="732"/>
      <c r="U4" s="481">
        <f>R4+S4</f>
        <v>0</v>
      </c>
    </row>
    <row r="5" spans="1:21" ht="23.35" customHeight="1">
      <c r="A5" s="720"/>
      <c r="B5" s="727" t="s">
        <v>203</v>
      </c>
      <c r="C5" s="728"/>
      <c r="D5" s="729"/>
      <c r="E5" s="412"/>
      <c r="F5" s="412"/>
      <c r="G5" s="412"/>
      <c r="H5" s="412"/>
      <c r="I5" s="412"/>
      <c r="J5" s="412"/>
      <c r="K5" s="479">
        <f>SUM(E5:J5)</f>
        <v>0</v>
      </c>
      <c r="L5" s="356"/>
      <c r="M5" s="746"/>
      <c r="N5" s="488" t="s">
        <v>204</v>
      </c>
      <c r="O5" s="727" t="s">
        <v>205</v>
      </c>
      <c r="P5" s="729"/>
      <c r="Q5" s="488" t="s">
        <v>199</v>
      </c>
      <c r="R5" s="491" t="s">
        <v>204</v>
      </c>
      <c r="S5" s="730" t="s">
        <v>205</v>
      </c>
      <c r="T5" s="730"/>
      <c r="U5" s="490" t="s">
        <v>199</v>
      </c>
    </row>
    <row r="6" spans="1:21" ht="23.35" customHeight="1" thickBot="1">
      <c r="A6" s="721"/>
      <c r="B6" s="733" t="s">
        <v>206</v>
      </c>
      <c r="C6" s="734"/>
      <c r="D6" s="735"/>
      <c r="E6" s="477">
        <f>E4-E5</f>
        <v>0</v>
      </c>
      <c r="F6" s="477">
        <f t="shared" ref="F6:J6" si="0">F4-F5</f>
        <v>0</v>
      </c>
      <c r="G6" s="477">
        <f t="shared" si="0"/>
        <v>0</v>
      </c>
      <c r="H6" s="477">
        <f t="shared" si="0"/>
        <v>0</v>
      </c>
      <c r="I6" s="477">
        <f t="shared" si="0"/>
        <v>0</v>
      </c>
      <c r="J6" s="477">
        <f t="shared" si="0"/>
        <v>0</v>
      </c>
      <c r="K6" s="478">
        <f>SUM(E6:J6)</f>
        <v>0</v>
      </c>
      <c r="L6" s="492"/>
      <c r="M6" s="747"/>
      <c r="N6" s="413"/>
      <c r="O6" s="756"/>
      <c r="P6" s="757"/>
      <c r="Q6" s="482">
        <f>SUM(N6:P6)</f>
        <v>0</v>
      </c>
      <c r="R6" s="483">
        <f>花東B表!D34</f>
        <v>0</v>
      </c>
      <c r="S6" s="736">
        <f>花東B表!E34</f>
        <v>0</v>
      </c>
      <c r="T6" s="737"/>
      <c r="U6" s="484">
        <f>R6+S6</f>
        <v>0</v>
      </c>
    </row>
    <row r="7" spans="1:21" ht="8" customHeight="1" thickBot="1"/>
    <row r="8" spans="1:21" ht="25.85" customHeight="1">
      <c r="A8" s="719" t="s">
        <v>207</v>
      </c>
      <c r="B8" s="722" t="s">
        <v>208</v>
      </c>
      <c r="C8" s="706" t="s">
        <v>209</v>
      </c>
      <c r="D8" s="706"/>
      <c r="E8" s="706" t="s">
        <v>210</v>
      </c>
      <c r="F8" s="706"/>
      <c r="G8" s="706" t="s">
        <v>211</v>
      </c>
      <c r="H8" s="706"/>
      <c r="I8" s="706" t="s">
        <v>212</v>
      </c>
      <c r="J8" s="706"/>
      <c r="K8" s="705" t="s">
        <v>213</v>
      </c>
      <c r="L8" s="705"/>
      <c r="M8" s="705"/>
      <c r="N8" s="706" t="s">
        <v>214</v>
      </c>
      <c r="O8" s="707"/>
      <c r="P8" s="707"/>
      <c r="Q8" s="708" t="s">
        <v>215</v>
      </c>
      <c r="R8" s="710" t="s">
        <v>245</v>
      </c>
      <c r="S8" s="710"/>
      <c r="T8" s="712" t="s">
        <v>246</v>
      </c>
      <c r="U8" s="713"/>
    </row>
    <row r="9" spans="1:21">
      <c r="A9" s="720"/>
      <c r="B9" s="723"/>
      <c r="C9" s="360" t="s">
        <v>216</v>
      </c>
      <c r="D9" s="360" t="s">
        <v>217</v>
      </c>
      <c r="E9" s="360" t="s">
        <v>216</v>
      </c>
      <c r="F9" s="360" t="s">
        <v>217</v>
      </c>
      <c r="G9" s="360" t="s">
        <v>216</v>
      </c>
      <c r="H9" s="360" t="s">
        <v>217</v>
      </c>
      <c r="I9" s="360" t="s">
        <v>216</v>
      </c>
      <c r="J9" s="360" t="s">
        <v>217</v>
      </c>
      <c r="K9" s="360" t="s">
        <v>216</v>
      </c>
      <c r="L9" s="716" t="s">
        <v>217</v>
      </c>
      <c r="M9" s="717"/>
      <c r="N9" s="360" t="s">
        <v>216</v>
      </c>
      <c r="O9" s="716" t="s">
        <v>217</v>
      </c>
      <c r="P9" s="718"/>
      <c r="Q9" s="709"/>
      <c r="R9" s="711"/>
      <c r="S9" s="711"/>
      <c r="T9" s="714"/>
      <c r="U9" s="715"/>
    </row>
    <row r="10" spans="1:21">
      <c r="A10" s="720"/>
      <c r="B10" s="663" t="s">
        <v>218</v>
      </c>
      <c r="C10" s="675" t="s">
        <v>306</v>
      </c>
      <c r="D10" s="675"/>
      <c r="E10" s="675" t="s">
        <v>306</v>
      </c>
      <c r="F10" s="675"/>
      <c r="G10" s="675" t="s">
        <v>306</v>
      </c>
      <c r="H10" s="675"/>
      <c r="I10" s="694"/>
      <c r="J10" s="695"/>
      <c r="K10" s="698"/>
      <c r="L10" s="699"/>
      <c r="M10" s="700"/>
      <c r="N10" s="694"/>
      <c r="O10" s="704"/>
      <c r="P10" s="704"/>
      <c r="Q10" s="678">
        <f>SUM(C11:H11)</f>
        <v>0</v>
      </c>
      <c r="R10" s="645">
        <f>Q10*E6</f>
        <v>0</v>
      </c>
      <c r="S10" s="645"/>
      <c r="T10" s="680">
        <f>Q10*E5</f>
        <v>0</v>
      </c>
      <c r="U10" s="681"/>
    </row>
    <row r="11" spans="1:21">
      <c r="A11" s="720"/>
      <c r="B11" s="663"/>
      <c r="C11" s="493" t="str">
        <f>VLOOKUP(C10,工作表2!$A$5:$BG$9,6,FALSE)</f>
        <v>金額</v>
      </c>
      <c r="D11" s="493" t="str">
        <f>VLOOKUP(C10,工作表2!$A$5:$BG$9,7,FALSE)</f>
        <v>金額</v>
      </c>
      <c r="E11" s="493" t="str">
        <f>VLOOKUP(E10,工作表2!$A$5:$BG$9,2,FALSE)</f>
        <v>金額</v>
      </c>
      <c r="F11" s="493" t="str">
        <f>VLOOKUP(E10,工作表2!$A$5:$BG$9,3,FALSE)</f>
        <v>金額</v>
      </c>
      <c r="G11" s="493" t="str">
        <f>VLOOKUP(G10,工作表2!$A$5:$BG$9,4,FALSE)</f>
        <v>金額</v>
      </c>
      <c r="H11" s="493" t="str">
        <f>VLOOKUP(G10,工作表2!$A$5:$BG$9,5,FALSE)</f>
        <v>金額</v>
      </c>
      <c r="I11" s="692"/>
      <c r="J11" s="697"/>
      <c r="K11" s="701"/>
      <c r="L11" s="702"/>
      <c r="M11" s="703"/>
      <c r="N11" s="692"/>
      <c r="O11" s="693"/>
      <c r="P11" s="693"/>
      <c r="Q11" s="678"/>
      <c r="R11" s="645"/>
      <c r="S11" s="645"/>
      <c r="T11" s="680"/>
      <c r="U11" s="681"/>
    </row>
    <row r="12" spans="1:21">
      <c r="A12" s="720"/>
      <c r="B12" s="663" t="s">
        <v>219</v>
      </c>
      <c r="C12" s="675" t="s">
        <v>306</v>
      </c>
      <c r="D12" s="675"/>
      <c r="E12" s="675" t="s">
        <v>306</v>
      </c>
      <c r="F12" s="675"/>
      <c r="G12" s="675" t="s">
        <v>306</v>
      </c>
      <c r="H12" s="675"/>
      <c r="I12" s="690"/>
      <c r="J12" s="696"/>
      <c r="K12" s="690"/>
      <c r="L12" s="691"/>
      <c r="M12" s="696"/>
      <c r="N12" s="690"/>
      <c r="O12" s="691"/>
      <c r="P12" s="691"/>
      <c r="Q12" s="678">
        <f>SUM(C13:H13)</f>
        <v>0</v>
      </c>
      <c r="R12" s="645">
        <f>Q12*F6</f>
        <v>0</v>
      </c>
      <c r="S12" s="645"/>
      <c r="T12" s="680">
        <f>Q12*F5</f>
        <v>0</v>
      </c>
      <c r="U12" s="681"/>
    </row>
    <row r="13" spans="1:21">
      <c r="A13" s="720"/>
      <c r="B13" s="663"/>
      <c r="C13" s="493" t="str">
        <f>VLOOKUP(C12,工作表2!$A$5:$BG$9,13,FALSE)</f>
        <v>金額</v>
      </c>
      <c r="D13" s="493" t="str">
        <f>VLOOKUP(C12,工作表2!$A$5:$BG$9,14,FALSE)</f>
        <v>金額</v>
      </c>
      <c r="E13" s="493" t="str">
        <f>VLOOKUP(E12,工作表2!$A$5:$BG$9,9,FALSE)</f>
        <v>金額</v>
      </c>
      <c r="F13" s="493" t="str">
        <f>VLOOKUP(E12,工作表2!$A$5:$BG$9,10,FALSE)</f>
        <v>金額</v>
      </c>
      <c r="G13" s="493" t="str">
        <f>VLOOKUP(G12,工作表2!$A$5:$BG$9,11,FALSE)</f>
        <v>金額</v>
      </c>
      <c r="H13" s="493" t="str">
        <f>VLOOKUP(G12,工作表2!$A$5:$BG$9,12,FALSE)</f>
        <v>金額</v>
      </c>
      <c r="I13" s="692"/>
      <c r="J13" s="697"/>
      <c r="K13" s="692"/>
      <c r="L13" s="693"/>
      <c r="M13" s="697"/>
      <c r="N13" s="692"/>
      <c r="O13" s="693"/>
      <c r="P13" s="693"/>
      <c r="Q13" s="678"/>
      <c r="R13" s="645"/>
      <c r="S13" s="645"/>
      <c r="T13" s="680"/>
      <c r="U13" s="681"/>
    </row>
    <row r="14" spans="1:21">
      <c r="A14" s="720"/>
      <c r="B14" s="663" t="s">
        <v>220</v>
      </c>
      <c r="C14" s="694"/>
      <c r="D14" s="695"/>
      <c r="E14" s="675" t="s">
        <v>306</v>
      </c>
      <c r="F14" s="675"/>
      <c r="G14" s="675" t="s">
        <v>306</v>
      </c>
      <c r="H14" s="675"/>
      <c r="I14" s="675" t="s">
        <v>306</v>
      </c>
      <c r="J14" s="675"/>
      <c r="K14" s="675" t="s">
        <v>306</v>
      </c>
      <c r="L14" s="675"/>
      <c r="M14" s="675"/>
      <c r="N14" s="676" t="s">
        <v>306</v>
      </c>
      <c r="O14" s="677"/>
      <c r="P14" s="677"/>
      <c r="Q14" s="678">
        <f>SUM(E15:P15)</f>
        <v>0</v>
      </c>
      <c r="R14" s="645">
        <f>Q14*G6</f>
        <v>0</v>
      </c>
      <c r="S14" s="645"/>
      <c r="T14" s="680">
        <f>Q14*G5</f>
        <v>0</v>
      </c>
      <c r="U14" s="681"/>
    </row>
    <row r="15" spans="1:21">
      <c r="A15" s="720"/>
      <c r="B15" s="663"/>
      <c r="C15" s="690"/>
      <c r="D15" s="696"/>
      <c r="E15" s="493" t="str">
        <f>VLOOKUP(E14,工作表2!$A$5:$BG$9,19,FALSE)</f>
        <v>金額</v>
      </c>
      <c r="F15" s="493" t="str">
        <f>VLOOKUP(E14,工作表2!$A$5:$BG$9,20,FALSE)</f>
        <v>金額</v>
      </c>
      <c r="G15" s="493" t="str">
        <f>VLOOKUP(G14,工作表2!$A$5:$BG$9,21,FALSE)</f>
        <v>金額</v>
      </c>
      <c r="H15" s="493" t="str">
        <f>VLOOKUP(G14,工作表2!$A$5:$BG$9,22,FALSE)</f>
        <v>金額</v>
      </c>
      <c r="I15" s="493" t="str">
        <f>VLOOKUP(I14,工作表2!$A$5:$BG$9,23,FALSE)</f>
        <v>金額</v>
      </c>
      <c r="J15" s="493" t="str">
        <f>VLOOKUP(I14,工作表2!$A$5:$BG$9,24,FALSE)</f>
        <v>金額</v>
      </c>
      <c r="K15" s="493" t="str">
        <f>VLOOKUP(K14,工作表2!$A$5:$BG$9,16,FALSE)</f>
        <v>金額</v>
      </c>
      <c r="L15" s="686" t="str">
        <f>VLOOKUP(K14,工作表2!$A$5:$BG$9,17,FALSE)</f>
        <v>金額</v>
      </c>
      <c r="M15" s="687"/>
      <c r="N15" s="493" t="str">
        <f>VLOOKUP(N14,工作表2!$A$15:$E$19,2,FALSE)</f>
        <v>金額</v>
      </c>
      <c r="O15" s="686" t="str">
        <f>VLOOKUP(N14,工作表2!$A$15:$E$19,3,FALSE)</f>
        <v>金額</v>
      </c>
      <c r="P15" s="688"/>
      <c r="Q15" s="678"/>
      <c r="R15" s="645"/>
      <c r="S15" s="645"/>
      <c r="T15" s="680"/>
      <c r="U15" s="681"/>
    </row>
    <row r="16" spans="1:21">
      <c r="A16" s="720"/>
      <c r="B16" s="663" t="s">
        <v>221</v>
      </c>
      <c r="C16" s="694"/>
      <c r="D16" s="695"/>
      <c r="E16" s="675" t="s">
        <v>306</v>
      </c>
      <c r="F16" s="675"/>
      <c r="G16" s="675" t="s">
        <v>306</v>
      </c>
      <c r="H16" s="675"/>
      <c r="I16" s="675" t="s">
        <v>306</v>
      </c>
      <c r="J16" s="675"/>
      <c r="K16" s="675" t="s">
        <v>306</v>
      </c>
      <c r="L16" s="675"/>
      <c r="M16" s="675"/>
      <c r="N16" s="676" t="s">
        <v>306</v>
      </c>
      <c r="O16" s="677"/>
      <c r="P16" s="677"/>
      <c r="Q16" s="678">
        <f t="shared" ref="Q16" si="1">SUM(E17:P17)</f>
        <v>0</v>
      </c>
      <c r="R16" s="645">
        <f>Q16*H6</f>
        <v>0</v>
      </c>
      <c r="S16" s="645"/>
      <c r="T16" s="680">
        <f>Q16*H5</f>
        <v>0</v>
      </c>
      <c r="U16" s="681"/>
    </row>
    <row r="17" spans="1:21">
      <c r="A17" s="720"/>
      <c r="B17" s="663"/>
      <c r="C17" s="690"/>
      <c r="D17" s="696"/>
      <c r="E17" s="493" t="str">
        <f>VLOOKUP(E16,工作表2!$A$5:$BG$9,27,FALSE)</f>
        <v>金額</v>
      </c>
      <c r="F17" s="493" t="str">
        <f>VLOOKUP(E16,工作表2!$A$5:$BG$9,28,FALSE)</f>
        <v>金額</v>
      </c>
      <c r="G17" s="493" t="str">
        <f>VLOOKUP(G16,工作表2!$A$5:$BG$9,29,FALSE)</f>
        <v>金額</v>
      </c>
      <c r="H17" s="493" t="str">
        <f>VLOOKUP(G16,工作表2!$A$5:$BG$9,30,FALSE)</f>
        <v>金額</v>
      </c>
      <c r="I17" s="493" t="str">
        <f>VLOOKUP(I16,工作表2!$A$5:$BG$9,31,FALSE)</f>
        <v>金額</v>
      </c>
      <c r="J17" s="493" t="str">
        <f>VLOOKUP(I16,工作表2!$A$5:$BG$9,32,FALSE)</f>
        <v>金額</v>
      </c>
      <c r="K17" s="493" t="str">
        <f>VLOOKUP(K16,工作表2!$A$5:$BG$9,33,FALSE)</f>
        <v>金額</v>
      </c>
      <c r="L17" s="686" t="str">
        <f>VLOOKUP(K16,工作表2!$A$5:$BG$9,34,FALSE)</f>
        <v>金額</v>
      </c>
      <c r="M17" s="687"/>
      <c r="N17" s="493" t="str">
        <f>VLOOKUP(N16,工作表2!$A$15:$E$19,4,FALSE)</f>
        <v>金額</v>
      </c>
      <c r="O17" s="686" t="str">
        <f>VLOOKUP(N16,工作表2!$A$15:$E$19,5,FALSE)</f>
        <v>金額</v>
      </c>
      <c r="P17" s="688"/>
      <c r="Q17" s="678"/>
      <c r="R17" s="645"/>
      <c r="S17" s="645"/>
      <c r="T17" s="680"/>
      <c r="U17" s="681"/>
    </row>
    <row r="18" spans="1:21">
      <c r="A18" s="720"/>
      <c r="B18" s="663" t="s">
        <v>222</v>
      </c>
      <c r="C18" s="694"/>
      <c r="D18" s="695"/>
      <c r="E18" s="675" t="s">
        <v>306</v>
      </c>
      <c r="F18" s="675"/>
      <c r="G18" s="675" t="s">
        <v>306</v>
      </c>
      <c r="H18" s="675"/>
      <c r="I18" s="675" t="s">
        <v>306</v>
      </c>
      <c r="J18" s="675"/>
      <c r="K18" s="675" t="s">
        <v>306</v>
      </c>
      <c r="L18" s="675"/>
      <c r="M18" s="675"/>
      <c r="N18" s="676" t="s">
        <v>306</v>
      </c>
      <c r="O18" s="677"/>
      <c r="P18" s="677"/>
      <c r="Q18" s="678">
        <f>SUM(E19:P19)</f>
        <v>0</v>
      </c>
      <c r="R18" s="645">
        <f>Q18*I6</f>
        <v>0</v>
      </c>
      <c r="S18" s="645"/>
      <c r="T18" s="680">
        <f>Q18*I5</f>
        <v>0</v>
      </c>
      <c r="U18" s="681"/>
    </row>
    <row r="19" spans="1:21">
      <c r="A19" s="720"/>
      <c r="B19" s="663"/>
      <c r="C19" s="690"/>
      <c r="D19" s="696"/>
      <c r="E19" s="493" t="str">
        <f>VLOOKUP(E18,工作表2!$A$5:$BG$9,38,FALSE)</f>
        <v>金額</v>
      </c>
      <c r="F19" s="493" t="str">
        <f>VLOOKUP(E18,工作表2!$A$5:$BG$9,39,FALSE)</f>
        <v>金額</v>
      </c>
      <c r="G19" s="493" t="str">
        <f>VLOOKUP(G18,工作表2!$A$5:$BG$9,40,FALSE)</f>
        <v>金額</v>
      </c>
      <c r="H19" s="493" t="str">
        <f>VLOOKUP(G18,工作表2!$A$5:$BG$9,41,FALSE)</f>
        <v>金額</v>
      </c>
      <c r="I19" s="493" t="str">
        <f>VLOOKUP(I18,工作表2!$A$5:$BG$9,42,FALSE)</f>
        <v>金額</v>
      </c>
      <c r="J19" s="493" t="str">
        <f>VLOOKUP(I18,工作表2!$A$5:$BG$9,43,FALSE)</f>
        <v>金額</v>
      </c>
      <c r="K19" s="493" t="str">
        <f>VLOOKUP(K18,工作表2!$A$5:$BG$9,44,FALSE)</f>
        <v>金額</v>
      </c>
      <c r="L19" s="686" t="str">
        <f>VLOOKUP(K18,工作表2!$A$5:$BG$9,45,FALSE)</f>
        <v>金額</v>
      </c>
      <c r="M19" s="687"/>
      <c r="N19" s="493" t="str">
        <f>VLOOKUP(N18,工作表2!$J$15:$N$21,2,FALSE)</f>
        <v>金額</v>
      </c>
      <c r="O19" s="686" t="str">
        <f>VLOOKUP(N18,工作表2!$J$15:$N$21,3,FALSE)</f>
        <v>金額</v>
      </c>
      <c r="P19" s="688"/>
      <c r="Q19" s="678"/>
      <c r="R19" s="645"/>
      <c r="S19" s="645"/>
      <c r="T19" s="680"/>
      <c r="U19" s="681"/>
    </row>
    <row r="20" spans="1:21">
      <c r="A20" s="720"/>
      <c r="B20" s="663" t="s">
        <v>223</v>
      </c>
      <c r="C20" s="694"/>
      <c r="D20" s="695"/>
      <c r="E20" s="675" t="s">
        <v>306</v>
      </c>
      <c r="F20" s="675"/>
      <c r="G20" s="675" t="s">
        <v>306</v>
      </c>
      <c r="H20" s="675"/>
      <c r="I20" s="675" t="s">
        <v>306</v>
      </c>
      <c r="J20" s="675"/>
      <c r="K20" s="675" t="s">
        <v>306</v>
      </c>
      <c r="L20" s="675"/>
      <c r="M20" s="675"/>
      <c r="N20" s="676" t="s">
        <v>306</v>
      </c>
      <c r="O20" s="677"/>
      <c r="P20" s="677"/>
      <c r="Q20" s="678">
        <f>SUM(E21:P21)</f>
        <v>0</v>
      </c>
      <c r="R20" s="645">
        <f>Q20*J6</f>
        <v>0</v>
      </c>
      <c r="S20" s="645"/>
      <c r="T20" s="680">
        <f>Q20*J5</f>
        <v>0</v>
      </c>
      <c r="U20" s="681"/>
    </row>
    <row r="21" spans="1:21" ht="16.899999999999999" thickBot="1">
      <c r="A21" s="721"/>
      <c r="B21" s="724"/>
      <c r="C21" s="725"/>
      <c r="D21" s="726"/>
      <c r="E21" s="493" t="str">
        <f>VLOOKUP(E20,工作表2!$A$5:$BG$9,49,FALSE)</f>
        <v>金額</v>
      </c>
      <c r="F21" s="493" t="str">
        <f>VLOOKUP(E20,工作表2!$A$5:$BG$9,50,FALSE)</f>
        <v>金額</v>
      </c>
      <c r="G21" s="493" t="str">
        <f>VLOOKUP(G20,工作表2!$A$5:$BG$9,51,FALSE)</f>
        <v>金額</v>
      </c>
      <c r="H21" s="493" t="str">
        <f>VLOOKUP(G20,工作表2!$A$5:$BG$9,52,FALSE)</f>
        <v>金額</v>
      </c>
      <c r="I21" s="493" t="str">
        <f>VLOOKUP(I20,工作表2!$A$5:$BG$9,53,FALSE)</f>
        <v>金額</v>
      </c>
      <c r="J21" s="493" t="str">
        <f>VLOOKUP(I20,工作表2!$A$5:$BG$9,54,FALSE)</f>
        <v>金額</v>
      </c>
      <c r="K21" s="494" t="str">
        <f>VLOOKUP(K20,工作表2!$A$5:$BG$9,55,FALSE)</f>
        <v>金額</v>
      </c>
      <c r="L21" s="684" t="str">
        <f>VLOOKUP(K20,工作表2!$A$5:$BG$9,56,FALSE)</f>
        <v>金額</v>
      </c>
      <c r="M21" s="685"/>
      <c r="N21" s="494" t="str">
        <f>VLOOKUP(N20,工作表2!$J$15:$N$21,4,FALSE)</f>
        <v>金額</v>
      </c>
      <c r="O21" s="684" t="str">
        <f>VLOOKUP(N20,工作表2!$J$15:$N$21,5,FALSE)</f>
        <v>金額</v>
      </c>
      <c r="P21" s="689"/>
      <c r="Q21" s="678"/>
      <c r="R21" s="679"/>
      <c r="S21" s="679"/>
      <c r="T21" s="682"/>
      <c r="U21" s="683"/>
    </row>
    <row r="22" spans="1:21" ht="8" customHeight="1" thickBot="1">
      <c r="A22" s="495"/>
      <c r="B22" s="356"/>
      <c r="C22" s="356"/>
      <c r="D22" s="356"/>
      <c r="E22" s="496"/>
      <c r="F22" s="496"/>
      <c r="G22" s="496"/>
      <c r="H22" s="496"/>
      <c r="I22" s="496"/>
      <c r="J22" s="496"/>
      <c r="K22" s="496"/>
      <c r="L22" s="496"/>
      <c r="M22" s="496"/>
      <c r="N22" s="496"/>
      <c r="O22" s="496"/>
      <c r="P22" s="496"/>
      <c r="Q22" s="643" t="s">
        <v>199</v>
      </c>
      <c r="R22" s="645">
        <f>SUM(R10:R21)</f>
        <v>0</v>
      </c>
      <c r="S22" s="645"/>
      <c r="T22" s="647">
        <f>SUM(T10:U21)</f>
        <v>0</v>
      </c>
      <c r="U22" s="648"/>
    </row>
    <row r="23" spans="1:21" ht="23.95" customHeight="1" thickBot="1">
      <c r="A23" s="651" t="s">
        <v>224</v>
      </c>
      <c r="B23" s="654" t="s">
        <v>225</v>
      </c>
      <c r="C23" s="656" t="s">
        <v>247</v>
      </c>
      <c r="D23" s="658" t="s">
        <v>226</v>
      </c>
      <c r="E23" s="658" t="s">
        <v>227</v>
      </c>
      <c r="F23" s="656" t="s">
        <v>248</v>
      </c>
      <c r="G23" s="658" t="s">
        <v>226</v>
      </c>
      <c r="H23" s="658" t="s">
        <v>227</v>
      </c>
      <c r="I23" s="671" t="s">
        <v>249</v>
      </c>
      <c r="J23" s="658" t="s">
        <v>226</v>
      </c>
      <c r="K23" s="673" t="s">
        <v>227</v>
      </c>
      <c r="L23" s="659" t="s">
        <v>243</v>
      </c>
      <c r="M23" s="660"/>
      <c r="N23" s="661"/>
      <c r="O23" s="496"/>
      <c r="P23" s="496"/>
      <c r="Q23" s="644"/>
      <c r="R23" s="646"/>
      <c r="S23" s="646"/>
      <c r="T23" s="649"/>
      <c r="U23" s="650"/>
    </row>
    <row r="24" spans="1:21" ht="8" customHeight="1">
      <c r="A24" s="652"/>
      <c r="B24" s="655"/>
      <c r="C24" s="657"/>
      <c r="D24" s="590"/>
      <c r="E24" s="590"/>
      <c r="F24" s="657"/>
      <c r="G24" s="590"/>
      <c r="H24" s="590"/>
      <c r="I24" s="672"/>
      <c r="J24" s="590"/>
      <c r="K24" s="674"/>
      <c r="L24" s="662"/>
      <c r="M24" s="663"/>
      <c r="N24" s="664"/>
      <c r="R24" s="497"/>
      <c r="S24" s="497"/>
    </row>
    <row r="25" spans="1:21" ht="16.899999999999999" customHeight="1" thickBot="1">
      <c r="A25" s="652"/>
      <c r="B25" s="567" t="s">
        <v>228</v>
      </c>
      <c r="C25" s="408" t="s">
        <v>306</v>
      </c>
      <c r="D25" s="569">
        <v>0</v>
      </c>
      <c r="E25" s="571" t="e">
        <f>C26*D25</f>
        <v>#VALUE!</v>
      </c>
      <c r="F25" s="591"/>
      <c r="G25" s="592"/>
      <c r="H25" s="593"/>
      <c r="I25" s="591"/>
      <c r="J25" s="592"/>
      <c r="K25" s="592"/>
      <c r="L25" s="665" t="e">
        <f>E25</f>
        <v>#VALUE!</v>
      </c>
      <c r="M25" s="666"/>
      <c r="N25" s="667"/>
      <c r="P25" s="597" t="s">
        <v>250</v>
      </c>
      <c r="Q25" s="598"/>
      <c r="R25" s="599"/>
      <c r="S25" s="606">
        <v>0</v>
      </c>
      <c r="T25" s="607"/>
      <c r="U25" s="608"/>
    </row>
    <row r="26" spans="1:21" ht="17.55" thickTop="1" thickBot="1">
      <c r="A26" s="652"/>
      <c r="B26" s="590"/>
      <c r="C26" s="493" t="str">
        <f>VLOOKUP(C25,工作表2!$A$5:$BG$9,8,FALSE)</f>
        <v>金額</v>
      </c>
      <c r="D26" s="580"/>
      <c r="E26" s="579"/>
      <c r="F26" s="594"/>
      <c r="G26" s="595"/>
      <c r="H26" s="596"/>
      <c r="I26" s="594"/>
      <c r="J26" s="595"/>
      <c r="K26" s="595"/>
      <c r="L26" s="665"/>
      <c r="M26" s="666"/>
      <c r="N26" s="667"/>
      <c r="P26" s="600"/>
      <c r="Q26" s="601"/>
      <c r="R26" s="602"/>
      <c r="S26" s="609"/>
      <c r="T26" s="610"/>
      <c r="U26" s="611"/>
    </row>
    <row r="27" spans="1:21" ht="16.899999999999999" customHeight="1" thickTop="1" thickBot="1">
      <c r="A27" s="652"/>
      <c r="B27" s="567" t="s">
        <v>219</v>
      </c>
      <c r="C27" s="408" t="s">
        <v>306</v>
      </c>
      <c r="D27" s="569">
        <v>0</v>
      </c>
      <c r="E27" s="565" t="e">
        <f t="shared" ref="E27" si="2">C28*D27</f>
        <v>#VALUE!</v>
      </c>
      <c r="F27" s="615"/>
      <c r="G27" s="616"/>
      <c r="H27" s="617"/>
      <c r="I27" s="621"/>
      <c r="J27" s="616"/>
      <c r="K27" s="616"/>
      <c r="L27" s="665" t="e">
        <f>E27</f>
        <v>#VALUE!</v>
      </c>
      <c r="M27" s="666"/>
      <c r="N27" s="667"/>
      <c r="P27" s="603"/>
      <c r="Q27" s="604"/>
      <c r="R27" s="605"/>
      <c r="S27" s="612"/>
      <c r="T27" s="613"/>
      <c r="U27" s="614"/>
    </row>
    <row r="28" spans="1:21" ht="16.899999999999999" thickTop="1">
      <c r="A28" s="652"/>
      <c r="B28" s="590"/>
      <c r="C28" s="493" t="str">
        <f>VLOOKUP(C27,工作表2!$A$5:$BG$9,15,FALSE)</f>
        <v>金額</v>
      </c>
      <c r="D28" s="580"/>
      <c r="E28" s="581"/>
      <c r="F28" s="618"/>
      <c r="G28" s="619"/>
      <c r="H28" s="620"/>
      <c r="I28" s="622"/>
      <c r="J28" s="619"/>
      <c r="K28" s="619"/>
      <c r="L28" s="665"/>
      <c r="M28" s="666"/>
      <c r="N28" s="667"/>
      <c r="O28" s="498"/>
      <c r="P28" s="623" t="s">
        <v>307</v>
      </c>
      <c r="Q28" s="624"/>
      <c r="R28" s="625"/>
      <c r="S28" s="629">
        <f>R22+S25</f>
        <v>0</v>
      </c>
      <c r="T28" s="629"/>
      <c r="U28" s="630"/>
    </row>
    <row r="29" spans="1:21" ht="16.899999999999999" thickBot="1">
      <c r="A29" s="652"/>
      <c r="B29" s="567" t="s">
        <v>220</v>
      </c>
      <c r="C29" s="408" t="s">
        <v>306</v>
      </c>
      <c r="D29" s="569">
        <v>0</v>
      </c>
      <c r="E29" s="571" t="e">
        <f t="shared" ref="E29" si="3">C30*D29</f>
        <v>#VALUE!</v>
      </c>
      <c r="F29" s="409" t="s">
        <v>306</v>
      </c>
      <c r="G29" s="633">
        <v>0</v>
      </c>
      <c r="H29" s="634" t="e">
        <f t="shared" ref="H29:H35" si="4">F30*G29</f>
        <v>#VALUE!</v>
      </c>
      <c r="I29" s="409" t="s">
        <v>306</v>
      </c>
      <c r="J29" s="633">
        <v>0</v>
      </c>
      <c r="K29" s="635" t="e">
        <f t="shared" ref="K29:K35" si="5">I30*J29</f>
        <v>#VALUE!</v>
      </c>
      <c r="L29" s="665" t="e">
        <f>E29+H29+K29</f>
        <v>#VALUE!</v>
      </c>
      <c r="M29" s="666"/>
      <c r="N29" s="667"/>
      <c r="O29" s="498"/>
      <c r="P29" s="626"/>
      <c r="Q29" s="627"/>
      <c r="R29" s="628"/>
      <c r="S29" s="631"/>
      <c r="T29" s="631"/>
      <c r="U29" s="632"/>
    </row>
    <row r="30" spans="1:21" ht="16.899999999999999" thickTop="1">
      <c r="A30" s="652"/>
      <c r="B30" s="590"/>
      <c r="C30" s="493" t="str">
        <f>VLOOKUP(C29,工作表2!$A$5:$BG$9,25,FALSE)</f>
        <v>金額</v>
      </c>
      <c r="D30" s="580"/>
      <c r="E30" s="579"/>
      <c r="F30" s="493" t="str">
        <f>VLOOKUP(F29,工作表2!$A$5:$BG$9,18,FALSE)</f>
        <v>金額</v>
      </c>
      <c r="G30" s="580"/>
      <c r="H30" s="579"/>
      <c r="I30" s="493" t="str">
        <f>VLOOKUP(I29,工作表2!$A$5:$BG$9,26,FALSE)</f>
        <v>金額</v>
      </c>
      <c r="J30" s="580"/>
      <c r="K30" s="581"/>
      <c r="L30" s="665"/>
      <c r="M30" s="666"/>
      <c r="N30" s="667"/>
      <c r="O30" s="498"/>
      <c r="P30" s="623" t="s">
        <v>308</v>
      </c>
      <c r="Q30" s="624"/>
      <c r="R30" s="625"/>
      <c r="S30" s="639" t="e">
        <f>SUM(L25:N36)</f>
        <v>#VALUE!</v>
      </c>
      <c r="T30" s="639"/>
      <c r="U30" s="640"/>
    </row>
    <row r="31" spans="1:21" ht="16.899999999999999" thickBot="1">
      <c r="A31" s="652"/>
      <c r="B31" s="567" t="s">
        <v>221</v>
      </c>
      <c r="C31" s="408" t="s">
        <v>306</v>
      </c>
      <c r="D31" s="569">
        <v>0</v>
      </c>
      <c r="E31" s="571" t="e">
        <f t="shared" ref="E31" si="6">C32*D31</f>
        <v>#VALUE!</v>
      </c>
      <c r="F31" s="408" t="s">
        <v>306</v>
      </c>
      <c r="G31" s="569">
        <v>0</v>
      </c>
      <c r="H31" s="571" t="e">
        <f t="shared" si="4"/>
        <v>#VALUE!</v>
      </c>
      <c r="I31" s="408" t="s">
        <v>306</v>
      </c>
      <c r="J31" s="569">
        <v>0</v>
      </c>
      <c r="K31" s="565" t="e">
        <f t="shared" si="5"/>
        <v>#VALUE!</v>
      </c>
      <c r="L31" s="665" t="e">
        <f>E31+H31+K31</f>
        <v>#VALUE!</v>
      </c>
      <c r="M31" s="666"/>
      <c r="N31" s="667"/>
      <c r="O31" s="498"/>
      <c r="P31" s="636"/>
      <c r="Q31" s="637"/>
      <c r="R31" s="638"/>
      <c r="S31" s="641"/>
      <c r="T31" s="641"/>
      <c r="U31" s="642"/>
    </row>
    <row r="32" spans="1:21" ht="16.899999999999999" thickTop="1">
      <c r="A32" s="652"/>
      <c r="B32" s="590"/>
      <c r="C32" s="493" t="str">
        <f>VLOOKUP(C31,工作表2!$A$5:$BG$9,35,FALSE)</f>
        <v>金額</v>
      </c>
      <c r="D32" s="580"/>
      <c r="E32" s="579"/>
      <c r="F32" s="493" t="str">
        <f>VLOOKUP(F31,工作表2!$A$5:$BG$9,36,FALSE)</f>
        <v>金額</v>
      </c>
      <c r="G32" s="580"/>
      <c r="H32" s="579"/>
      <c r="I32" s="493" t="str">
        <f>VLOOKUP(I31,工作表2!$A$5:$BG$9,37,FALSE)</f>
        <v>金額</v>
      </c>
      <c r="J32" s="580"/>
      <c r="K32" s="581"/>
      <c r="L32" s="665"/>
      <c r="M32" s="666"/>
      <c r="N32" s="667"/>
      <c r="O32" s="498"/>
      <c r="P32" s="582" t="s">
        <v>251</v>
      </c>
      <c r="Q32" s="583"/>
      <c r="R32" s="584"/>
      <c r="S32" s="588" t="e">
        <f>S28+S30</f>
        <v>#VALUE!</v>
      </c>
      <c r="T32" s="588"/>
      <c r="U32" s="589"/>
    </row>
    <row r="33" spans="1:21" ht="16.899999999999999" thickBot="1">
      <c r="A33" s="652"/>
      <c r="B33" s="567" t="s">
        <v>222</v>
      </c>
      <c r="C33" s="408" t="s">
        <v>306</v>
      </c>
      <c r="D33" s="569">
        <v>0</v>
      </c>
      <c r="E33" s="571" t="e">
        <f t="shared" ref="E33" si="7">C34*D33</f>
        <v>#VALUE!</v>
      </c>
      <c r="F33" s="408" t="s">
        <v>306</v>
      </c>
      <c r="G33" s="569">
        <v>0</v>
      </c>
      <c r="H33" s="571" t="e">
        <f t="shared" si="4"/>
        <v>#VALUE!</v>
      </c>
      <c r="I33" s="408" t="s">
        <v>306</v>
      </c>
      <c r="J33" s="569">
        <v>0</v>
      </c>
      <c r="K33" s="565" t="e">
        <f t="shared" si="5"/>
        <v>#VALUE!</v>
      </c>
      <c r="L33" s="665" t="e">
        <f>E33+H33+K33</f>
        <v>#VALUE!</v>
      </c>
      <c r="M33" s="666"/>
      <c r="N33" s="667"/>
      <c r="P33" s="585"/>
      <c r="Q33" s="586"/>
      <c r="R33" s="587"/>
      <c r="S33" s="563"/>
      <c r="T33" s="563"/>
      <c r="U33" s="564"/>
    </row>
    <row r="34" spans="1:21" ht="16.899999999999999" thickTop="1">
      <c r="A34" s="652"/>
      <c r="B34" s="590"/>
      <c r="C34" s="493" t="str">
        <f>VLOOKUP(C33,工作表2!$A$5:$BG$9,46,FALSE)</f>
        <v>金額</v>
      </c>
      <c r="D34" s="580"/>
      <c r="E34" s="579"/>
      <c r="F34" s="493" t="str">
        <f>VLOOKUP(F33,工作表2!$A$5:$BG$9,47,FALSE)</f>
        <v>金額</v>
      </c>
      <c r="G34" s="580"/>
      <c r="H34" s="579"/>
      <c r="I34" s="493" t="str">
        <f>VLOOKUP(I33,工作表2!$A$5:$BG$9,48,FALSE)</f>
        <v>金額</v>
      </c>
      <c r="J34" s="580"/>
      <c r="K34" s="581"/>
      <c r="L34" s="665"/>
      <c r="M34" s="666"/>
      <c r="N34" s="667"/>
      <c r="P34" s="499"/>
      <c r="Q34" s="499"/>
      <c r="R34" s="499"/>
      <c r="S34" s="499"/>
      <c r="T34" s="499"/>
      <c r="U34" s="499"/>
    </row>
    <row r="35" spans="1:21">
      <c r="A35" s="652"/>
      <c r="B35" s="567" t="s">
        <v>223</v>
      </c>
      <c r="C35" s="408" t="s">
        <v>306</v>
      </c>
      <c r="D35" s="569">
        <v>0</v>
      </c>
      <c r="E35" s="571" t="e">
        <f t="shared" ref="E35" si="8">C36*D35</f>
        <v>#VALUE!</v>
      </c>
      <c r="F35" s="408" t="s">
        <v>306</v>
      </c>
      <c r="G35" s="569">
        <v>0</v>
      </c>
      <c r="H35" s="571" t="e">
        <f t="shared" si="4"/>
        <v>#VALUE!</v>
      </c>
      <c r="I35" s="408" t="s">
        <v>306</v>
      </c>
      <c r="J35" s="569">
        <v>0</v>
      </c>
      <c r="K35" s="565" t="e">
        <f t="shared" si="5"/>
        <v>#VALUE!</v>
      </c>
      <c r="L35" s="665" t="e">
        <f>E35+H35+K35</f>
        <v>#VALUE!</v>
      </c>
      <c r="M35" s="666"/>
      <c r="N35" s="667"/>
    </row>
    <row r="36" spans="1:21" ht="16.899999999999999" thickBot="1">
      <c r="A36" s="653"/>
      <c r="B36" s="568"/>
      <c r="C36" s="494" t="str">
        <f>VLOOKUP(C35,工作表2!$A$5:$BG$9,57,FALSE)</f>
        <v>金額</v>
      </c>
      <c r="D36" s="570"/>
      <c r="E36" s="572"/>
      <c r="F36" s="494" t="str">
        <f>VLOOKUP(F35,工作表2!$A$5:$BG$9,58,FALSE)</f>
        <v>金額</v>
      </c>
      <c r="G36" s="570"/>
      <c r="H36" s="572"/>
      <c r="I36" s="494" t="str">
        <f>VLOOKUP(I35,工作表2!$A$5:$BG$9,59,FALSE)</f>
        <v>金額</v>
      </c>
      <c r="J36" s="570"/>
      <c r="K36" s="566"/>
      <c r="L36" s="668"/>
      <c r="M36" s="669"/>
      <c r="N36" s="670"/>
    </row>
    <row r="37" spans="1:21" ht="5.05" customHeight="1">
      <c r="L37" s="534"/>
      <c r="M37" s="534"/>
      <c r="N37" s="534"/>
    </row>
    <row r="38" spans="1:21">
      <c r="A38" s="357" t="s">
        <v>229</v>
      </c>
      <c r="B38" s="357"/>
      <c r="C38" s="357"/>
      <c r="D38" s="357"/>
      <c r="E38" s="357"/>
      <c r="F38" s="357"/>
      <c r="G38" s="357"/>
      <c r="H38" s="357"/>
      <c r="I38" s="357" t="s">
        <v>230</v>
      </c>
      <c r="M38" s="357"/>
      <c r="N38" s="357"/>
      <c r="O38" s="357"/>
      <c r="P38" s="357"/>
      <c r="Q38" s="357"/>
      <c r="R38" s="357"/>
      <c r="S38" s="357"/>
      <c r="T38" s="357"/>
      <c r="U38" s="357"/>
    </row>
    <row r="39" spans="1:21">
      <c r="A39" s="357" t="s">
        <v>231</v>
      </c>
      <c r="B39" s="357"/>
      <c r="C39" s="357"/>
      <c r="D39" s="357"/>
      <c r="E39" s="357"/>
      <c r="F39" s="357"/>
      <c r="G39" s="357"/>
      <c r="H39" s="357"/>
      <c r="I39" s="357" t="s">
        <v>232</v>
      </c>
      <c r="J39" s="357"/>
      <c r="M39" s="357"/>
      <c r="N39" s="357"/>
      <c r="O39" s="357"/>
      <c r="P39" s="357"/>
      <c r="Q39" s="357"/>
      <c r="R39" s="357"/>
      <c r="S39" s="357"/>
      <c r="T39" s="357"/>
      <c r="U39" s="357"/>
    </row>
    <row r="40" spans="1:21">
      <c r="B40" s="357"/>
      <c r="C40" s="357"/>
      <c r="D40" s="357"/>
      <c r="E40" s="357"/>
      <c r="F40" s="357"/>
      <c r="G40" s="357"/>
      <c r="H40" s="357"/>
      <c r="I40" s="357" t="s">
        <v>233</v>
      </c>
      <c r="J40" s="357"/>
      <c r="M40" s="357"/>
      <c r="N40" s="357"/>
      <c r="O40" s="357"/>
      <c r="P40" s="357"/>
      <c r="Q40" s="357"/>
      <c r="R40" s="357"/>
      <c r="S40" s="357"/>
      <c r="T40" s="357"/>
      <c r="U40" s="357"/>
    </row>
    <row r="41" spans="1:21" ht="21.95" customHeight="1">
      <c r="A41" s="358" t="s">
        <v>234</v>
      </c>
      <c r="B41" s="358"/>
      <c r="C41" s="358"/>
      <c r="D41" s="358"/>
      <c r="E41" s="358"/>
      <c r="F41" s="358" t="s">
        <v>235</v>
      </c>
      <c r="G41" s="358"/>
      <c r="H41" s="358"/>
      <c r="I41" s="358"/>
      <c r="J41" s="358"/>
      <c r="K41" s="358" t="s">
        <v>236</v>
      </c>
      <c r="L41" s="358"/>
      <c r="M41" s="358"/>
      <c r="N41" s="358"/>
      <c r="O41" s="358"/>
      <c r="P41" s="358"/>
      <c r="Q41" s="358" t="s">
        <v>237</v>
      </c>
      <c r="R41" s="359"/>
      <c r="S41" s="357"/>
      <c r="T41" s="357"/>
    </row>
    <row r="43" spans="1:21" ht="52.45" customHeight="1"/>
    <row r="44" spans="1:21" ht="35.700000000000003" customHeight="1">
      <c r="A44" s="764" t="s">
        <v>311</v>
      </c>
      <c r="B44" s="764"/>
      <c r="C44" s="764"/>
      <c r="D44" s="764"/>
      <c r="E44" s="764"/>
      <c r="F44" s="764"/>
      <c r="G44" s="764"/>
      <c r="H44" s="764"/>
      <c r="I44" s="764"/>
      <c r="J44" s="764"/>
      <c r="K44" s="764"/>
      <c r="L44" s="764"/>
      <c r="M44" s="764"/>
      <c r="N44" s="764"/>
      <c r="O44" s="764"/>
      <c r="P44" s="764"/>
      <c r="Q44" s="761" t="s">
        <v>314</v>
      </c>
      <c r="R44" s="763" t="s">
        <v>318</v>
      </c>
      <c r="S44" s="763"/>
      <c r="T44" s="762" t="s">
        <v>312</v>
      </c>
      <c r="U44" s="762"/>
    </row>
    <row r="45" spans="1:21" ht="16.3" customHeight="1">
      <c r="A45" s="766" t="s">
        <v>207</v>
      </c>
      <c r="B45" s="767" t="s">
        <v>208</v>
      </c>
      <c r="C45" s="575" t="s">
        <v>209</v>
      </c>
      <c r="D45" s="575"/>
      <c r="E45" s="575" t="s">
        <v>210</v>
      </c>
      <c r="F45" s="575"/>
      <c r="G45" s="575" t="s">
        <v>211</v>
      </c>
      <c r="H45" s="575"/>
      <c r="I45" s="575" t="s">
        <v>212</v>
      </c>
      <c r="J45" s="575"/>
      <c r="K45" s="758" t="s">
        <v>213</v>
      </c>
      <c r="L45" s="758"/>
      <c r="M45" s="758"/>
      <c r="N45" s="575" t="s">
        <v>214</v>
      </c>
      <c r="O45" s="575"/>
      <c r="P45" s="575"/>
      <c r="Q45" s="761"/>
      <c r="R45" s="763"/>
      <c r="S45" s="763"/>
      <c r="T45" s="762"/>
      <c r="U45" s="762"/>
    </row>
    <row r="46" spans="1:21">
      <c r="A46" s="766"/>
      <c r="B46" s="768"/>
      <c r="C46" s="523" t="s">
        <v>216</v>
      </c>
      <c r="D46" s="523" t="s">
        <v>217</v>
      </c>
      <c r="E46" s="523" t="s">
        <v>216</v>
      </c>
      <c r="F46" s="523" t="s">
        <v>217</v>
      </c>
      <c r="G46" s="523" t="s">
        <v>216</v>
      </c>
      <c r="H46" s="523" t="s">
        <v>217</v>
      </c>
      <c r="I46" s="523" t="s">
        <v>216</v>
      </c>
      <c r="J46" s="523" t="s">
        <v>217</v>
      </c>
      <c r="K46" s="523" t="s">
        <v>216</v>
      </c>
      <c r="L46" s="574" t="s">
        <v>217</v>
      </c>
      <c r="M46" s="574"/>
      <c r="N46" s="523" t="s">
        <v>216</v>
      </c>
      <c r="O46" s="574" t="s">
        <v>217</v>
      </c>
      <c r="P46" s="574"/>
      <c r="Q46" s="761"/>
      <c r="R46" s="763"/>
      <c r="S46" s="763"/>
      <c r="T46" s="762"/>
      <c r="U46" s="762"/>
    </row>
    <row r="47" spans="1:21">
      <c r="A47" s="766"/>
      <c r="B47" s="574" t="s">
        <v>218</v>
      </c>
      <c r="C47" s="575" t="str">
        <f>C10</f>
        <v>版本</v>
      </c>
      <c r="D47" s="575"/>
      <c r="E47" s="575" t="str">
        <f>E10</f>
        <v>版本</v>
      </c>
      <c r="F47" s="575"/>
      <c r="G47" s="575" t="str">
        <f>G10</f>
        <v>版本</v>
      </c>
      <c r="H47" s="575"/>
      <c r="I47" s="576"/>
      <c r="J47" s="576"/>
      <c r="K47" s="577"/>
      <c r="L47" s="577"/>
      <c r="M47" s="577"/>
      <c r="N47" s="576"/>
      <c r="O47" s="576"/>
      <c r="P47" s="576"/>
      <c r="Q47" s="573">
        <f>SUM(C48:H48)</f>
        <v>0</v>
      </c>
      <c r="R47" s="578">
        <f>Q47*E6</f>
        <v>0</v>
      </c>
      <c r="S47" s="578"/>
      <c r="T47" s="759">
        <f>Q47*E5</f>
        <v>0</v>
      </c>
      <c r="U47" s="760"/>
    </row>
    <row r="48" spans="1:21">
      <c r="A48" s="766"/>
      <c r="B48" s="574"/>
      <c r="C48" s="524" t="str">
        <f>VLOOKUP(C47,工作表2!$A$5:$DM$9,64,FALSE)</f>
        <v>金額</v>
      </c>
      <c r="D48" s="524" t="str">
        <f>VLOOKUP(C47,工作表2!$A$5:$DM$9,65,FALSE)</f>
        <v>金額</v>
      </c>
      <c r="E48" s="524" t="str">
        <f>VLOOKUP(E47,工作表2!$A$5:$DM$9,60,FALSE)</f>
        <v>金額</v>
      </c>
      <c r="F48" s="524" t="str">
        <f>VLOOKUP(E47,工作表2!$A$5:$DM$9,61,FALSE)</f>
        <v>金額</v>
      </c>
      <c r="G48" s="524" t="str">
        <f>VLOOKUP(G47,工作表2!$A$5:$DM$9,62,FALSE)</f>
        <v>金額</v>
      </c>
      <c r="H48" s="524" t="str">
        <f>VLOOKUP(G47,工作表2!$A$5:$DM$9,63,FALSE)</f>
        <v>金額</v>
      </c>
      <c r="I48" s="576"/>
      <c r="J48" s="576"/>
      <c r="K48" s="577"/>
      <c r="L48" s="577"/>
      <c r="M48" s="577"/>
      <c r="N48" s="576"/>
      <c r="O48" s="576"/>
      <c r="P48" s="576"/>
      <c r="Q48" s="573"/>
      <c r="R48" s="578"/>
      <c r="S48" s="578"/>
      <c r="T48" s="759"/>
      <c r="U48" s="760"/>
    </row>
    <row r="49" spans="1:21">
      <c r="A49" s="766"/>
      <c r="B49" s="574" t="s">
        <v>219</v>
      </c>
      <c r="C49" s="575" t="str">
        <f>C12</f>
        <v>版本</v>
      </c>
      <c r="D49" s="575"/>
      <c r="E49" s="575" t="str">
        <f>E12</f>
        <v>版本</v>
      </c>
      <c r="F49" s="575"/>
      <c r="G49" s="575" t="str">
        <f>G12</f>
        <v>版本</v>
      </c>
      <c r="H49" s="575"/>
      <c r="I49" s="576"/>
      <c r="J49" s="576"/>
      <c r="K49" s="576"/>
      <c r="L49" s="576"/>
      <c r="M49" s="576"/>
      <c r="N49" s="576"/>
      <c r="O49" s="576"/>
      <c r="P49" s="576"/>
      <c r="Q49" s="573">
        <f>SUM(C50:H50)</f>
        <v>0</v>
      </c>
      <c r="R49" s="578">
        <f>Q49*F6</f>
        <v>0</v>
      </c>
      <c r="S49" s="578"/>
      <c r="T49" s="759">
        <f>Q49*F5</f>
        <v>0</v>
      </c>
      <c r="U49" s="760"/>
    </row>
    <row r="50" spans="1:21">
      <c r="A50" s="766"/>
      <c r="B50" s="574"/>
      <c r="C50" s="524" t="str">
        <f>VLOOKUP(C49,工作表2!$A$5:$DM$9,71,FALSE)</f>
        <v>金額</v>
      </c>
      <c r="D50" s="524" t="str">
        <f>VLOOKUP(C49,工作表2!$A$5:$DM$9,72,FALSE)</f>
        <v>金額</v>
      </c>
      <c r="E50" s="524" t="str">
        <f>VLOOKUP(E49,工作表2!$A$5:$DM$9,67,FALSE)</f>
        <v>金額</v>
      </c>
      <c r="F50" s="524" t="str">
        <f>VLOOKUP(E49,工作表2!$A$5:$DM$9,68,FALSE)</f>
        <v>金額</v>
      </c>
      <c r="G50" s="524" t="str">
        <f>VLOOKUP(G49,工作表2!$A$5:$DM$9,69,FALSE)</f>
        <v>金額</v>
      </c>
      <c r="H50" s="524" t="str">
        <f>VLOOKUP(G49,工作表2!$A$5:$DM$9,70,FALSE)</f>
        <v>金額</v>
      </c>
      <c r="I50" s="576"/>
      <c r="J50" s="576"/>
      <c r="K50" s="576"/>
      <c r="L50" s="576"/>
      <c r="M50" s="576"/>
      <c r="N50" s="576"/>
      <c r="O50" s="576"/>
      <c r="P50" s="576"/>
      <c r="Q50" s="573"/>
      <c r="R50" s="578"/>
      <c r="S50" s="578"/>
      <c r="T50" s="759"/>
      <c r="U50" s="760"/>
    </row>
    <row r="51" spans="1:21">
      <c r="A51" s="766"/>
      <c r="B51" s="574" t="s">
        <v>220</v>
      </c>
      <c r="C51" s="576"/>
      <c r="D51" s="576"/>
      <c r="E51" s="575" t="str">
        <f>E14</f>
        <v>版本</v>
      </c>
      <c r="F51" s="575"/>
      <c r="G51" s="575" t="str">
        <f>G14</f>
        <v>版本</v>
      </c>
      <c r="H51" s="575"/>
      <c r="I51" s="575" t="str">
        <f>I14</f>
        <v>版本</v>
      </c>
      <c r="J51" s="575"/>
      <c r="K51" s="575" t="str">
        <f>K14</f>
        <v>版本</v>
      </c>
      <c r="L51" s="575"/>
      <c r="M51" s="575"/>
      <c r="N51" s="765" t="str">
        <f>N14</f>
        <v>版本</v>
      </c>
      <c r="O51" s="765"/>
      <c r="P51" s="765"/>
      <c r="Q51" s="573">
        <f>SUM(E52:P52)</f>
        <v>0</v>
      </c>
      <c r="R51" s="578">
        <f>Q51*G6</f>
        <v>0</v>
      </c>
      <c r="S51" s="578"/>
      <c r="T51" s="759">
        <f>Q51*G5</f>
        <v>0</v>
      </c>
      <c r="U51" s="760"/>
    </row>
    <row r="52" spans="1:21">
      <c r="A52" s="766"/>
      <c r="B52" s="574"/>
      <c r="C52" s="576"/>
      <c r="D52" s="576"/>
      <c r="E52" s="524" t="str">
        <f>VLOOKUP(E51,工作表2!$A$5:$DM$9,77,FALSE)</f>
        <v>金額</v>
      </c>
      <c r="F52" s="524" t="str">
        <f>VLOOKUP(E51,工作表2!$A$5:$DM$9,78,FALSE)</f>
        <v>金額</v>
      </c>
      <c r="G52" s="524" t="str">
        <f>VLOOKUP(G51,工作表2!$A$5:$DM$9,79,FALSE)</f>
        <v>金額</v>
      </c>
      <c r="H52" s="524" t="str">
        <f>VLOOKUP(G51,工作表2!$A$5:$DM$9,80,FALSE)</f>
        <v>金額</v>
      </c>
      <c r="I52" s="524" t="str">
        <f>VLOOKUP(I51,工作表2!$A$5:$DM$9,81,FALSE)</f>
        <v>金額</v>
      </c>
      <c r="J52" s="524" t="str">
        <f>VLOOKUP(I51,工作表2!$A$5:$DM$9,82,FALSE)</f>
        <v>金額</v>
      </c>
      <c r="K52" s="524" t="str">
        <f>VLOOKUP(K51,工作表2!$A$5:$DM$9,74,FALSE)</f>
        <v>金額</v>
      </c>
      <c r="L52" s="576" t="str">
        <f>VLOOKUP(K51,工作表2!$A$5:$DM$9,75,FALSE)</f>
        <v>金額</v>
      </c>
      <c r="M52" s="576"/>
      <c r="N52" s="524" t="str">
        <f>VLOOKUP(N51,工作表2!$A$15:$I$19,6,FALSE)</f>
        <v>金額</v>
      </c>
      <c r="O52" s="576" t="str">
        <f>VLOOKUP(N51,工作表2!$A$15:$I$19,7,FALSE)</f>
        <v>金額</v>
      </c>
      <c r="P52" s="576"/>
      <c r="Q52" s="573"/>
      <c r="R52" s="578"/>
      <c r="S52" s="578"/>
      <c r="T52" s="759"/>
      <c r="U52" s="760"/>
    </row>
    <row r="53" spans="1:21">
      <c r="A53" s="766"/>
      <c r="B53" s="574" t="s">
        <v>221</v>
      </c>
      <c r="C53" s="576"/>
      <c r="D53" s="576"/>
      <c r="E53" s="575" t="str">
        <f>E16</f>
        <v>版本</v>
      </c>
      <c r="F53" s="575"/>
      <c r="G53" s="575" t="str">
        <f>G16</f>
        <v>版本</v>
      </c>
      <c r="H53" s="575"/>
      <c r="I53" s="575" t="str">
        <f>I16</f>
        <v>版本</v>
      </c>
      <c r="J53" s="575"/>
      <c r="K53" s="575" t="str">
        <f>K16</f>
        <v>版本</v>
      </c>
      <c r="L53" s="575"/>
      <c r="M53" s="575"/>
      <c r="N53" s="765" t="str">
        <f>N16</f>
        <v>版本</v>
      </c>
      <c r="O53" s="765"/>
      <c r="P53" s="765"/>
      <c r="Q53" s="573">
        <f t="shared" ref="Q53" si="9">SUM(E54:P54)</f>
        <v>0</v>
      </c>
      <c r="R53" s="578">
        <f>Q53*H6</f>
        <v>0</v>
      </c>
      <c r="S53" s="578"/>
      <c r="T53" s="759">
        <f>Q53*H5</f>
        <v>0</v>
      </c>
      <c r="U53" s="760"/>
    </row>
    <row r="54" spans="1:21">
      <c r="A54" s="766"/>
      <c r="B54" s="574"/>
      <c r="C54" s="576"/>
      <c r="D54" s="576"/>
      <c r="E54" s="524" t="str">
        <f>VLOOKUP(E53,工作表2!$A$5:$DM$9,85,FALSE)</f>
        <v>金額</v>
      </c>
      <c r="F54" s="524" t="str">
        <f>VLOOKUP(E53,工作表2!$A$5:$DM$9,86,FALSE)</f>
        <v>金額</v>
      </c>
      <c r="G54" s="524" t="str">
        <f>VLOOKUP(G53,工作表2!$A$5:$DM$9,87,FALSE)</f>
        <v>金額</v>
      </c>
      <c r="H54" s="524" t="str">
        <f>VLOOKUP(G53,工作表2!$A$5:$DM$9,88,FALSE)</f>
        <v>金額</v>
      </c>
      <c r="I54" s="524" t="str">
        <f>VLOOKUP(I53,工作表2!$A$5:$DM$9,89,FALSE)</f>
        <v>金額</v>
      </c>
      <c r="J54" s="524" t="str">
        <f>VLOOKUP(I53,工作表2!$A$5:$DM$9,90,FALSE)</f>
        <v>金額</v>
      </c>
      <c r="K54" s="524" t="str">
        <f>VLOOKUP(K53,工作表2!$A$5:$DM$9,91,FALSE)</f>
        <v>金額</v>
      </c>
      <c r="L54" s="576" t="str">
        <f>VLOOKUP(K53,工作表2!$A$5:$DM$9,92,FALSE)</f>
        <v>金額</v>
      </c>
      <c r="M54" s="576"/>
      <c r="N54" s="524" t="str">
        <f>VLOOKUP(N53,工作表2!$A$15:$I$19,8,FALSE)</f>
        <v>金額</v>
      </c>
      <c r="O54" s="576" t="str">
        <f>VLOOKUP(N53,工作表2!$A$15:$I$19,9,FALSE)</f>
        <v>金額</v>
      </c>
      <c r="P54" s="576"/>
      <c r="Q54" s="573"/>
      <c r="R54" s="578"/>
      <c r="S54" s="578"/>
      <c r="T54" s="759"/>
      <c r="U54" s="760"/>
    </row>
    <row r="55" spans="1:21">
      <c r="A55" s="766"/>
      <c r="B55" s="574" t="s">
        <v>222</v>
      </c>
      <c r="C55" s="576"/>
      <c r="D55" s="576"/>
      <c r="E55" s="575" t="str">
        <f>E18</f>
        <v>版本</v>
      </c>
      <c r="F55" s="575"/>
      <c r="G55" s="575" t="str">
        <f>G18</f>
        <v>版本</v>
      </c>
      <c r="H55" s="575"/>
      <c r="I55" s="575" t="str">
        <f>I18</f>
        <v>版本</v>
      </c>
      <c r="J55" s="575"/>
      <c r="K55" s="575" t="str">
        <f>K18</f>
        <v>版本</v>
      </c>
      <c r="L55" s="575"/>
      <c r="M55" s="575"/>
      <c r="N55" s="765" t="str">
        <f>N18</f>
        <v>版本</v>
      </c>
      <c r="O55" s="765"/>
      <c r="P55" s="765"/>
      <c r="Q55" s="573">
        <f>SUM(E56:P56)</f>
        <v>0</v>
      </c>
      <c r="R55" s="578">
        <f>Q55*I6</f>
        <v>0</v>
      </c>
      <c r="S55" s="578"/>
      <c r="T55" s="759">
        <f>Q55*I5</f>
        <v>0</v>
      </c>
      <c r="U55" s="760"/>
    </row>
    <row r="56" spans="1:21">
      <c r="A56" s="766"/>
      <c r="B56" s="574"/>
      <c r="C56" s="576"/>
      <c r="D56" s="576"/>
      <c r="E56" s="524" t="str">
        <f>VLOOKUP(E55,工作表2!$A$5:$DM$9,96,FALSE)</f>
        <v>金額</v>
      </c>
      <c r="F56" s="524" t="str">
        <f>VLOOKUP(E55,工作表2!$A$5:$DM$9,97,FALSE)</f>
        <v>金額</v>
      </c>
      <c r="G56" s="524" t="str">
        <f>VLOOKUP(G55,工作表2!$A$5:$DM$9,98,FALSE)</f>
        <v>金額</v>
      </c>
      <c r="H56" s="524" t="str">
        <f>VLOOKUP(G55,工作表2!$A$5:$DM$9,99,FALSE)</f>
        <v>金額</v>
      </c>
      <c r="I56" s="524" t="str">
        <f>VLOOKUP(I55,工作表2!$A$5:$DM$9,100,FALSE)</f>
        <v>金額</v>
      </c>
      <c r="J56" s="524" t="str">
        <f>VLOOKUP(I55,工作表2!$A$5:$DM$9,101,FALSE)</f>
        <v>金額</v>
      </c>
      <c r="K56" s="524" t="str">
        <f>VLOOKUP(K55,工作表2!$A$5:$DM$9,102,FALSE)</f>
        <v>金額</v>
      </c>
      <c r="L56" s="576" t="str">
        <f>VLOOKUP(K55,工作表2!$A$5:$DM$9,103,FALSE)</f>
        <v>金額</v>
      </c>
      <c r="M56" s="576"/>
      <c r="N56" s="524" t="str">
        <f>VLOOKUP(N55,工作表2!$J$15:$R$21,6,FALSE)</f>
        <v>金額</v>
      </c>
      <c r="O56" s="576" t="str">
        <f>VLOOKUP(N55,工作表2!$J$15:$R$21,7,FALSE)</f>
        <v>金額</v>
      </c>
      <c r="P56" s="576"/>
      <c r="Q56" s="573"/>
      <c r="R56" s="578"/>
      <c r="S56" s="578"/>
      <c r="T56" s="759"/>
      <c r="U56" s="760"/>
    </row>
    <row r="57" spans="1:21">
      <c r="A57" s="766"/>
      <c r="B57" s="574" t="s">
        <v>223</v>
      </c>
      <c r="C57" s="576"/>
      <c r="D57" s="576"/>
      <c r="E57" s="575" t="str">
        <f>E20</f>
        <v>版本</v>
      </c>
      <c r="F57" s="575"/>
      <c r="G57" s="575" t="str">
        <f>G20</f>
        <v>版本</v>
      </c>
      <c r="H57" s="575"/>
      <c r="I57" s="575" t="str">
        <f>I20</f>
        <v>版本</v>
      </c>
      <c r="J57" s="575"/>
      <c r="K57" s="575" t="str">
        <f>K20</f>
        <v>版本</v>
      </c>
      <c r="L57" s="575"/>
      <c r="M57" s="575"/>
      <c r="N57" s="765" t="str">
        <f>N20</f>
        <v>版本</v>
      </c>
      <c r="O57" s="765"/>
      <c r="P57" s="765"/>
      <c r="Q57" s="573">
        <f>SUM(E58:P58)</f>
        <v>0</v>
      </c>
      <c r="R57" s="578">
        <f>Q57*J6</f>
        <v>0</v>
      </c>
      <c r="S57" s="578"/>
      <c r="T57" s="759">
        <f>Q57*J5</f>
        <v>0</v>
      </c>
      <c r="U57" s="760"/>
    </row>
    <row r="58" spans="1:21">
      <c r="A58" s="766"/>
      <c r="B58" s="574"/>
      <c r="C58" s="576"/>
      <c r="D58" s="576"/>
      <c r="E58" s="524" t="str">
        <f>VLOOKUP(E57,工作表2!$A$5:$DM$9,107,FALSE)</f>
        <v>金額</v>
      </c>
      <c r="F58" s="524" t="str">
        <f>VLOOKUP(E57,工作表2!$A$5:$DM$9,108,FALSE)</f>
        <v>金額</v>
      </c>
      <c r="G58" s="524" t="str">
        <f>VLOOKUP(G57,工作表2!$A$5:$DM$9,109,FALSE)</f>
        <v>金額</v>
      </c>
      <c r="H58" s="524" t="str">
        <f>VLOOKUP(G57,工作表2!$A$5:$DM$9,110,FALSE)</f>
        <v>金額</v>
      </c>
      <c r="I58" s="524" t="str">
        <f>VLOOKUP(I57,工作表2!$A$5:$DM$9,111,FALSE)</f>
        <v>金額</v>
      </c>
      <c r="J58" s="524" t="str">
        <f>VLOOKUP(I57,工作表2!$A$5:$DM$9,112,FALSE)</f>
        <v>金額</v>
      </c>
      <c r="K58" s="524" t="str">
        <f>VLOOKUP(K57,工作表2!$A$5:$DM$9,113,FALSE)</f>
        <v>金額</v>
      </c>
      <c r="L58" s="576" t="str">
        <f>VLOOKUP(K57,工作表2!$A$5:$DM$9,114,FALSE)</f>
        <v>金額</v>
      </c>
      <c r="M58" s="576"/>
      <c r="N58" s="524" t="str">
        <f>VLOOKUP(N57,工作表2!$J$15:$R$21,8,FALSE)</f>
        <v>金額</v>
      </c>
      <c r="O58" s="576" t="str">
        <f>VLOOKUP(N57,工作表2!$J$15:$R$21,9,FALSE)</f>
        <v>金額</v>
      </c>
      <c r="P58" s="576"/>
      <c r="Q58" s="573"/>
      <c r="R58" s="769"/>
      <c r="S58" s="769"/>
      <c r="T58" s="770"/>
      <c r="U58" s="771"/>
    </row>
    <row r="59" spans="1:21" ht="16.899999999999999" thickBot="1">
      <c r="A59" s="525"/>
      <c r="B59" s="526"/>
      <c r="C59" s="526"/>
      <c r="D59" s="526"/>
      <c r="E59" s="527"/>
      <c r="F59" s="527"/>
      <c r="G59" s="527"/>
      <c r="H59" s="527"/>
      <c r="I59" s="527"/>
      <c r="J59" s="527"/>
      <c r="K59" s="527"/>
      <c r="L59" s="527"/>
      <c r="M59" s="527"/>
      <c r="N59" s="527"/>
      <c r="O59" s="527"/>
      <c r="P59" s="527"/>
      <c r="Q59" s="772" t="s">
        <v>199</v>
      </c>
      <c r="R59" s="578">
        <f>SUM(R47:R58)</f>
        <v>0</v>
      </c>
      <c r="S59" s="578"/>
      <c r="T59" s="775">
        <f>SUM(T47:U58)</f>
        <v>0</v>
      </c>
      <c r="U59" s="776"/>
    </row>
    <row r="60" spans="1:21" ht="16.899999999999999" thickBot="1">
      <c r="A60" s="779" t="s">
        <v>224</v>
      </c>
      <c r="B60" s="782" t="s">
        <v>208</v>
      </c>
      <c r="C60" s="784" t="s">
        <v>247</v>
      </c>
      <c r="D60" s="786" t="s">
        <v>226</v>
      </c>
      <c r="E60" s="786" t="s">
        <v>227</v>
      </c>
      <c r="F60" s="784" t="s">
        <v>248</v>
      </c>
      <c r="G60" s="786" t="s">
        <v>226</v>
      </c>
      <c r="H60" s="786" t="s">
        <v>227</v>
      </c>
      <c r="I60" s="788" t="s">
        <v>249</v>
      </c>
      <c r="J60" s="786" t="s">
        <v>226</v>
      </c>
      <c r="K60" s="790" t="s">
        <v>227</v>
      </c>
      <c r="L60" s="792" t="s">
        <v>243</v>
      </c>
      <c r="M60" s="793"/>
      <c r="N60" s="794"/>
      <c r="O60" s="527"/>
      <c r="P60" s="527"/>
      <c r="Q60" s="773"/>
      <c r="R60" s="774"/>
      <c r="S60" s="774"/>
      <c r="T60" s="777"/>
      <c r="U60" s="778"/>
    </row>
    <row r="61" spans="1:21" ht="16.899999999999999" thickBot="1">
      <c r="A61" s="780"/>
      <c r="B61" s="783"/>
      <c r="C61" s="785"/>
      <c r="D61" s="787"/>
      <c r="E61" s="787"/>
      <c r="F61" s="785"/>
      <c r="G61" s="787"/>
      <c r="H61" s="787"/>
      <c r="I61" s="789"/>
      <c r="J61" s="787"/>
      <c r="K61" s="791"/>
      <c r="L61" s="795"/>
      <c r="M61" s="574"/>
      <c r="N61" s="796"/>
      <c r="O61" s="528"/>
      <c r="P61" s="528"/>
      <c r="Q61" s="528"/>
      <c r="R61" s="529"/>
      <c r="S61" s="529"/>
      <c r="T61" s="528"/>
      <c r="U61" s="528"/>
    </row>
    <row r="62" spans="1:21" ht="16.3" customHeight="1" thickTop="1">
      <c r="A62" s="780"/>
      <c r="B62" s="797" t="s">
        <v>218</v>
      </c>
      <c r="C62" s="530" t="str">
        <f>C25</f>
        <v>版本</v>
      </c>
      <c r="D62" s="798">
        <f>D25</f>
        <v>0</v>
      </c>
      <c r="E62" s="800" t="e">
        <f>C63*D62</f>
        <v>#VALUE!</v>
      </c>
      <c r="F62" s="802"/>
      <c r="G62" s="803"/>
      <c r="H62" s="804"/>
      <c r="I62" s="802"/>
      <c r="J62" s="803"/>
      <c r="K62" s="803"/>
      <c r="L62" s="808" t="e">
        <f>E62</f>
        <v>#VALUE!</v>
      </c>
      <c r="M62" s="809"/>
      <c r="N62" s="810"/>
      <c r="O62" s="528"/>
      <c r="P62" s="811" t="s">
        <v>315</v>
      </c>
      <c r="Q62" s="812"/>
      <c r="R62" s="813"/>
      <c r="S62" s="535">
        <f>R59</f>
        <v>0</v>
      </c>
      <c r="T62" s="536"/>
      <c r="U62" s="537"/>
    </row>
    <row r="63" spans="1:21" ht="16.3" customHeight="1" thickBot="1">
      <c r="A63" s="780"/>
      <c r="B63" s="787"/>
      <c r="C63" s="524" t="str">
        <f>VLOOKUP(C62,工作表2!$A$5:$DM$9,66,FALSE)</f>
        <v>金額</v>
      </c>
      <c r="D63" s="799"/>
      <c r="E63" s="801"/>
      <c r="F63" s="805"/>
      <c r="G63" s="806"/>
      <c r="H63" s="807"/>
      <c r="I63" s="805"/>
      <c r="J63" s="806"/>
      <c r="K63" s="806"/>
      <c r="L63" s="808"/>
      <c r="M63" s="809"/>
      <c r="N63" s="810"/>
      <c r="O63" s="528"/>
      <c r="P63" s="814"/>
      <c r="Q63" s="815"/>
      <c r="R63" s="816"/>
      <c r="S63" s="538"/>
      <c r="T63" s="539"/>
      <c r="U63" s="540"/>
    </row>
    <row r="64" spans="1:21" ht="16.899999999999999" customHeight="1" thickTop="1">
      <c r="A64" s="780"/>
      <c r="B64" s="797" t="s">
        <v>219</v>
      </c>
      <c r="C64" s="530" t="str">
        <f>C27</f>
        <v>版本</v>
      </c>
      <c r="D64" s="798">
        <f>D27</f>
        <v>0</v>
      </c>
      <c r="E64" s="820" t="e">
        <f t="shared" ref="E64" si="10">C65*D64</f>
        <v>#VALUE!</v>
      </c>
      <c r="F64" s="826"/>
      <c r="G64" s="827"/>
      <c r="H64" s="828"/>
      <c r="I64" s="832"/>
      <c r="J64" s="827"/>
      <c r="K64" s="827"/>
      <c r="L64" s="808" t="e">
        <f>E64</f>
        <v>#VALUE!</v>
      </c>
      <c r="M64" s="809"/>
      <c r="N64" s="810"/>
      <c r="O64" s="528"/>
      <c r="P64" s="811" t="s">
        <v>316</v>
      </c>
      <c r="Q64" s="812"/>
      <c r="R64" s="813"/>
      <c r="S64" s="547" t="e">
        <f>SUM(L62:N73)</f>
        <v>#VALUE!</v>
      </c>
      <c r="T64" s="548"/>
      <c r="U64" s="549"/>
    </row>
    <row r="65" spans="1:21" ht="16.899999999999999" customHeight="1" thickBot="1">
      <c r="A65" s="780"/>
      <c r="B65" s="787"/>
      <c r="C65" s="524" t="str">
        <f>VLOOKUP(C64,工作表2!$A$5:$DM$9,73,FALSE)</f>
        <v>金額</v>
      </c>
      <c r="D65" s="799"/>
      <c r="E65" s="825"/>
      <c r="F65" s="829"/>
      <c r="G65" s="830"/>
      <c r="H65" s="831"/>
      <c r="I65" s="833"/>
      <c r="J65" s="830"/>
      <c r="K65" s="830"/>
      <c r="L65" s="808"/>
      <c r="M65" s="809"/>
      <c r="N65" s="810"/>
      <c r="O65" s="531"/>
      <c r="P65" s="814"/>
      <c r="Q65" s="815"/>
      <c r="R65" s="816"/>
      <c r="S65" s="550"/>
      <c r="T65" s="551"/>
      <c r="U65" s="552"/>
    </row>
    <row r="66" spans="1:21" ht="16.899999999999999" customHeight="1" thickTop="1">
      <c r="A66" s="780"/>
      <c r="B66" s="797" t="s">
        <v>220</v>
      </c>
      <c r="C66" s="530" t="str">
        <f>C29</f>
        <v>版本</v>
      </c>
      <c r="D66" s="798">
        <f>D29</f>
        <v>0</v>
      </c>
      <c r="E66" s="800" t="e">
        <f t="shared" ref="E66" si="11">C67*D66</f>
        <v>#VALUE!</v>
      </c>
      <c r="F66" s="532" t="str">
        <f>F29</f>
        <v>版本</v>
      </c>
      <c r="G66" s="834">
        <f>G29</f>
        <v>0</v>
      </c>
      <c r="H66" s="835" t="e">
        <f t="shared" ref="H66" si="12">F67*G66</f>
        <v>#VALUE!</v>
      </c>
      <c r="I66" s="532" t="str">
        <f>I29</f>
        <v>版本</v>
      </c>
      <c r="J66" s="834">
        <f>J29</f>
        <v>0</v>
      </c>
      <c r="K66" s="836" t="e">
        <f t="shared" ref="K66" si="13">I67*J66</f>
        <v>#VALUE!</v>
      </c>
      <c r="L66" s="808" t="e">
        <f>E66+H66+K66</f>
        <v>#VALUE!</v>
      </c>
      <c r="M66" s="809"/>
      <c r="N66" s="810"/>
      <c r="O66" s="531"/>
      <c r="P66" s="541" t="s">
        <v>317</v>
      </c>
      <c r="Q66" s="542"/>
      <c r="R66" s="543"/>
      <c r="S66" s="547">
        <f>T59</f>
        <v>0</v>
      </c>
      <c r="T66" s="548"/>
      <c r="U66" s="549"/>
    </row>
    <row r="67" spans="1:21" ht="16.899999999999999" thickBot="1">
      <c r="A67" s="780"/>
      <c r="B67" s="787"/>
      <c r="C67" s="524" t="str">
        <f>VLOOKUP(C66,工作表2!$A$5:$DM$9,83,FALSE)</f>
        <v>金額</v>
      </c>
      <c r="D67" s="799"/>
      <c r="E67" s="801"/>
      <c r="F67" s="524" t="str">
        <f>VLOOKUP(F66,工作表2!$A$5:$DM$9,76,FALSE)</f>
        <v>金額</v>
      </c>
      <c r="G67" s="799"/>
      <c r="H67" s="801"/>
      <c r="I67" s="524" t="str">
        <f>VLOOKUP(I66,工作表2!$A$5:$DM$9,84,FALSE)</f>
        <v>金額</v>
      </c>
      <c r="J67" s="799"/>
      <c r="K67" s="825"/>
      <c r="L67" s="808"/>
      <c r="M67" s="809"/>
      <c r="N67" s="810"/>
      <c r="O67" s="531"/>
      <c r="P67" s="544"/>
      <c r="Q67" s="545"/>
      <c r="R67" s="546"/>
      <c r="S67" s="550"/>
      <c r="T67" s="551"/>
      <c r="U67" s="552"/>
    </row>
    <row r="68" spans="1:21" ht="18.8" customHeight="1" thickTop="1">
      <c r="A68" s="780"/>
      <c r="B68" s="797" t="s">
        <v>221</v>
      </c>
      <c r="C68" s="530" t="str">
        <f>C31</f>
        <v>版本</v>
      </c>
      <c r="D68" s="798">
        <f>D31</f>
        <v>0</v>
      </c>
      <c r="E68" s="800" t="e">
        <f t="shared" ref="E68" si="14">C69*D68</f>
        <v>#VALUE!</v>
      </c>
      <c r="F68" s="530" t="str">
        <f>F31</f>
        <v>版本</v>
      </c>
      <c r="G68" s="798">
        <f>G31</f>
        <v>0</v>
      </c>
      <c r="H68" s="800" t="e">
        <f t="shared" ref="H68" si="15">F69*G68</f>
        <v>#VALUE!</v>
      </c>
      <c r="I68" s="530" t="str">
        <f>I31</f>
        <v>版本</v>
      </c>
      <c r="J68" s="798">
        <f>J31</f>
        <v>0</v>
      </c>
      <c r="K68" s="820" t="e">
        <f t="shared" ref="K68" si="16">I69*J68</f>
        <v>#VALUE!</v>
      </c>
      <c r="L68" s="808" t="e">
        <f>E68+H68+K68</f>
        <v>#VALUE!</v>
      </c>
      <c r="M68" s="809"/>
      <c r="N68" s="810"/>
      <c r="O68" s="531"/>
      <c r="P68" s="553" t="s">
        <v>319</v>
      </c>
      <c r="Q68" s="554"/>
      <c r="R68" s="555"/>
      <c r="S68" s="559" t="e">
        <f>SUM(S62:U67)</f>
        <v>#VALUE!</v>
      </c>
      <c r="T68" s="560"/>
      <c r="U68" s="561"/>
    </row>
    <row r="69" spans="1:21" ht="16.3" customHeight="1" thickBot="1">
      <c r="A69" s="780"/>
      <c r="B69" s="787"/>
      <c r="C69" s="524" t="str">
        <f>VLOOKUP(C68,工作表2!$A$5:$DM$9,93,FALSE)</f>
        <v>金額</v>
      </c>
      <c r="D69" s="799"/>
      <c r="E69" s="801"/>
      <c r="F69" s="524" t="str">
        <f>VLOOKUP(F68,工作表2!$A$5:$DM$9,94,FALSE)</f>
        <v>金額</v>
      </c>
      <c r="G69" s="799"/>
      <c r="H69" s="801"/>
      <c r="I69" s="524" t="str">
        <f>VLOOKUP(I68,工作表2!$A$5:$DM$9,95,FALSE)</f>
        <v>金額</v>
      </c>
      <c r="J69" s="799"/>
      <c r="K69" s="825"/>
      <c r="L69" s="808"/>
      <c r="M69" s="809"/>
      <c r="N69" s="810"/>
      <c r="O69" s="531"/>
      <c r="P69" s="556"/>
      <c r="Q69" s="557"/>
      <c r="R69" s="558"/>
      <c r="S69" s="562"/>
      <c r="T69" s="563"/>
      <c r="U69" s="564"/>
    </row>
    <row r="70" spans="1:21" ht="16.899999999999999" customHeight="1" thickTop="1">
      <c r="A70" s="780"/>
      <c r="B70" s="797" t="s">
        <v>222</v>
      </c>
      <c r="C70" s="530" t="str">
        <f>C33</f>
        <v>版本</v>
      </c>
      <c r="D70" s="798">
        <f>D33</f>
        <v>0</v>
      </c>
      <c r="E70" s="800" t="e">
        <f t="shared" ref="E70" si="17">C71*D70</f>
        <v>#VALUE!</v>
      </c>
      <c r="F70" s="530" t="str">
        <f>F33</f>
        <v>版本</v>
      </c>
      <c r="G70" s="798">
        <f>G33</f>
        <v>0</v>
      </c>
      <c r="H70" s="800" t="e">
        <f t="shared" ref="H70" si="18">F71*G70</f>
        <v>#VALUE!</v>
      </c>
      <c r="I70" s="530" t="str">
        <f>I33</f>
        <v>版本</v>
      </c>
      <c r="J70" s="798">
        <f>J33</f>
        <v>0</v>
      </c>
      <c r="K70" s="820" t="e">
        <f t="shared" ref="K70" si="19">I71*J70</f>
        <v>#VALUE!</v>
      </c>
      <c r="L70" s="808" t="e">
        <f>E70+H70+K70</f>
        <v>#VALUE!</v>
      </c>
      <c r="M70" s="809"/>
      <c r="N70" s="810"/>
      <c r="O70" s="528"/>
      <c r="P70" s="541" t="s">
        <v>313</v>
      </c>
      <c r="Q70" s="542"/>
      <c r="R70" s="543"/>
      <c r="S70" s="547" t="e">
        <f>S68+S32+T22</f>
        <v>#VALUE!</v>
      </c>
      <c r="T70" s="548"/>
      <c r="U70" s="549"/>
    </row>
    <row r="71" spans="1:21" ht="16.899999999999999" thickBot="1">
      <c r="A71" s="780"/>
      <c r="B71" s="787"/>
      <c r="C71" s="524" t="str">
        <f>VLOOKUP(C70,工作表2!$A$5:$DM$9,104,FALSE)</f>
        <v>金額</v>
      </c>
      <c r="D71" s="799"/>
      <c r="E71" s="801"/>
      <c r="F71" s="524" t="str">
        <f>VLOOKUP(F70,工作表2!$A$5:$DM$9,105,FALSE)</f>
        <v>金額</v>
      </c>
      <c r="G71" s="799"/>
      <c r="H71" s="801"/>
      <c r="I71" s="524" t="str">
        <f>VLOOKUP(I70,工作表2!$A$5:$DM$9,106,FALSE)</f>
        <v>金額</v>
      </c>
      <c r="J71" s="799"/>
      <c r="K71" s="825"/>
      <c r="L71" s="808"/>
      <c r="M71" s="809"/>
      <c r="N71" s="810"/>
      <c r="O71" s="528"/>
      <c r="P71" s="544"/>
      <c r="Q71" s="545"/>
      <c r="R71" s="546"/>
      <c r="S71" s="550"/>
      <c r="T71" s="551"/>
      <c r="U71" s="552"/>
    </row>
    <row r="72" spans="1:21" ht="16.899999999999999" thickTop="1">
      <c r="A72" s="780"/>
      <c r="B72" s="797" t="s">
        <v>223</v>
      </c>
      <c r="C72" s="530" t="str">
        <f>C35</f>
        <v>版本</v>
      </c>
      <c r="D72" s="798">
        <f>D35</f>
        <v>0</v>
      </c>
      <c r="E72" s="800" t="e">
        <f t="shared" ref="E72" si="20">C73*D72</f>
        <v>#VALUE!</v>
      </c>
      <c r="F72" s="530" t="str">
        <f>F35</f>
        <v>版本</v>
      </c>
      <c r="G72" s="798">
        <f>G35</f>
        <v>0</v>
      </c>
      <c r="H72" s="800" t="e">
        <f t="shared" ref="H72" si="21">F73*G72</f>
        <v>#VALUE!</v>
      </c>
      <c r="I72" s="530" t="str">
        <f>I35</f>
        <v>版本</v>
      </c>
      <c r="J72" s="798">
        <f>J35</f>
        <v>0</v>
      </c>
      <c r="K72" s="820" t="e">
        <f t="shared" ref="K72" si="22">I73*J72</f>
        <v>#VALUE!</v>
      </c>
      <c r="L72" s="808" t="e">
        <f>E72+H72+K72</f>
        <v>#VALUE!</v>
      </c>
      <c r="M72" s="809"/>
      <c r="N72" s="810"/>
      <c r="O72" s="528"/>
      <c r="P72" s="528"/>
      <c r="Q72" s="528"/>
      <c r="R72" s="528"/>
      <c r="S72" s="528"/>
      <c r="T72" s="528"/>
      <c r="U72" s="528"/>
    </row>
    <row r="73" spans="1:21" ht="16.899999999999999" thickBot="1">
      <c r="A73" s="781"/>
      <c r="B73" s="817"/>
      <c r="C73" s="533" t="str">
        <f>VLOOKUP(C72,工作表2!$A$5:$DM$9,115,FALSE)</f>
        <v>金額</v>
      </c>
      <c r="D73" s="818"/>
      <c r="E73" s="819"/>
      <c r="F73" s="533" t="str">
        <f>VLOOKUP(F72,工作表2!$A$5:$DM$9,116,FALSE)</f>
        <v>金額</v>
      </c>
      <c r="G73" s="818"/>
      <c r="H73" s="819"/>
      <c r="I73" s="533" t="str">
        <f>VLOOKUP(I72,工作表2!$A$5:$DM$9,117,FALSE)</f>
        <v>金額</v>
      </c>
      <c r="J73" s="818"/>
      <c r="K73" s="821"/>
      <c r="L73" s="822"/>
      <c r="M73" s="823"/>
      <c r="N73" s="824"/>
      <c r="O73" s="528"/>
      <c r="P73" s="528"/>
      <c r="Q73" s="528"/>
      <c r="R73" s="528"/>
      <c r="S73" s="528"/>
      <c r="T73" s="528"/>
      <c r="U73" s="528"/>
    </row>
  </sheetData>
  <sheetProtection formatCells="0" formatColumns="0" formatRows="0" insertColumns="0" insertRows="0" insertHyperlinks="0" deleteColumns="0" deleteRows="0" selectLockedCells="1" sort="0" autoFilter="0" pivotTables="0"/>
  <mergeCells count="318">
    <mergeCell ref="J70:J71"/>
    <mergeCell ref="K70:K71"/>
    <mergeCell ref="L70:N71"/>
    <mergeCell ref="P64:R65"/>
    <mergeCell ref="S64:U65"/>
    <mergeCell ref="B68:B69"/>
    <mergeCell ref="D68:D69"/>
    <mergeCell ref="E68:E69"/>
    <mergeCell ref="G68:G69"/>
    <mergeCell ref="B66:B67"/>
    <mergeCell ref="D66:D67"/>
    <mergeCell ref="E66:E67"/>
    <mergeCell ref="G66:G67"/>
    <mergeCell ref="H66:H67"/>
    <mergeCell ref="J66:J67"/>
    <mergeCell ref="K66:K67"/>
    <mergeCell ref="L66:N67"/>
    <mergeCell ref="P62:R63"/>
    <mergeCell ref="B72:B73"/>
    <mergeCell ref="D72:D73"/>
    <mergeCell ref="E72:E73"/>
    <mergeCell ref="G72:G73"/>
    <mergeCell ref="H72:H73"/>
    <mergeCell ref="J72:J73"/>
    <mergeCell ref="K72:K73"/>
    <mergeCell ref="L72:N73"/>
    <mergeCell ref="H68:H69"/>
    <mergeCell ref="J68:J69"/>
    <mergeCell ref="K68:K69"/>
    <mergeCell ref="L68:N69"/>
    <mergeCell ref="B70:B71"/>
    <mergeCell ref="D70:D71"/>
    <mergeCell ref="E70:E71"/>
    <mergeCell ref="G70:G71"/>
    <mergeCell ref="H70:H71"/>
    <mergeCell ref="B64:B65"/>
    <mergeCell ref="D64:D65"/>
    <mergeCell ref="E64:E65"/>
    <mergeCell ref="F64:H65"/>
    <mergeCell ref="I64:K65"/>
    <mergeCell ref="L64:N65"/>
    <mergeCell ref="T57:U58"/>
    <mergeCell ref="L58:M58"/>
    <mergeCell ref="O58:P58"/>
    <mergeCell ref="Q59:Q60"/>
    <mergeCell ref="R59:S60"/>
    <mergeCell ref="T59:U60"/>
    <mergeCell ref="A60:A73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N61"/>
    <mergeCell ref="B62:B63"/>
    <mergeCell ref="D62:D63"/>
    <mergeCell ref="E62:E63"/>
    <mergeCell ref="F62:H63"/>
    <mergeCell ref="I62:K63"/>
    <mergeCell ref="L62:N63"/>
    <mergeCell ref="B57:B58"/>
    <mergeCell ref="C57:D58"/>
    <mergeCell ref="E57:F57"/>
    <mergeCell ref="G57:H57"/>
    <mergeCell ref="I57:J57"/>
    <mergeCell ref="K57:M57"/>
    <mergeCell ref="N57:P57"/>
    <mergeCell ref="Q57:Q58"/>
    <mergeCell ref="R57:S58"/>
    <mergeCell ref="Q53:Q54"/>
    <mergeCell ref="R53:S54"/>
    <mergeCell ref="T53:U54"/>
    <mergeCell ref="L54:M54"/>
    <mergeCell ref="O54:P54"/>
    <mergeCell ref="B55:B56"/>
    <mergeCell ref="C55:D56"/>
    <mergeCell ref="E55:F55"/>
    <mergeCell ref="G55:H55"/>
    <mergeCell ref="I55:J55"/>
    <mergeCell ref="K55:M55"/>
    <mergeCell ref="N55:P55"/>
    <mergeCell ref="Q55:Q56"/>
    <mergeCell ref="R55:S56"/>
    <mergeCell ref="T55:U56"/>
    <mergeCell ref="L56:M56"/>
    <mergeCell ref="O56:P56"/>
    <mergeCell ref="B53:B54"/>
    <mergeCell ref="C53:D54"/>
    <mergeCell ref="E53:F53"/>
    <mergeCell ref="G53:H53"/>
    <mergeCell ref="I53:J53"/>
    <mergeCell ref="K53:M53"/>
    <mergeCell ref="N53:P53"/>
    <mergeCell ref="T47:U48"/>
    <mergeCell ref="Q44:Q46"/>
    <mergeCell ref="T44:U46"/>
    <mergeCell ref="R44:S46"/>
    <mergeCell ref="A44:P44"/>
    <mergeCell ref="R49:S50"/>
    <mergeCell ref="T49:U50"/>
    <mergeCell ref="B51:B52"/>
    <mergeCell ref="C51:D52"/>
    <mergeCell ref="E51:F51"/>
    <mergeCell ref="G51:H51"/>
    <mergeCell ref="I51:J51"/>
    <mergeCell ref="K51:M51"/>
    <mergeCell ref="N51:P51"/>
    <mergeCell ref="Q51:Q52"/>
    <mergeCell ref="R51:S52"/>
    <mergeCell ref="T51:U52"/>
    <mergeCell ref="L52:M52"/>
    <mergeCell ref="O52:P52"/>
    <mergeCell ref="A45:A58"/>
    <mergeCell ref="B45:B46"/>
    <mergeCell ref="C45:D45"/>
    <mergeCell ref="E45:F45"/>
    <mergeCell ref="G45:H45"/>
    <mergeCell ref="I45:J45"/>
    <mergeCell ref="K45:M45"/>
    <mergeCell ref="N45:P45"/>
    <mergeCell ref="B49:B50"/>
    <mergeCell ref="C49:D49"/>
    <mergeCell ref="E49:F49"/>
    <mergeCell ref="G49:H49"/>
    <mergeCell ref="I49:J50"/>
    <mergeCell ref="K49:M50"/>
    <mergeCell ref="N49:P50"/>
    <mergeCell ref="L46:M46"/>
    <mergeCell ref="O46:P46"/>
    <mergeCell ref="B4:D4"/>
    <mergeCell ref="N4:Q4"/>
    <mergeCell ref="S4:T4"/>
    <mergeCell ref="B5:D5"/>
    <mergeCell ref="S5:T5"/>
    <mergeCell ref="B6:D6"/>
    <mergeCell ref="S6:T6"/>
    <mergeCell ref="A1:T1"/>
    <mergeCell ref="A2:A6"/>
    <mergeCell ref="B2:D2"/>
    <mergeCell ref="E2:K2"/>
    <mergeCell ref="M2:M6"/>
    <mergeCell ref="N2:Q2"/>
    <mergeCell ref="R2:U2"/>
    <mergeCell ref="B3:D3"/>
    <mergeCell ref="N3:P3"/>
    <mergeCell ref="S3:T3"/>
    <mergeCell ref="O5:P5"/>
    <mergeCell ref="O6:P6"/>
    <mergeCell ref="A8:A21"/>
    <mergeCell ref="B8:B9"/>
    <mergeCell ref="C8:D8"/>
    <mergeCell ref="E8:F8"/>
    <mergeCell ref="G8:H8"/>
    <mergeCell ref="I8:J8"/>
    <mergeCell ref="B10:B11"/>
    <mergeCell ref="C10:D10"/>
    <mergeCell ref="E10:F10"/>
    <mergeCell ref="G10:H10"/>
    <mergeCell ref="I10:J11"/>
    <mergeCell ref="B16:B17"/>
    <mergeCell ref="C16:D17"/>
    <mergeCell ref="E16:F16"/>
    <mergeCell ref="G16:H16"/>
    <mergeCell ref="I16:J16"/>
    <mergeCell ref="B20:B21"/>
    <mergeCell ref="C20:D21"/>
    <mergeCell ref="E20:F20"/>
    <mergeCell ref="G20:H20"/>
    <mergeCell ref="I20:J20"/>
    <mergeCell ref="B18:B19"/>
    <mergeCell ref="C18:D19"/>
    <mergeCell ref="E18:F18"/>
    <mergeCell ref="K10:M11"/>
    <mergeCell ref="N10:P11"/>
    <mergeCell ref="Q10:Q11"/>
    <mergeCell ref="R10:S11"/>
    <mergeCell ref="T10:U11"/>
    <mergeCell ref="K8:M8"/>
    <mergeCell ref="N8:P8"/>
    <mergeCell ref="Q8:Q9"/>
    <mergeCell ref="R8:S9"/>
    <mergeCell ref="T8:U9"/>
    <mergeCell ref="L9:M9"/>
    <mergeCell ref="O9:P9"/>
    <mergeCell ref="N12:P13"/>
    <mergeCell ref="Q12:Q13"/>
    <mergeCell ref="R12:S13"/>
    <mergeCell ref="T12:U13"/>
    <mergeCell ref="B14:B15"/>
    <mergeCell ref="C14:D15"/>
    <mergeCell ref="E14:F14"/>
    <mergeCell ref="G14:H14"/>
    <mergeCell ref="I14:J14"/>
    <mergeCell ref="K14:M14"/>
    <mergeCell ref="B12:B13"/>
    <mergeCell ref="C12:D12"/>
    <mergeCell ref="E12:F12"/>
    <mergeCell ref="G12:H12"/>
    <mergeCell ref="I12:J13"/>
    <mergeCell ref="K12:M13"/>
    <mergeCell ref="O15:P15"/>
    <mergeCell ref="O17:P17"/>
    <mergeCell ref="K16:M16"/>
    <mergeCell ref="N16:P16"/>
    <mergeCell ref="Q16:Q17"/>
    <mergeCell ref="R16:S17"/>
    <mergeCell ref="T16:U17"/>
    <mergeCell ref="L17:M17"/>
    <mergeCell ref="N14:P14"/>
    <mergeCell ref="Q14:Q15"/>
    <mergeCell ref="R14:S15"/>
    <mergeCell ref="T14:U15"/>
    <mergeCell ref="L15:M15"/>
    <mergeCell ref="G18:H18"/>
    <mergeCell ref="I18:J18"/>
    <mergeCell ref="K20:M20"/>
    <mergeCell ref="N20:P20"/>
    <mergeCell ref="Q20:Q21"/>
    <mergeCell ref="R20:S21"/>
    <mergeCell ref="T20:U21"/>
    <mergeCell ref="L21:M21"/>
    <mergeCell ref="N18:P18"/>
    <mergeCell ref="Q18:Q19"/>
    <mergeCell ref="R18:S19"/>
    <mergeCell ref="T18:U19"/>
    <mergeCell ref="L19:M19"/>
    <mergeCell ref="K18:M18"/>
    <mergeCell ref="O19:P19"/>
    <mergeCell ref="O21:P21"/>
    <mergeCell ref="Q22:Q23"/>
    <mergeCell ref="R22:S23"/>
    <mergeCell ref="T22:U23"/>
    <mergeCell ref="A23:A36"/>
    <mergeCell ref="B23:B24"/>
    <mergeCell ref="C23:C24"/>
    <mergeCell ref="D23:D24"/>
    <mergeCell ref="E23:E24"/>
    <mergeCell ref="F23:F24"/>
    <mergeCell ref="G23:G24"/>
    <mergeCell ref="L23:N24"/>
    <mergeCell ref="L25:N26"/>
    <mergeCell ref="L27:N28"/>
    <mergeCell ref="L29:N30"/>
    <mergeCell ref="L31:N32"/>
    <mergeCell ref="L33:N34"/>
    <mergeCell ref="L35:N36"/>
    <mergeCell ref="H23:H24"/>
    <mergeCell ref="I23:I24"/>
    <mergeCell ref="J23:J24"/>
    <mergeCell ref="K23:K24"/>
    <mergeCell ref="B25:B26"/>
    <mergeCell ref="D25:D26"/>
    <mergeCell ref="E25:E26"/>
    <mergeCell ref="F25:H26"/>
    <mergeCell ref="I25:K26"/>
    <mergeCell ref="P25:R27"/>
    <mergeCell ref="S25:U27"/>
    <mergeCell ref="B27:B28"/>
    <mergeCell ref="D27:D28"/>
    <mergeCell ref="E27:E28"/>
    <mergeCell ref="F27:H28"/>
    <mergeCell ref="I27:K28"/>
    <mergeCell ref="P28:R29"/>
    <mergeCell ref="S28:U29"/>
    <mergeCell ref="B29:B30"/>
    <mergeCell ref="D29:D30"/>
    <mergeCell ref="E29:E30"/>
    <mergeCell ref="G29:G30"/>
    <mergeCell ref="H29:H30"/>
    <mergeCell ref="J29:J30"/>
    <mergeCell ref="K29:K30"/>
    <mergeCell ref="P30:R31"/>
    <mergeCell ref="S30:U31"/>
    <mergeCell ref="B31:B32"/>
    <mergeCell ref="D31:D32"/>
    <mergeCell ref="E31:E32"/>
    <mergeCell ref="G31:G32"/>
    <mergeCell ref="H31:H32"/>
    <mergeCell ref="J31:J32"/>
    <mergeCell ref="K31:K32"/>
    <mergeCell ref="P32:R33"/>
    <mergeCell ref="S32:U33"/>
    <mergeCell ref="B33:B34"/>
    <mergeCell ref="D33:D34"/>
    <mergeCell ref="E33:E34"/>
    <mergeCell ref="G33:G34"/>
    <mergeCell ref="H33:H34"/>
    <mergeCell ref="J33:J34"/>
    <mergeCell ref="K33:K34"/>
    <mergeCell ref="S62:U63"/>
    <mergeCell ref="P66:R67"/>
    <mergeCell ref="S66:U67"/>
    <mergeCell ref="P68:R69"/>
    <mergeCell ref="S68:U69"/>
    <mergeCell ref="P70:R71"/>
    <mergeCell ref="S70:U71"/>
    <mergeCell ref="K35:K36"/>
    <mergeCell ref="B35:B36"/>
    <mergeCell ref="D35:D36"/>
    <mergeCell ref="E35:E36"/>
    <mergeCell ref="G35:G36"/>
    <mergeCell ref="H35:H36"/>
    <mergeCell ref="J35:J36"/>
    <mergeCell ref="Q49:Q50"/>
    <mergeCell ref="B47:B48"/>
    <mergeCell ref="C47:D47"/>
    <mergeCell ref="E47:F47"/>
    <mergeCell ref="G47:H47"/>
    <mergeCell ref="I47:J48"/>
    <mergeCell ref="K47:M48"/>
    <mergeCell ref="N47:P48"/>
    <mergeCell ref="Q47:Q48"/>
    <mergeCell ref="R47:S48"/>
  </mergeCells>
  <phoneticPr fontId="2" type="noConversion"/>
  <dataValidations count="3">
    <dataValidation type="list" allowBlank="1" showInputMessage="1" showErrorMessage="1" sqref="E18 E16 G18 K20:L20 I35 G12 E14 G14 I14 C12 G16 I16 I18 K18:L18 E12 G10 K16:L16 K14:L14 E20 G20 I20 C25 C31 C27 C33 C29 C35 F31 F33 F29 F35 I31 I33 I29 E10 E55 E53 G55 K57:L57 I72 G49 E51 G51 I51 C49 G53 I53 I55 K55:L55 E49 G47 E47 K51:L51 E57 G57 I57 C62 C68 C64 C70 C66 C72 F68 F70 F66 F72 I68 I70 I66 K53:L53">
      <formula1>版本</formula1>
    </dataValidation>
    <dataValidation type="list" allowBlank="1" showInputMessage="1" showErrorMessage="1" sqref="N14:P14 N16:P16 N51:P51 N53:P53">
      <formula1>三四英語</formula1>
    </dataValidation>
    <dataValidation type="list" allowBlank="1" showInputMessage="1" showErrorMessage="1" sqref="N57:P57 N20:P20 N18:P18 N55:P55">
      <formula1>五六英語</formula1>
    </dataValidation>
  </dataValidations>
  <printOptions horizontalCentered="1" verticalCentered="1"/>
  <pageMargins left="0.23622047244094491" right="0.23622047244094491" top="0.35433070866141736" bottom="0.55118110236220474" header="0.31496062992125984" footer="0.31496062992125984"/>
  <pageSetup paperSize="9" scale="76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工作表2!$A$5:$A$9</xm:f>
          </x14:formula1>
          <xm:sqref>C10:D10 C47:D47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workbookViewId="0">
      <selection sqref="A1:G1"/>
    </sheetView>
  </sheetViews>
  <sheetFormatPr defaultColWidth="10.125" defaultRowHeight="16.3"/>
  <cols>
    <col min="1" max="1" width="15" style="390" customWidth="1"/>
    <col min="2" max="2" width="18.875" style="390" customWidth="1"/>
    <col min="3" max="3" width="17.875" style="407" customWidth="1"/>
    <col min="4" max="4" width="11" style="390" customWidth="1"/>
    <col min="5" max="5" width="10" style="390" customWidth="1"/>
    <col min="6" max="6" width="11.375" style="390" customWidth="1"/>
    <col min="7" max="7" width="10.875" style="390" customWidth="1"/>
    <col min="8" max="8" width="12" style="390" customWidth="1"/>
    <col min="9" max="9" width="5.625" style="390" customWidth="1"/>
    <col min="10" max="10" width="5.5" style="390" customWidth="1"/>
    <col min="11" max="11" width="6.75" style="390" customWidth="1"/>
    <col min="12" max="12" width="14" style="390" customWidth="1"/>
    <col min="13" max="16384" width="10.125" style="390"/>
  </cols>
  <sheetData>
    <row r="1" spans="1:17" ht="22.55">
      <c r="A1" s="845" t="s">
        <v>292</v>
      </c>
      <c r="B1" s="845"/>
      <c r="C1" s="845"/>
      <c r="D1" s="845"/>
      <c r="E1" s="845"/>
      <c r="F1" s="845"/>
      <c r="G1" s="845"/>
      <c r="H1" s="389"/>
      <c r="I1" s="389"/>
      <c r="J1" s="389"/>
      <c r="K1" s="389"/>
      <c r="L1" s="389"/>
    </row>
    <row r="2" spans="1:17" ht="26.95">
      <c r="A2" s="846" t="s">
        <v>293</v>
      </c>
      <c r="B2" s="846"/>
      <c r="C2" s="846"/>
      <c r="D2" s="846"/>
      <c r="E2" s="846"/>
      <c r="F2" s="846"/>
      <c r="G2" s="846"/>
      <c r="H2" s="391"/>
      <c r="I2" s="391"/>
      <c r="J2" s="391"/>
      <c r="K2" s="391"/>
      <c r="L2" s="391"/>
    </row>
    <row r="3" spans="1:17" s="392" customFormat="1" ht="32.6" customHeight="1">
      <c r="A3" s="847" t="s">
        <v>294</v>
      </c>
      <c r="B3" s="849" t="s">
        <v>295</v>
      </c>
      <c r="C3" s="849" t="s">
        <v>296</v>
      </c>
      <c r="D3" s="851" t="s">
        <v>297</v>
      </c>
      <c r="E3" s="852"/>
      <c r="F3" s="847" t="s">
        <v>298</v>
      </c>
      <c r="G3" s="847"/>
      <c r="Q3" s="393"/>
    </row>
    <row r="4" spans="1:17" ht="22.55" customHeight="1">
      <c r="A4" s="848"/>
      <c r="B4" s="850"/>
      <c r="C4" s="850"/>
      <c r="D4" s="394" t="s">
        <v>299</v>
      </c>
      <c r="E4" s="394" t="s">
        <v>300</v>
      </c>
      <c r="F4" s="395" t="s">
        <v>301</v>
      </c>
      <c r="G4" s="395" t="s">
        <v>302</v>
      </c>
    </row>
    <row r="5" spans="1:17" ht="28.8" customHeight="1">
      <c r="A5" s="396"/>
      <c r="B5" s="397"/>
      <c r="C5" s="398"/>
      <c r="D5" s="397"/>
      <c r="E5" s="397"/>
      <c r="F5" s="397"/>
      <c r="G5" s="397"/>
      <c r="H5" s="399"/>
    </row>
    <row r="6" spans="1:17" ht="28.8" customHeight="1">
      <c r="A6" s="396"/>
      <c r="B6" s="400"/>
      <c r="C6" s="398"/>
      <c r="D6" s="400"/>
      <c r="E6" s="400"/>
      <c r="F6" s="400"/>
      <c r="G6" s="400"/>
    </row>
    <row r="7" spans="1:17" ht="28.8" customHeight="1">
      <c r="A7" s="396"/>
      <c r="B7" s="400"/>
      <c r="C7" s="398"/>
      <c r="D7" s="400"/>
      <c r="E7" s="400"/>
      <c r="F7" s="400"/>
      <c r="G7" s="400"/>
    </row>
    <row r="8" spans="1:17" ht="28.8" customHeight="1">
      <c r="A8" s="396"/>
      <c r="B8" s="400"/>
      <c r="C8" s="398"/>
      <c r="D8" s="400"/>
      <c r="E8" s="400"/>
      <c r="F8" s="400"/>
      <c r="G8" s="400"/>
    </row>
    <row r="9" spans="1:17" ht="28.8" customHeight="1">
      <c r="A9" s="396"/>
      <c r="B9" s="400"/>
      <c r="C9" s="398"/>
      <c r="D9" s="400"/>
      <c r="E9" s="400"/>
      <c r="F9" s="400"/>
      <c r="G9" s="400"/>
    </row>
    <row r="10" spans="1:17" ht="28.8" customHeight="1">
      <c r="A10" s="396"/>
      <c r="B10" s="400"/>
      <c r="C10" s="398"/>
      <c r="D10" s="400"/>
      <c r="E10" s="400"/>
      <c r="F10" s="400"/>
      <c r="G10" s="400"/>
    </row>
    <row r="11" spans="1:17" ht="28.8" customHeight="1">
      <c r="A11" s="396"/>
      <c r="B11" s="400"/>
      <c r="C11" s="398"/>
      <c r="D11" s="400"/>
      <c r="E11" s="400"/>
      <c r="F11" s="400"/>
      <c r="G11" s="400"/>
    </row>
    <row r="12" spans="1:17" ht="28.8" customHeight="1">
      <c r="A12" s="396"/>
      <c r="B12" s="400"/>
      <c r="C12" s="398"/>
      <c r="D12" s="400"/>
      <c r="E12" s="400"/>
      <c r="F12" s="400"/>
      <c r="G12" s="400"/>
    </row>
    <row r="13" spans="1:17" ht="28.8" customHeight="1">
      <c r="A13" s="396"/>
      <c r="B13" s="400"/>
      <c r="C13" s="398"/>
      <c r="D13" s="400"/>
      <c r="E13" s="400"/>
      <c r="F13" s="400"/>
      <c r="G13" s="400"/>
    </row>
    <row r="14" spans="1:17" ht="28.8" customHeight="1">
      <c r="A14" s="396"/>
      <c r="B14" s="400"/>
      <c r="C14" s="398"/>
      <c r="D14" s="400"/>
      <c r="E14" s="400"/>
      <c r="F14" s="400"/>
      <c r="G14" s="400"/>
    </row>
    <row r="15" spans="1:17" ht="28.8" customHeight="1">
      <c r="A15" s="396"/>
      <c r="B15" s="400"/>
      <c r="C15" s="398"/>
      <c r="D15" s="400"/>
      <c r="E15" s="400"/>
      <c r="F15" s="400"/>
      <c r="G15" s="400"/>
    </row>
    <row r="16" spans="1:17" ht="28.8" customHeight="1">
      <c r="A16" s="396"/>
      <c r="B16" s="400"/>
      <c r="C16" s="398"/>
      <c r="D16" s="400"/>
      <c r="E16" s="400"/>
      <c r="F16" s="400"/>
      <c r="G16" s="400"/>
    </row>
    <row r="17" spans="1:7" ht="28.8" customHeight="1">
      <c r="A17" s="396"/>
      <c r="B17" s="400"/>
      <c r="C17" s="398"/>
      <c r="D17" s="400"/>
      <c r="E17" s="400"/>
      <c r="F17" s="400"/>
      <c r="G17" s="400"/>
    </row>
    <row r="18" spans="1:7" ht="28.8" customHeight="1">
      <c r="A18" s="396"/>
      <c r="B18" s="400"/>
      <c r="C18" s="398"/>
      <c r="D18" s="400"/>
      <c r="E18" s="400"/>
      <c r="F18" s="400"/>
      <c r="G18" s="400"/>
    </row>
    <row r="19" spans="1:7" ht="28.8" customHeight="1">
      <c r="A19" s="396"/>
      <c r="B19" s="400"/>
      <c r="C19" s="398"/>
      <c r="D19" s="400"/>
      <c r="E19" s="400"/>
      <c r="F19" s="400"/>
      <c r="G19" s="400"/>
    </row>
    <row r="20" spans="1:7" ht="28.8" customHeight="1">
      <c r="A20" s="396"/>
      <c r="B20" s="400"/>
      <c r="C20" s="398"/>
      <c r="D20" s="400"/>
      <c r="E20" s="400"/>
      <c r="F20" s="400"/>
      <c r="G20" s="400"/>
    </row>
    <row r="21" spans="1:7" ht="28.8" customHeight="1">
      <c r="A21" s="396"/>
      <c r="B21" s="400"/>
      <c r="C21" s="398"/>
      <c r="D21" s="400"/>
      <c r="E21" s="400"/>
      <c r="F21" s="400"/>
      <c r="G21" s="400"/>
    </row>
    <row r="22" spans="1:7" ht="28.8" customHeight="1">
      <c r="A22" s="396"/>
      <c r="B22" s="400"/>
      <c r="C22" s="398"/>
      <c r="D22" s="400"/>
      <c r="E22" s="400"/>
      <c r="F22" s="400"/>
      <c r="G22" s="400"/>
    </row>
    <row r="23" spans="1:7" ht="28.8" customHeight="1">
      <c r="A23" s="396"/>
      <c r="B23" s="400"/>
      <c r="C23" s="398"/>
      <c r="D23" s="400"/>
      <c r="E23" s="400"/>
      <c r="F23" s="400"/>
      <c r="G23" s="400"/>
    </row>
    <row r="24" spans="1:7" ht="28.8" customHeight="1">
      <c r="A24" s="396"/>
      <c r="B24" s="400"/>
      <c r="C24" s="398"/>
      <c r="D24" s="400"/>
      <c r="E24" s="400"/>
      <c r="F24" s="400"/>
      <c r="G24" s="400"/>
    </row>
    <row r="25" spans="1:7" ht="28.8" customHeight="1">
      <c r="A25" s="396"/>
      <c r="B25" s="400"/>
      <c r="C25" s="398"/>
      <c r="D25" s="400"/>
      <c r="E25" s="400"/>
      <c r="F25" s="400"/>
      <c r="G25" s="400"/>
    </row>
    <row r="26" spans="1:7" ht="28.8" customHeight="1">
      <c r="A26" s="396"/>
      <c r="B26" s="400"/>
      <c r="C26" s="398"/>
      <c r="D26" s="400"/>
      <c r="E26" s="400"/>
      <c r="F26" s="400"/>
      <c r="G26" s="400"/>
    </row>
    <row r="27" spans="1:7" ht="28.8" customHeight="1">
      <c r="A27" s="396"/>
      <c r="B27" s="400"/>
      <c r="C27" s="398"/>
      <c r="D27" s="400"/>
      <c r="E27" s="400"/>
      <c r="F27" s="400"/>
      <c r="G27" s="400"/>
    </row>
    <row r="28" spans="1:7" ht="28.8" customHeight="1">
      <c r="A28" s="396"/>
      <c r="B28" s="400"/>
      <c r="C28" s="398"/>
      <c r="D28" s="400"/>
      <c r="E28" s="400"/>
      <c r="F28" s="400"/>
      <c r="G28" s="400"/>
    </row>
    <row r="29" spans="1:7" ht="28.8" customHeight="1">
      <c r="A29" s="396"/>
      <c r="B29" s="400"/>
      <c r="C29" s="398"/>
      <c r="D29" s="400"/>
      <c r="E29" s="400"/>
      <c r="F29" s="400"/>
      <c r="G29" s="400"/>
    </row>
    <row r="30" spans="1:7" ht="28.8" customHeight="1">
      <c r="A30" s="396"/>
      <c r="B30" s="400"/>
      <c r="C30" s="398"/>
      <c r="D30" s="400"/>
      <c r="E30" s="400"/>
      <c r="F30" s="400"/>
      <c r="G30" s="400"/>
    </row>
    <row r="31" spans="1:7" ht="28.8" customHeight="1">
      <c r="A31" s="396"/>
      <c r="B31" s="400"/>
      <c r="C31" s="398"/>
      <c r="D31" s="400"/>
      <c r="E31" s="400"/>
      <c r="F31" s="400"/>
      <c r="G31" s="400"/>
    </row>
    <row r="32" spans="1:7" ht="28.8" customHeight="1">
      <c r="A32" s="396"/>
      <c r="B32" s="400"/>
      <c r="C32" s="398"/>
      <c r="D32" s="400"/>
      <c r="E32" s="400"/>
      <c r="F32" s="400"/>
      <c r="G32" s="400"/>
    </row>
    <row r="33" spans="1:12" ht="28.8" customHeight="1">
      <c r="A33" s="401" t="s">
        <v>303</v>
      </c>
      <c r="B33" s="400"/>
      <c r="C33" s="398"/>
      <c r="D33" s="400"/>
      <c r="E33" s="400"/>
      <c r="F33" s="400"/>
      <c r="G33" s="400"/>
    </row>
    <row r="34" spans="1:12" ht="28.8" customHeight="1">
      <c r="A34" s="837" t="s">
        <v>304</v>
      </c>
      <c r="B34" s="838"/>
      <c r="C34" s="839"/>
      <c r="D34" s="402">
        <f>SUM(D5:D33)</f>
        <v>0</v>
      </c>
      <c r="E34" s="402">
        <f>SUM(E5:E33)</f>
        <v>0</v>
      </c>
      <c r="F34" s="402">
        <f>SUM(F5:F33)</f>
        <v>0</v>
      </c>
      <c r="G34" s="402">
        <f>SUM(G5:G33)</f>
        <v>0</v>
      </c>
    </row>
    <row r="35" spans="1:12" ht="28.8" customHeight="1">
      <c r="A35" s="840"/>
      <c r="B35" s="841"/>
      <c r="C35" s="842"/>
      <c r="D35" s="843">
        <f>SUM(D34:E34)</f>
        <v>0</v>
      </c>
      <c r="E35" s="844"/>
      <c r="F35" s="843">
        <f>SUM(F34:G34)</f>
        <v>0</v>
      </c>
      <c r="G35" s="844"/>
    </row>
    <row r="36" spans="1:12" ht="22.55">
      <c r="A36" s="403" t="s">
        <v>305</v>
      </c>
      <c r="B36" s="404"/>
      <c r="C36" s="404"/>
      <c r="D36" s="404"/>
      <c r="E36" s="404"/>
      <c r="F36" s="404"/>
      <c r="G36" s="404"/>
      <c r="H36" s="404"/>
      <c r="I36" s="404"/>
      <c r="J36" s="404"/>
      <c r="K36" s="404"/>
      <c r="L36" s="404"/>
    </row>
    <row r="37" spans="1:12">
      <c r="A37" s="404"/>
      <c r="B37" s="404"/>
      <c r="C37" s="404"/>
      <c r="D37" s="404"/>
      <c r="E37" s="404"/>
      <c r="F37" s="404"/>
      <c r="G37" s="404"/>
      <c r="H37" s="404"/>
      <c r="I37" s="404"/>
      <c r="J37" s="404"/>
      <c r="K37" s="404"/>
      <c r="L37" s="404"/>
    </row>
    <row r="38" spans="1:12" s="392" customFormat="1">
      <c r="A38" s="405"/>
      <c r="B38" s="405"/>
      <c r="C38" s="405"/>
      <c r="D38" s="405"/>
      <c r="E38" s="405"/>
      <c r="F38" s="405"/>
      <c r="G38" s="405"/>
      <c r="H38" s="406"/>
      <c r="I38" s="406"/>
      <c r="J38" s="406"/>
      <c r="K38" s="406"/>
      <c r="L38" s="406"/>
    </row>
    <row r="39" spans="1:12" s="392" customFormat="1">
      <c r="A39" s="390"/>
      <c r="B39" s="390"/>
      <c r="C39" s="407"/>
      <c r="D39" s="390"/>
      <c r="E39" s="390"/>
      <c r="F39" s="390"/>
      <c r="G39" s="390"/>
      <c r="H39" s="390"/>
      <c r="I39" s="390"/>
      <c r="J39" s="390"/>
      <c r="K39" s="390"/>
      <c r="L39" s="390"/>
    </row>
  </sheetData>
  <sheetProtection formatCells="0" formatColumns="0" formatRows="0" insertColumns="0" insertRows="0" insertHyperlinks="0" deleteColumns="0" deleteRows="0" selectLockedCells="1" sort="0" autoFilter="0"/>
  <mergeCells count="10">
    <mergeCell ref="A34:C35"/>
    <mergeCell ref="D35:E35"/>
    <mergeCell ref="F35:G35"/>
    <mergeCell ref="A1:G1"/>
    <mergeCell ref="A2:G2"/>
    <mergeCell ref="A3:A4"/>
    <mergeCell ref="B3:B4"/>
    <mergeCell ref="C3:C4"/>
    <mergeCell ref="D3:E3"/>
    <mergeCell ref="F3:G3"/>
  </mergeCells>
  <phoneticPr fontId="2" type="noConversion"/>
  <pageMargins left="0.74803149606299213" right="0.6692913385826772" top="0.74803149606299213" bottom="0.98425196850393704" header="0.51181102362204722" footer="0.51181102362204722"/>
  <pageSetup paperSize="9" scale="78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workbookViewId="0">
      <selection sqref="A1:Q1"/>
    </sheetView>
  </sheetViews>
  <sheetFormatPr defaultRowHeight="13.8"/>
  <cols>
    <col min="1" max="1" width="5" style="364" customWidth="1"/>
    <col min="2" max="2" width="18.25" style="364" bestFit="1" customWidth="1"/>
    <col min="3" max="3" width="5" style="364" customWidth="1"/>
    <col min="4" max="5" width="6.25" style="364" bestFit="1" customWidth="1"/>
    <col min="6" max="17" width="8.125" style="364" customWidth="1"/>
    <col min="18" max="16384" width="9" style="364"/>
  </cols>
  <sheetData>
    <row r="1" spans="1:17" s="363" customFormat="1" ht="23.2" customHeight="1">
      <c r="A1" s="853" t="s">
        <v>253</v>
      </c>
      <c r="B1" s="853"/>
      <c r="C1" s="853"/>
      <c r="D1" s="853"/>
      <c r="E1" s="853"/>
      <c r="F1" s="853"/>
      <c r="G1" s="853"/>
      <c r="H1" s="853"/>
      <c r="I1" s="853"/>
      <c r="J1" s="853"/>
      <c r="K1" s="853"/>
      <c r="L1" s="853"/>
      <c r="M1" s="853"/>
      <c r="N1" s="853"/>
      <c r="O1" s="853"/>
      <c r="P1" s="853"/>
      <c r="Q1" s="853"/>
    </row>
    <row r="2" spans="1:17" ht="17.55" customHeight="1">
      <c r="A2" s="854" t="s">
        <v>106</v>
      </c>
      <c r="B2" s="856" t="s">
        <v>124</v>
      </c>
      <c r="C2" s="858" t="s">
        <v>254</v>
      </c>
      <c r="D2" s="856" t="s">
        <v>2</v>
      </c>
      <c r="E2" s="860" t="s">
        <v>107</v>
      </c>
      <c r="F2" s="862" t="s">
        <v>255</v>
      </c>
      <c r="G2" s="863"/>
      <c r="H2" s="864"/>
      <c r="I2" s="862" t="s">
        <v>256</v>
      </c>
      <c r="J2" s="863"/>
      <c r="K2" s="864"/>
      <c r="L2" s="862" t="s">
        <v>257</v>
      </c>
      <c r="M2" s="863"/>
      <c r="N2" s="864"/>
      <c r="O2" s="862" t="s">
        <v>258</v>
      </c>
      <c r="P2" s="863"/>
      <c r="Q2" s="864"/>
    </row>
    <row r="3" spans="1:17" ht="60.75" customHeight="1">
      <c r="A3" s="855"/>
      <c r="B3" s="857"/>
      <c r="C3" s="859"/>
      <c r="D3" s="857"/>
      <c r="E3" s="861"/>
      <c r="F3" s="365" t="s">
        <v>108</v>
      </c>
      <c r="G3" s="366" t="s">
        <v>122</v>
      </c>
      <c r="H3" s="366" t="s">
        <v>123</v>
      </c>
      <c r="I3" s="365" t="s">
        <v>108</v>
      </c>
      <c r="J3" s="366" t="s">
        <v>122</v>
      </c>
      <c r="K3" s="366" t="s">
        <v>123</v>
      </c>
      <c r="L3" s="365" t="s">
        <v>108</v>
      </c>
      <c r="M3" s="366" t="s">
        <v>122</v>
      </c>
      <c r="N3" s="366" t="s">
        <v>123</v>
      </c>
      <c r="O3" s="365" t="s">
        <v>108</v>
      </c>
      <c r="P3" s="366" t="s">
        <v>122</v>
      </c>
      <c r="Q3" s="366" t="s">
        <v>123</v>
      </c>
    </row>
    <row r="4" spans="1:17" ht="19.600000000000001" customHeight="1">
      <c r="A4" s="367">
        <v>1</v>
      </c>
      <c r="B4" s="365" t="s">
        <v>109</v>
      </c>
      <c r="C4" s="367">
        <v>1</v>
      </c>
      <c r="D4" s="365" t="s">
        <v>259</v>
      </c>
      <c r="E4" s="365" t="s">
        <v>102</v>
      </c>
      <c r="F4" s="367">
        <v>127</v>
      </c>
      <c r="G4" s="367">
        <v>3</v>
      </c>
      <c r="H4" s="367">
        <v>124</v>
      </c>
      <c r="I4" s="367">
        <v>105</v>
      </c>
      <c r="J4" s="367">
        <v>2</v>
      </c>
      <c r="K4" s="367">
        <v>103</v>
      </c>
      <c r="L4" s="367">
        <v>112</v>
      </c>
      <c r="M4" s="367">
        <v>3</v>
      </c>
      <c r="N4" s="367">
        <v>109</v>
      </c>
      <c r="O4" s="365" t="s">
        <v>260</v>
      </c>
      <c r="P4" s="365" t="s">
        <v>260</v>
      </c>
      <c r="Q4" s="365" t="s">
        <v>260</v>
      </c>
    </row>
    <row r="5" spans="1:17" ht="19.600000000000001" customHeight="1">
      <c r="A5" s="367">
        <v>2</v>
      </c>
      <c r="B5" s="365" t="s">
        <v>109</v>
      </c>
      <c r="C5" s="367">
        <v>1</v>
      </c>
      <c r="D5" s="365" t="s">
        <v>259</v>
      </c>
      <c r="E5" s="365" t="s">
        <v>103</v>
      </c>
      <c r="F5" s="367">
        <v>90</v>
      </c>
      <c r="G5" s="367">
        <v>2</v>
      </c>
      <c r="H5" s="367">
        <v>88</v>
      </c>
      <c r="I5" s="367">
        <v>78</v>
      </c>
      <c r="J5" s="367">
        <v>2</v>
      </c>
      <c r="K5" s="367">
        <v>76</v>
      </c>
      <c r="L5" s="367">
        <v>71</v>
      </c>
      <c r="M5" s="367">
        <v>2</v>
      </c>
      <c r="N5" s="367">
        <v>69</v>
      </c>
      <c r="O5" s="365" t="s">
        <v>260</v>
      </c>
      <c r="P5" s="365" t="s">
        <v>260</v>
      </c>
      <c r="Q5" s="365" t="s">
        <v>260</v>
      </c>
    </row>
    <row r="6" spans="1:17" ht="19.600000000000001" customHeight="1">
      <c r="A6" s="367">
        <v>3</v>
      </c>
      <c r="B6" s="365" t="s">
        <v>110</v>
      </c>
      <c r="C6" s="367">
        <v>1</v>
      </c>
      <c r="D6" s="367">
        <v>1</v>
      </c>
      <c r="E6" s="365" t="s">
        <v>102</v>
      </c>
      <c r="F6" s="367">
        <v>75</v>
      </c>
      <c r="G6" s="367">
        <v>2</v>
      </c>
      <c r="H6" s="367">
        <v>73</v>
      </c>
      <c r="I6" s="367">
        <v>73</v>
      </c>
      <c r="J6" s="367">
        <v>2</v>
      </c>
      <c r="K6" s="367">
        <v>71</v>
      </c>
      <c r="L6" s="367">
        <v>73</v>
      </c>
      <c r="M6" s="367">
        <v>2</v>
      </c>
      <c r="N6" s="367">
        <v>71</v>
      </c>
      <c r="O6" s="365" t="s">
        <v>260</v>
      </c>
      <c r="P6" s="365" t="s">
        <v>260</v>
      </c>
      <c r="Q6" s="365" t="s">
        <v>260</v>
      </c>
    </row>
    <row r="7" spans="1:17" ht="19.600000000000001" customHeight="1">
      <c r="A7" s="367">
        <v>4</v>
      </c>
      <c r="B7" s="365" t="s">
        <v>110</v>
      </c>
      <c r="C7" s="367">
        <v>1</v>
      </c>
      <c r="D7" s="367">
        <v>1</v>
      </c>
      <c r="E7" s="365" t="s">
        <v>103</v>
      </c>
      <c r="F7" s="367">
        <v>115</v>
      </c>
      <c r="G7" s="367">
        <v>3</v>
      </c>
      <c r="H7" s="367">
        <v>112</v>
      </c>
      <c r="I7" s="367">
        <v>137</v>
      </c>
      <c r="J7" s="367">
        <v>3</v>
      </c>
      <c r="K7" s="367">
        <v>134</v>
      </c>
      <c r="L7" s="367">
        <v>108</v>
      </c>
      <c r="M7" s="367">
        <v>2</v>
      </c>
      <c r="N7" s="367">
        <v>106</v>
      </c>
      <c r="O7" s="365" t="s">
        <v>260</v>
      </c>
      <c r="P7" s="365" t="s">
        <v>260</v>
      </c>
      <c r="Q7" s="365" t="s">
        <v>260</v>
      </c>
    </row>
    <row r="8" spans="1:17" ht="19.600000000000001" customHeight="1">
      <c r="A8" s="367">
        <v>5</v>
      </c>
      <c r="B8" s="365" t="s">
        <v>111</v>
      </c>
      <c r="C8" s="367">
        <v>1</v>
      </c>
      <c r="D8" s="367">
        <v>1</v>
      </c>
      <c r="E8" s="365" t="s">
        <v>102</v>
      </c>
      <c r="F8" s="367">
        <v>112</v>
      </c>
      <c r="G8" s="367">
        <v>3</v>
      </c>
      <c r="H8" s="367">
        <v>109</v>
      </c>
      <c r="I8" s="367">
        <v>87</v>
      </c>
      <c r="J8" s="367">
        <v>2</v>
      </c>
      <c r="K8" s="367">
        <v>85</v>
      </c>
      <c r="L8" s="367">
        <v>95</v>
      </c>
      <c r="M8" s="367">
        <v>2</v>
      </c>
      <c r="N8" s="367">
        <v>93</v>
      </c>
      <c r="O8" s="365" t="s">
        <v>260</v>
      </c>
      <c r="P8" s="365" t="s">
        <v>260</v>
      </c>
      <c r="Q8" s="365" t="s">
        <v>260</v>
      </c>
    </row>
    <row r="9" spans="1:17" ht="19.600000000000001" customHeight="1">
      <c r="A9" s="367">
        <v>6</v>
      </c>
      <c r="B9" s="365" t="s">
        <v>111</v>
      </c>
      <c r="C9" s="367">
        <v>1</v>
      </c>
      <c r="D9" s="367">
        <v>1</v>
      </c>
      <c r="E9" s="365" t="s">
        <v>103</v>
      </c>
      <c r="F9" s="367">
        <v>45</v>
      </c>
      <c r="G9" s="367">
        <v>1</v>
      </c>
      <c r="H9" s="367">
        <v>44</v>
      </c>
      <c r="I9" s="367">
        <v>34</v>
      </c>
      <c r="J9" s="367">
        <v>1</v>
      </c>
      <c r="K9" s="367">
        <v>33</v>
      </c>
      <c r="L9" s="367">
        <v>35</v>
      </c>
      <c r="M9" s="367">
        <v>1</v>
      </c>
      <c r="N9" s="367">
        <v>34</v>
      </c>
      <c r="O9" s="365" t="s">
        <v>260</v>
      </c>
      <c r="P9" s="365" t="s">
        <v>260</v>
      </c>
      <c r="Q9" s="365" t="s">
        <v>260</v>
      </c>
    </row>
    <row r="10" spans="1:17" ht="19.600000000000001" customHeight="1">
      <c r="A10" s="367">
        <v>7</v>
      </c>
      <c r="B10" s="365" t="s">
        <v>112</v>
      </c>
      <c r="C10" s="367">
        <v>1</v>
      </c>
      <c r="D10" s="367">
        <v>1</v>
      </c>
      <c r="E10" s="365" t="s">
        <v>102</v>
      </c>
      <c r="F10" s="367">
        <v>81</v>
      </c>
      <c r="G10" s="367">
        <v>2</v>
      </c>
      <c r="H10" s="367">
        <v>79</v>
      </c>
      <c r="I10" s="367">
        <v>61</v>
      </c>
      <c r="J10" s="367">
        <v>1</v>
      </c>
      <c r="K10" s="367">
        <v>60</v>
      </c>
      <c r="L10" s="367">
        <v>65</v>
      </c>
      <c r="M10" s="367">
        <v>2</v>
      </c>
      <c r="N10" s="367">
        <v>63</v>
      </c>
      <c r="O10" s="365" t="s">
        <v>260</v>
      </c>
      <c r="P10" s="365" t="s">
        <v>260</v>
      </c>
      <c r="Q10" s="365" t="s">
        <v>260</v>
      </c>
    </row>
    <row r="11" spans="1:17" ht="19.600000000000001" customHeight="1">
      <c r="A11" s="367">
        <v>8</v>
      </c>
      <c r="B11" s="365" t="s">
        <v>109</v>
      </c>
      <c r="C11" s="367">
        <v>2</v>
      </c>
      <c r="D11" s="367">
        <v>3</v>
      </c>
      <c r="E11" s="365" t="s">
        <v>102</v>
      </c>
      <c r="F11" s="367">
        <v>95</v>
      </c>
      <c r="G11" s="367">
        <v>2</v>
      </c>
      <c r="H11" s="367">
        <v>93</v>
      </c>
      <c r="I11" s="367">
        <v>77</v>
      </c>
      <c r="J11" s="367">
        <v>2</v>
      </c>
      <c r="K11" s="367">
        <v>75</v>
      </c>
      <c r="L11" s="367">
        <v>90</v>
      </c>
      <c r="M11" s="367">
        <v>2</v>
      </c>
      <c r="N11" s="367">
        <v>88</v>
      </c>
      <c r="O11" s="365" t="s">
        <v>260</v>
      </c>
      <c r="P11" s="365" t="s">
        <v>260</v>
      </c>
      <c r="Q11" s="365" t="s">
        <v>260</v>
      </c>
    </row>
    <row r="12" spans="1:17" ht="19.600000000000001" customHeight="1">
      <c r="A12" s="367">
        <v>9</v>
      </c>
      <c r="B12" s="365" t="s">
        <v>109</v>
      </c>
      <c r="C12" s="367">
        <v>2</v>
      </c>
      <c r="D12" s="367">
        <v>3</v>
      </c>
      <c r="E12" s="365" t="s">
        <v>103</v>
      </c>
      <c r="F12" s="367">
        <v>58</v>
      </c>
      <c r="G12" s="367">
        <v>1</v>
      </c>
      <c r="H12" s="367">
        <v>57</v>
      </c>
      <c r="I12" s="367">
        <v>53</v>
      </c>
      <c r="J12" s="367">
        <v>1</v>
      </c>
      <c r="K12" s="367">
        <v>52</v>
      </c>
      <c r="L12" s="367">
        <v>46</v>
      </c>
      <c r="M12" s="367">
        <v>1</v>
      </c>
      <c r="N12" s="367">
        <v>45</v>
      </c>
      <c r="O12" s="365" t="s">
        <v>260</v>
      </c>
      <c r="P12" s="365" t="s">
        <v>260</v>
      </c>
      <c r="Q12" s="365" t="s">
        <v>260</v>
      </c>
    </row>
    <row r="13" spans="1:17" ht="19.600000000000001" customHeight="1">
      <c r="A13" s="367">
        <v>10</v>
      </c>
      <c r="B13" s="365" t="s">
        <v>110</v>
      </c>
      <c r="C13" s="367">
        <v>2</v>
      </c>
      <c r="D13" s="367">
        <v>3</v>
      </c>
      <c r="E13" s="365" t="s">
        <v>102</v>
      </c>
      <c r="F13" s="367">
        <v>83</v>
      </c>
      <c r="G13" s="367">
        <v>2</v>
      </c>
      <c r="H13" s="367">
        <v>81</v>
      </c>
      <c r="I13" s="367">
        <v>85</v>
      </c>
      <c r="J13" s="367">
        <v>2</v>
      </c>
      <c r="K13" s="367">
        <v>83</v>
      </c>
      <c r="L13" s="367">
        <v>81</v>
      </c>
      <c r="M13" s="367">
        <v>2</v>
      </c>
      <c r="N13" s="367">
        <v>79</v>
      </c>
      <c r="O13" s="365" t="s">
        <v>260</v>
      </c>
      <c r="P13" s="365" t="s">
        <v>260</v>
      </c>
      <c r="Q13" s="365" t="s">
        <v>260</v>
      </c>
    </row>
    <row r="14" spans="1:17" ht="19.600000000000001" customHeight="1">
      <c r="A14" s="367">
        <v>11</v>
      </c>
      <c r="B14" s="365" t="s">
        <v>110</v>
      </c>
      <c r="C14" s="367">
        <v>2</v>
      </c>
      <c r="D14" s="367">
        <v>3</v>
      </c>
      <c r="E14" s="365" t="s">
        <v>103</v>
      </c>
      <c r="F14" s="367">
        <v>109</v>
      </c>
      <c r="G14" s="367">
        <v>3</v>
      </c>
      <c r="H14" s="367">
        <v>106</v>
      </c>
      <c r="I14" s="367">
        <v>110</v>
      </c>
      <c r="J14" s="367">
        <v>3</v>
      </c>
      <c r="K14" s="367">
        <v>107</v>
      </c>
      <c r="L14" s="367">
        <v>118</v>
      </c>
      <c r="M14" s="367">
        <v>3</v>
      </c>
      <c r="N14" s="367">
        <v>115</v>
      </c>
      <c r="O14" s="365" t="s">
        <v>260</v>
      </c>
      <c r="P14" s="365" t="s">
        <v>260</v>
      </c>
      <c r="Q14" s="365" t="s">
        <v>260</v>
      </c>
    </row>
    <row r="15" spans="1:17" ht="19.600000000000001" customHeight="1">
      <c r="A15" s="367">
        <v>12</v>
      </c>
      <c r="B15" s="365" t="s">
        <v>111</v>
      </c>
      <c r="C15" s="367">
        <v>2</v>
      </c>
      <c r="D15" s="367">
        <v>3</v>
      </c>
      <c r="E15" s="365" t="s">
        <v>102</v>
      </c>
      <c r="F15" s="367">
        <v>96</v>
      </c>
      <c r="G15" s="367">
        <v>2</v>
      </c>
      <c r="H15" s="367">
        <v>94</v>
      </c>
      <c r="I15" s="367">
        <v>85</v>
      </c>
      <c r="J15" s="367">
        <v>2</v>
      </c>
      <c r="K15" s="367">
        <v>83</v>
      </c>
      <c r="L15" s="367">
        <v>89</v>
      </c>
      <c r="M15" s="367">
        <v>2</v>
      </c>
      <c r="N15" s="367">
        <v>87</v>
      </c>
      <c r="O15" s="365" t="s">
        <v>260</v>
      </c>
      <c r="P15" s="365" t="s">
        <v>260</v>
      </c>
      <c r="Q15" s="365" t="s">
        <v>260</v>
      </c>
    </row>
    <row r="16" spans="1:17" ht="19.600000000000001" customHeight="1">
      <c r="A16" s="367">
        <v>13</v>
      </c>
      <c r="B16" s="365" t="s">
        <v>111</v>
      </c>
      <c r="C16" s="367">
        <v>2</v>
      </c>
      <c r="D16" s="367">
        <v>3</v>
      </c>
      <c r="E16" s="365" t="s">
        <v>103</v>
      </c>
      <c r="F16" s="367">
        <v>34</v>
      </c>
      <c r="G16" s="367">
        <v>1</v>
      </c>
      <c r="H16" s="367">
        <v>33</v>
      </c>
      <c r="I16" s="367">
        <v>26</v>
      </c>
      <c r="J16" s="367">
        <v>1</v>
      </c>
      <c r="K16" s="367">
        <v>25</v>
      </c>
      <c r="L16" s="367">
        <v>20</v>
      </c>
      <c r="M16" s="367">
        <v>0</v>
      </c>
      <c r="N16" s="367">
        <v>20</v>
      </c>
      <c r="O16" s="365" t="s">
        <v>260</v>
      </c>
      <c r="P16" s="365" t="s">
        <v>260</v>
      </c>
      <c r="Q16" s="365" t="s">
        <v>260</v>
      </c>
    </row>
    <row r="17" spans="1:17" ht="19.600000000000001" customHeight="1">
      <c r="A17" s="367">
        <v>14</v>
      </c>
      <c r="B17" s="365" t="s">
        <v>112</v>
      </c>
      <c r="C17" s="367">
        <v>2</v>
      </c>
      <c r="D17" s="367">
        <v>3</v>
      </c>
      <c r="E17" s="365" t="s">
        <v>102</v>
      </c>
      <c r="F17" s="367">
        <v>73</v>
      </c>
      <c r="G17" s="367">
        <v>2</v>
      </c>
      <c r="H17" s="367">
        <v>71</v>
      </c>
      <c r="I17" s="367">
        <v>94</v>
      </c>
      <c r="J17" s="367">
        <v>2</v>
      </c>
      <c r="K17" s="367">
        <v>92</v>
      </c>
      <c r="L17" s="367">
        <v>73</v>
      </c>
      <c r="M17" s="367">
        <v>2</v>
      </c>
      <c r="N17" s="367">
        <v>71</v>
      </c>
      <c r="O17" s="365" t="s">
        <v>260</v>
      </c>
      <c r="P17" s="365" t="s">
        <v>260</v>
      </c>
      <c r="Q17" s="365" t="s">
        <v>260</v>
      </c>
    </row>
    <row r="18" spans="1:17" ht="19.600000000000001" customHeight="1">
      <c r="A18" s="367">
        <v>15</v>
      </c>
      <c r="B18" s="365" t="s">
        <v>113</v>
      </c>
      <c r="C18" s="367">
        <v>3</v>
      </c>
      <c r="D18" s="367">
        <v>1</v>
      </c>
      <c r="E18" s="365" t="s">
        <v>102</v>
      </c>
      <c r="F18" s="367">
        <v>73</v>
      </c>
      <c r="G18" s="367">
        <v>2</v>
      </c>
      <c r="H18" s="367">
        <v>71</v>
      </c>
      <c r="I18" s="367">
        <v>69</v>
      </c>
      <c r="J18" s="367">
        <v>2</v>
      </c>
      <c r="K18" s="367">
        <v>67</v>
      </c>
      <c r="L18" s="367">
        <v>63</v>
      </c>
      <c r="M18" s="367">
        <v>1</v>
      </c>
      <c r="N18" s="367">
        <v>62</v>
      </c>
      <c r="O18" s="365" t="s">
        <v>260</v>
      </c>
      <c r="P18" s="365" t="s">
        <v>260</v>
      </c>
      <c r="Q18" s="365" t="s">
        <v>260</v>
      </c>
    </row>
    <row r="19" spans="1:17" ht="19.600000000000001" customHeight="1">
      <c r="A19" s="367">
        <v>16</v>
      </c>
      <c r="B19" s="365" t="s">
        <v>113</v>
      </c>
      <c r="C19" s="367">
        <v>3</v>
      </c>
      <c r="D19" s="367">
        <v>1</v>
      </c>
      <c r="E19" s="365" t="s">
        <v>103</v>
      </c>
      <c r="F19" s="367">
        <v>37</v>
      </c>
      <c r="G19" s="367">
        <v>1</v>
      </c>
      <c r="H19" s="367">
        <v>36</v>
      </c>
      <c r="I19" s="367">
        <v>29</v>
      </c>
      <c r="J19" s="367">
        <v>1</v>
      </c>
      <c r="K19" s="367">
        <v>28</v>
      </c>
      <c r="L19" s="367">
        <v>26</v>
      </c>
      <c r="M19" s="367">
        <v>1</v>
      </c>
      <c r="N19" s="367">
        <v>25</v>
      </c>
      <c r="O19" s="365" t="s">
        <v>260</v>
      </c>
      <c r="P19" s="365" t="s">
        <v>260</v>
      </c>
      <c r="Q19" s="365" t="s">
        <v>260</v>
      </c>
    </row>
    <row r="20" spans="1:17" ht="19.600000000000001" customHeight="1">
      <c r="A20" s="367">
        <v>17</v>
      </c>
      <c r="B20" s="365" t="s">
        <v>114</v>
      </c>
      <c r="C20" s="367">
        <v>3</v>
      </c>
      <c r="D20" s="367">
        <v>1</v>
      </c>
      <c r="E20" s="365" t="s">
        <v>102</v>
      </c>
      <c r="F20" s="367">
        <v>51</v>
      </c>
      <c r="G20" s="367">
        <v>1</v>
      </c>
      <c r="H20" s="367">
        <v>50</v>
      </c>
      <c r="I20" s="367">
        <v>53</v>
      </c>
      <c r="J20" s="367">
        <v>1</v>
      </c>
      <c r="K20" s="367">
        <v>52</v>
      </c>
      <c r="L20" s="367">
        <v>45</v>
      </c>
      <c r="M20" s="367">
        <v>1</v>
      </c>
      <c r="N20" s="367">
        <v>44</v>
      </c>
      <c r="O20" s="365" t="s">
        <v>260</v>
      </c>
      <c r="P20" s="365" t="s">
        <v>260</v>
      </c>
      <c r="Q20" s="365" t="s">
        <v>260</v>
      </c>
    </row>
    <row r="21" spans="1:17" ht="19.600000000000001" customHeight="1">
      <c r="A21" s="367">
        <v>18</v>
      </c>
      <c r="B21" s="365" t="s">
        <v>109</v>
      </c>
      <c r="C21" s="367">
        <v>3</v>
      </c>
      <c r="D21" s="367">
        <v>5</v>
      </c>
      <c r="E21" s="365" t="s">
        <v>102</v>
      </c>
      <c r="F21" s="367">
        <v>84</v>
      </c>
      <c r="G21" s="367">
        <v>2</v>
      </c>
      <c r="H21" s="367">
        <v>82</v>
      </c>
      <c r="I21" s="367">
        <v>92</v>
      </c>
      <c r="J21" s="367">
        <v>2</v>
      </c>
      <c r="K21" s="367">
        <v>90</v>
      </c>
      <c r="L21" s="367">
        <v>84</v>
      </c>
      <c r="M21" s="367">
        <v>2</v>
      </c>
      <c r="N21" s="367">
        <v>82</v>
      </c>
      <c r="O21" s="365" t="s">
        <v>260</v>
      </c>
      <c r="P21" s="365" t="s">
        <v>260</v>
      </c>
      <c r="Q21" s="365" t="s">
        <v>260</v>
      </c>
    </row>
    <row r="22" spans="1:17" ht="19.600000000000001" customHeight="1">
      <c r="A22" s="367">
        <v>19</v>
      </c>
      <c r="B22" s="365" t="s">
        <v>109</v>
      </c>
      <c r="C22" s="367">
        <v>3</v>
      </c>
      <c r="D22" s="367">
        <v>5</v>
      </c>
      <c r="E22" s="365" t="s">
        <v>103</v>
      </c>
      <c r="F22" s="367">
        <v>57</v>
      </c>
      <c r="G22" s="367">
        <v>1</v>
      </c>
      <c r="H22" s="367">
        <v>56</v>
      </c>
      <c r="I22" s="367">
        <v>49</v>
      </c>
      <c r="J22" s="367">
        <v>1</v>
      </c>
      <c r="K22" s="367">
        <v>48</v>
      </c>
      <c r="L22" s="367">
        <v>49</v>
      </c>
      <c r="M22" s="367">
        <v>1</v>
      </c>
      <c r="N22" s="367">
        <v>48</v>
      </c>
      <c r="O22" s="365" t="s">
        <v>260</v>
      </c>
      <c r="P22" s="365" t="s">
        <v>260</v>
      </c>
      <c r="Q22" s="365" t="s">
        <v>260</v>
      </c>
    </row>
    <row r="23" spans="1:17" ht="19.600000000000001" customHeight="1">
      <c r="A23" s="367">
        <v>20</v>
      </c>
      <c r="B23" s="365" t="s">
        <v>110</v>
      </c>
      <c r="C23" s="367">
        <v>3</v>
      </c>
      <c r="D23" s="367">
        <v>5</v>
      </c>
      <c r="E23" s="365" t="s">
        <v>102</v>
      </c>
      <c r="F23" s="367">
        <v>80</v>
      </c>
      <c r="G23" s="367">
        <v>2</v>
      </c>
      <c r="H23" s="367">
        <v>78</v>
      </c>
      <c r="I23" s="367">
        <v>92</v>
      </c>
      <c r="J23" s="367">
        <v>2</v>
      </c>
      <c r="K23" s="367">
        <v>90</v>
      </c>
      <c r="L23" s="367">
        <v>78</v>
      </c>
      <c r="M23" s="367">
        <v>2</v>
      </c>
      <c r="N23" s="367">
        <v>76</v>
      </c>
      <c r="O23" s="365" t="s">
        <v>260</v>
      </c>
      <c r="P23" s="365" t="s">
        <v>260</v>
      </c>
      <c r="Q23" s="365" t="s">
        <v>260</v>
      </c>
    </row>
    <row r="24" spans="1:17" ht="19.600000000000001" customHeight="1">
      <c r="A24" s="367">
        <v>21</v>
      </c>
      <c r="B24" s="365" t="s">
        <v>110</v>
      </c>
      <c r="C24" s="367">
        <v>3</v>
      </c>
      <c r="D24" s="367">
        <v>5</v>
      </c>
      <c r="E24" s="365" t="s">
        <v>103</v>
      </c>
      <c r="F24" s="367">
        <v>102</v>
      </c>
      <c r="G24" s="367">
        <v>2</v>
      </c>
      <c r="H24" s="367">
        <v>100</v>
      </c>
      <c r="I24" s="367">
        <v>142</v>
      </c>
      <c r="J24" s="367">
        <v>3</v>
      </c>
      <c r="K24" s="367">
        <v>139</v>
      </c>
      <c r="L24" s="367">
        <v>136</v>
      </c>
      <c r="M24" s="367">
        <v>3</v>
      </c>
      <c r="N24" s="367">
        <v>133</v>
      </c>
      <c r="O24" s="365" t="s">
        <v>260</v>
      </c>
      <c r="P24" s="365" t="s">
        <v>260</v>
      </c>
      <c r="Q24" s="365" t="s">
        <v>260</v>
      </c>
    </row>
    <row r="25" spans="1:17" ht="19.600000000000001" customHeight="1">
      <c r="A25" s="367">
        <v>22</v>
      </c>
      <c r="B25" s="365" t="s">
        <v>115</v>
      </c>
      <c r="C25" s="367">
        <v>3</v>
      </c>
      <c r="D25" s="367">
        <v>1</v>
      </c>
      <c r="E25" s="365" t="s">
        <v>102</v>
      </c>
      <c r="F25" s="367">
        <v>67</v>
      </c>
      <c r="G25" s="367">
        <v>2</v>
      </c>
      <c r="H25" s="367">
        <v>65</v>
      </c>
      <c r="I25" s="367">
        <v>66</v>
      </c>
      <c r="J25" s="367">
        <v>2</v>
      </c>
      <c r="K25" s="367">
        <v>64</v>
      </c>
      <c r="L25" s="367">
        <v>64</v>
      </c>
      <c r="M25" s="367">
        <v>1</v>
      </c>
      <c r="N25" s="367">
        <v>63</v>
      </c>
      <c r="O25" s="365" t="s">
        <v>260</v>
      </c>
      <c r="P25" s="365" t="s">
        <v>260</v>
      </c>
      <c r="Q25" s="365" t="s">
        <v>260</v>
      </c>
    </row>
    <row r="26" spans="1:17" ht="19.600000000000001" customHeight="1">
      <c r="A26" s="367">
        <v>23</v>
      </c>
      <c r="B26" s="365" t="s">
        <v>115</v>
      </c>
      <c r="C26" s="367">
        <v>3</v>
      </c>
      <c r="D26" s="367">
        <v>1</v>
      </c>
      <c r="E26" s="365" t="s">
        <v>103</v>
      </c>
      <c r="F26" s="367">
        <v>29</v>
      </c>
      <c r="G26" s="367">
        <v>1</v>
      </c>
      <c r="H26" s="367">
        <v>28</v>
      </c>
      <c r="I26" s="367">
        <v>20</v>
      </c>
      <c r="J26" s="367">
        <v>0</v>
      </c>
      <c r="K26" s="367">
        <v>20</v>
      </c>
      <c r="L26" s="367">
        <v>25</v>
      </c>
      <c r="M26" s="367">
        <v>1</v>
      </c>
      <c r="N26" s="367">
        <v>24</v>
      </c>
      <c r="O26" s="365" t="s">
        <v>260</v>
      </c>
      <c r="P26" s="365" t="s">
        <v>260</v>
      </c>
      <c r="Q26" s="365" t="s">
        <v>260</v>
      </c>
    </row>
    <row r="27" spans="1:17" ht="19.600000000000001" customHeight="1">
      <c r="A27" s="367">
        <v>24</v>
      </c>
      <c r="B27" s="365" t="s">
        <v>112</v>
      </c>
      <c r="C27" s="367">
        <v>3</v>
      </c>
      <c r="D27" s="367">
        <v>5</v>
      </c>
      <c r="E27" s="365" t="s">
        <v>102</v>
      </c>
      <c r="F27" s="367">
        <v>77</v>
      </c>
      <c r="G27" s="367">
        <v>2</v>
      </c>
      <c r="H27" s="367">
        <v>75</v>
      </c>
      <c r="I27" s="367">
        <v>92</v>
      </c>
      <c r="J27" s="367">
        <v>2</v>
      </c>
      <c r="K27" s="367">
        <v>90</v>
      </c>
      <c r="L27" s="367">
        <v>92</v>
      </c>
      <c r="M27" s="367">
        <v>2</v>
      </c>
      <c r="N27" s="367">
        <v>90</v>
      </c>
      <c r="O27" s="365" t="s">
        <v>260</v>
      </c>
      <c r="P27" s="365" t="s">
        <v>260</v>
      </c>
      <c r="Q27" s="365" t="s">
        <v>260</v>
      </c>
    </row>
    <row r="28" spans="1:17" ht="19.600000000000001" customHeight="1">
      <c r="A28" s="367">
        <v>25</v>
      </c>
      <c r="B28" s="365" t="s">
        <v>116</v>
      </c>
      <c r="C28" s="367">
        <v>3</v>
      </c>
      <c r="D28" s="367">
        <v>1</v>
      </c>
      <c r="E28" s="365" t="s">
        <v>102</v>
      </c>
      <c r="F28" s="367">
        <v>116</v>
      </c>
      <c r="G28" s="367">
        <v>3</v>
      </c>
      <c r="H28" s="367">
        <v>113</v>
      </c>
      <c r="I28" s="367">
        <v>105</v>
      </c>
      <c r="J28" s="367">
        <v>2</v>
      </c>
      <c r="K28" s="367">
        <v>103</v>
      </c>
      <c r="L28" s="365" t="s">
        <v>260</v>
      </c>
      <c r="M28" s="365" t="s">
        <v>260</v>
      </c>
      <c r="N28" s="365" t="s">
        <v>260</v>
      </c>
      <c r="O28" s="365" t="s">
        <v>260</v>
      </c>
      <c r="P28" s="365" t="s">
        <v>260</v>
      </c>
      <c r="Q28" s="365" t="s">
        <v>260</v>
      </c>
    </row>
    <row r="29" spans="1:17" ht="58.55" customHeight="1">
      <c r="A29" s="367">
        <v>26</v>
      </c>
      <c r="B29" s="365" t="s">
        <v>117</v>
      </c>
      <c r="C29" s="367">
        <v>3</v>
      </c>
      <c r="D29" s="367">
        <v>1</v>
      </c>
      <c r="E29" s="365" t="s">
        <v>102</v>
      </c>
      <c r="F29" s="365" t="s">
        <v>260</v>
      </c>
      <c r="G29" s="365" t="s">
        <v>260</v>
      </c>
      <c r="H29" s="365" t="s">
        <v>260</v>
      </c>
      <c r="I29" s="366" t="s">
        <v>261</v>
      </c>
      <c r="J29" s="367">
        <v>2</v>
      </c>
      <c r="K29" s="367">
        <v>72</v>
      </c>
      <c r="L29" s="365" t="s">
        <v>260</v>
      </c>
      <c r="M29" s="365" t="s">
        <v>260</v>
      </c>
      <c r="N29" s="365" t="s">
        <v>260</v>
      </c>
      <c r="O29" s="366" t="s">
        <v>262</v>
      </c>
      <c r="P29" s="367">
        <v>1</v>
      </c>
      <c r="Q29" s="367">
        <v>58</v>
      </c>
    </row>
    <row r="30" spans="1:17" ht="58.55" customHeight="1">
      <c r="A30" s="367">
        <v>27</v>
      </c>
      <c r="B30" s="365" t="s">
        <v>117</v>
      </c>
      <c r="C30" s="367">
        <v>3</v>
      </c>
      <c r="D30" s="367">
        <v>1</v>
      </c>
      <c r="E30" s="365" t="s">
        <v>103</v>
      </c>
      <c r="F30" s="365" t="s">
        <v>260</v>
      </c>
      <c r="G30" s="365" t="s">
        <v>260</v>
      </c>
      <c r="H30" s="365" t="s">
        <v>260</v>
      </c>
      <c r="I30" s="366" t="s">
        <v>263</v>
      </c>
      <c r="J30" s="367">
        <v>1</v>
      </c>
      <c r="K30" s="367">
        <v>27</v>
      </c>
      <c r="L30" s="365" t="s">
        <v>260</v>
      </c>
      <c r="M30" s="365" t="s">
        <v>260</v>
      </c>
      <c r="N30" s="365" t="s">
        <v>260</v>
      </c>
      <c r="O30" s="366" t="s">
        <v>264</v>
      </c>
      <c r="P30" s="367">
        <v>1</v>
      </c>
      <c r="Q30" s="367">
        <v>23</v>
      </c>
    </row>
    <row r="31" spans="1:17" ht="58.55" customHeight="1">
      <c r="A31" s="367">
        <v>28</v>
      </c>
      <c r="B31" s="365" t="s">
        <v>265</v>
      </c>
      <c r="C31" s="367">
        <v>3</v>
      </c>
      <c r="D31" s="367">
        <v>1</v>
      </c>
      <c r="E31" s="365" t="s">
        <v>102</v>
      </c>
      <c r="F31" s="366" t="s">
        <v>266</v>
      </c>
      <c r="G31" s="367">
        <v>2</v>
      </c>
      <c r="H31" s="367">
        <v>65</v>
      </c>
      <c r="I31" s="365" t="s">
        <v>260</v>
      </c>
      <c r="J31" s="365" t="s">
        <v>260</v>
      </c>
      <c r="K31" s="365" t="s">
        <v>260</v>
      </c>
      <c r="L31" s="365" t="s">
        <v>260</v>
      </c>
      <c r="M31" s="365" t="s">
        <v>260</v>
      </c>
      <c r="N31" s="365" t="s">
        <v>260</v>
      </c>
      <c r="O31" s="365" t="s">
        <v>260</v>
      </c>
      <c r="P31" s="365" t="s">
        <v>260</v>
      </c>
      <c r="Q31" s="365" t="s">
        <v>260</v>
      </c>
    </row>
    <row r="32" spans="1:17" ht="58.55" customHeight="1">
      <c r="A32" s="367">
        <v>29</v>
      </c>
      <c r="B32" s="365" t="s">
        <v>265</v>
      </c>
      <c r="C32" s="367">
        <v>3</v>
      </c>
      <c r="D32" s="367">
        <v>1</v>
      </c>
      <c r="E32" s="365" t="s">
        <v>103</v>
      </c>
      <c r="F32" s="366" t="s">
        <v>267</v>
      </c>
      <c r="G32" s="367">
        <v>1</v>
      </c>
      <c r="H32" s="367">
        <v>36</v>
      </c>
      <c r="I32" s="365" t="s">
        <v>260</v>
      </c>
      <c r="J32" s="365" t="s">
        <v>260</v>
      </c>
      <c r="K32" s="365" t="s">
        <v>260</v>
      </c>
      <c r="L32" s="365" t="s">
        <v>260</v>
      </c>
      <c r="M32" s="365" t="s">
        <v>260</v>
      </c>
      <c r="N32" s="365" t="s">
        <v>260</v>
      </c>
      <c r="O32" s="365" t="s">
        <v>260</v>
      </c>
      <c r="P32" s="365" t="s">
        <v>260</v>
      </c>
      <c r="Q32" s="365" t="s">
        <v>260</v>
      </c>
    </row>
    <row r="33" spans="1:17" ht="19.600000000000001" customHeight="1">
      <c r="A33" s="367">
        <v>30</v>
      </c>
      <c r="B33" s="365" t="s">
        <v>109</v>
      </c>
      <c r="C33" s="367">
        <v>4</v>
      </c>
      <c r="D33" s="367">
        <v>7</v>
      </c>
      <c r="E33" s="365" t="s">
        <v>102</v>
      </c>
      <c r="F33" s="367">
        <v>94</v>
      </c>
      <c r="G33" s="367">
        <v>2</v>
      </c>
      <c r="H33" s="367">
        <v>92</v>
      </c>
      <c r="I33" s="367">
        <v>94</v>
      </c>
      <c r="J33" s="367">
        <v>2</v>
      </c>
      <c r="K33" s="367">
        <v>92</v>
      </c>
      <c r="L33" s="367">
        <v>92</v>
      </c>
      <c r="M33" s="367">
        <v>2</v>
      </c>
      <c r="N33" s="367">
        <v>90</v>
      </c>
      <c r="O33" s="365" t="s">
        <v>260</v>
      </c>
      <c r="P33" s="365" t="s">
        <v>260</v>
      </c>
      <c r="Q33" s="365" t="s">
        <v>260</v>
      </c>
    </row>
    <row r="34" spans="1:17" ht="19.600000000000001" customHeight="1">
      <c r="A34" s="367">
        <v>31</v>
      </c>
      <c r="B34" s="365" t="s">
        <v>109</v>
      </c>
      <c r="C34" s="367">
        <v>4</v>
      </c>
      <c r="D34" s="367">
        <v>7</v>
      </c>
      <c r="E34" s="365" t="s">
        <v>103</v>
      </c>
      <c r="F34" s="367">
        <v>57</v>
      </c>
      <c r="G34" s="367">
        <v>1</v>
      </c>
      <c r="H34" s="367">
        <v>56</v>
      </c>
      <c r="I34" s="367">
        <v>49</v>
      </c>
      <c r="J34" s="367">
        <v>1</v>
      </c>
      <c r="K34" s="367">
        <v>48</v>
      </c>
      <c r="L34" s="367">
        <v>53</v>
      </c>
      <c r="M34" s="367">
        <v>1</v>
      </c>
      <c r="N34" s="367">
        <v>52</v>
      </c>
      <c r="O34" s="365" t="s">
        <v>260</v>
      </c>
      <c r="P34" s="365" t="s">
        <v>260</v>
      </c>
      <c r="Q34" s="365" t="s">
        <v>260</v>
      </c>
    </row>
    <row r="35" spans="1:17" ht="19.600000000000001" customHeight="1">
      <c r="A35" s="367">
        <v>32</v>
      </c>
      <c r="B35" s="365" t="s">
        <v>110</v>
      </c>
      <c r="C35" s="367">
        <v>4</v>
      </c>
      <c r="D35" s="367">
        <v>7</v>
      </c>
      <c r="E35" s="365" t="s">
        <v>102</v>
      </c>
      <c r="F35" s="367">
        <v>83</v>
      </c>
      <c r="G35" s="367">
        <v>2</v>
      </c>
      <c r="H35" s="367">
        <v>81</v>
      </c>
      <c r="I35" s="367">
        <v>94</v>
      </c>
      <c r="J35" s="367">
        <v>2</v>
      </c>
      <c r="K35" s="367">
        <v>92</v>
      </c>
      <c r="L35" s="367">
        <v>90</v>
      </c>
      <c r="M35" s="367">
        <v>2</v>
      </c>
      <c r="N35" s="367">
        <v>88</v>
      </c>
      <c r="O35" s="365" t="s">
        <v>260</v>
      </c>
      <c r="P35" s="365" t="s">
        <v>260</v>
      </c>
      <c r="Q35" s="365" t="s">
        <v>260</v>
      </c>
    </row>
    <row r="36" spans="1:17" ht="19.600000000000001" customHeight="1">
      <c r="A36" s="367">
        <v>33</v>
      </c>
      <c r="B36" s="365" t="s">
        <v>110</v>
      </c>
      <c r="C36" s="367">
        <v>4</v>
      </c>
      <c r="D36" s="367">
        <v>7</v>
      </c>
      <c r="E36" s="365" t="s">
        <v>103</v>
      </c>
      <c r="F36" s="367">
        <v>115</v>
      </c>
      <c r="G36" s="367">
        <v>3</v>
      </c>
      <c r="H36" s="367">
        <v>112</v>
      </c>
      <c r="I36" s="367">
        <v>118</v>
      </c>
      <c r="J36" s="367">
        <v>3</v>
      </c>
      <c r="K36" s="367">
        <v>115</v>
      </c>
      <c r="L36" s="367">
        <v>121</v>
      </c>
      <c r="M36" s="367">
        <v>3</v>
      </c>
      <c r="N36" s="367">
        <v>118</v>
      </c>
      <c r="O36" s="365" t="s">
        <v>260</v>
      </c>
      <c r="P36" s="365" t="s">
        <v>260</v>
      </c>
      <c r="Q36" s="365" t="s">
        <v>260</v>
      </c>
    </row>
    <row r="37" spans="1:17" ht="19.600000000000001" customHeight="1">
      <c r="A37" s="367">
        <v>34</v>
      </c>
      <c r="B37" s="365" t="s">
        <v>118</v>
      </c>
      <c r="C37" s="367">
        <v>4</v>
      </c>
      <c r="D37" s="367">
        <v>7</v>
      </c>
      <c r="E37" s="365" t="s">
        <v>102</v>
      </c>
      <c r="F37" s="365" t="s">
        <v>260</v>
      </c>
      <c r="G37" s="365" t="s">
        <v>260</v>
      </c>
      <c r="H37" s="365" t="s">
        <v>260</v>
      </c>
      <c r="I37" s="365" t="s">
        <v>260</v>
      </c>
      <c r="J37" s="365" t="s">
        <v>260</v>
      </c>
      <c r="K37" s="365" t="s">
        <v>260</v>
      </c>
      <c r="L37" s="365" t="s">
        <v>260</v>
      </c>
      <c r="M37" s="365" t="s">
        <v>260</v>
      </c>
      <c r="N37" s="365" t="s">
        <v>260</v>
      </c>
      <c r="O37" s="365" t="s">
        <v>260</v>
      </c>
      <c r="P37" s="365" t="s">
        <v>260</v>
      </c>
      <c r="Q37" s="365" t="s">
        <v>260</v>
      </c>
    </row>
    <row r="38" spans="1:17" ht="19.600000000000001" customHeight="1">
      <c r="A38" s="367">
        <v>35</v>
      </c>
      <c r="B38" s="365" t="s">
        <v>118</v>
      </c>
      <c r="C38" s="367">
        <v>4</v>
      </c>
      <c r="D38" s="367">
        <v>7</v>
      </c>
      <c r="E38" s="365" t="s">
        <v>103</v>
      </c>
      <c r="F38" s="365" t="s">
        <v>260</v>
      </c>
      <c r="G38" s="365" t="s">
        <v>260</v>
      </c>
      <c r="H38" s="365" t="s">
        <v>260</v>
      </c>
      <c r="I38" s="365" t="s">
        <v>260</v>
      </c>
      <c r="J38" s="365" t="s">
        <v>260</v>
      </c>
      <c r="K38" s="365" t="s">
        <v>260</v>
      </c>
      <c r="L38" s="365" t="s">
        <v>260</v>
      </c>
      <c r="M38" s="365" t="s">
        <v>260</v>
      </c>
      <c r="N38" s="365" t="s">
        <v>260</v>
      </c>
      <c r="O38" s="365" t="s">
        <v>260</v>
      </c>
      <c r="P38" s="365" t="s">
        <v>260</v>
      </c>
      <c r="Q38" s="365" t="s">
        <v>260</v>
      </c>
    </row>
    <row r="39" spans="1:17" ht="19.600000000000001" customHeight="1">
      <c r="A39" s="367">
        <v>36</v>
      </c>
      <c r="B39" s="365" t="s">
        <v>115</v>
      </c>
      <c r="C39" s="367">
        <v>4</v>
      </c>
      <c r="D39" s="367">
        <v>3</v>
      </c>
      <c r="E39" s="365" t="s">
        <v>102</v>
      </c>
      <c r="F39" s="367">
        <v>85</v>
      </c>
      <c r="G39" s="367">
        <v>2</v>
      </c>
      <c r="H39" s="367">
        <v>83</v>
      </c>
      <c r="I39" s="367">
        <v>73</v>
      </c>
      <c r="J39" s="367">
        <v>2</v>
      </c>
      <c r="K39" s="367">
        <v>71</v>
      </c>
      <c r="L39" s="367">
        <v>72</v>
      </c>
      <c r="M39" s="367">
        <v>2</v>
      </c>
      <c r="N39" s="367">
        <v>70</v>
      </c>
      <c r="O39" s="365" t="s">
        <v>260</v>
      </c>
      <c r="P39" s="365" t="s">
        <v>260</v>
      </c>
      <c r="Q39" s="365" t="s">
        <v>260</v>
      </c>
    </row>
    <row r="40" spans="1:17" ht="19.600000000000001" customHeight="1">
      <c r="A40" s="367">
        <v>37</v>
      </c>
      <c r="B40" s="365" t="s">
        <v>115</v>
      </c>
      <c r="C40" s="367">
        <v>4</v>
      </c>
      <c r="D40" s="367">
        <v>3</v>
      </c>
      <c r="E40" s="365" t="s">
        <v>103</v>
      </c>
      <c r="F40" s="367">
        <v>24</v>
      </c>
      <c r="G40" s="367">
        <v>1</v>
      </c>
      <c r="H40" s="367">
        <v>23</v>
      </c>
      <c r="I40" s="367">
        <v>21</v>
      </c>
      <c r="J40" s="367">
        <v>0</v>
      </c>
      <c r="K40" s="367">
        <v>21</v>
      </c>
      <c r="L40" s="367">
        <v>18</v>
      </c>
      <c r="M40" s="367">
        <v>0</v>
      </c>
      <c r="N40" s="367">
        <v>18</v>
      </c>
      <c r="O40" s="365" t="s">
        <v>260</v>
      </c>
      <c r="P40" s="365" t="s">
        <v>260</v>
      </c>
      <c r="Q40" s="365" t="s">
        <v>260</v>
      </c>
    </row>
    <row r="41" spans="1:17" ht="19.600000000000001" customHeight="1">
      <c r="A41" s="367">
        <v>38</v>
      </c>
      <c r="B41" s="365" t="s">
        <v>113</v>
      </c>
      <c r="C41" s="367">
        <v>4</v>
      </c>
      <c r="D41" s="367">
        <v>3</v>
      </c>
      <c r="E41" s="365" t="s">
        <v>102</v>
      </c>
      <c r="F41" s="367">
        <v>69</v>
      </c>
      <c r="G41" s="367">
        <v>2</v>
      </c>
      <c r="H41" s="367">
        <v>67</v>
      </c>
      <c r="I41" s="367">
        <v>70</v>
      </c>
      <c r="J41" s="367">
        <v>2</v>
      </c>
      <c r="K41" s="367">
        <v>68</v>
      </c>
      <c r="L41" s="367">
        <v>71</v>
      </c>
      <c r="M41" s="367">
        <v>2</v>
      </c>
      <c r="N41" s="367">
        <v>69</v>
      </c>
      <c r="O41" s="365" t="s">
        <v>260</v>
      </c>
      <c r="P41" s="365" t="s">
        <v>260</v>
      </c>
      <c r="Q41" s="365" t="s">
        <v>260</v>
      </c>
    </row>
    <row r="42" spans="1:17" ht="19.600000000000001" customHeight="1">
      <c r="A42" s="367">
        <v>39</v>
      </c>
      <c r="B42" s="365" t="s">
        <v>113</v>
      </c>
      <c r="C42" s="367">
        <v>4</v>
      </c>
      <c r="D42" s="367">
        <v>3</v>
      </c>
      <c r="E42" s="365" t="s">
        <v>103</v>
      </c>
      <c r="F42" s="367">
        <v>37</v>
      </c>
      <c r="G42" s="367">
        <v>1</v>
      </c>
      <c r="H42" s="367">
        <v>36</v>
      </c>
      <c r="I42" s="367">
        <v>33</v>
      </c>
      <c r="J42" s="367">
        <v>1</v>
      </c>
      <c r="K42" s="367">
        <v>32</v>
      </c>
      <c r="L42" s="367">
        <v>37</v>
      </c>
      <c r="M42" s="367">
        <v>1</v>
      </c>
      <c r="N42" s="367">
        <v>36</v>
      </c>
      <c r="O42" s="365" t="s">
        <v>260</v>
      </c>
      <c r="P42" s="365" t="s">
        <v>260</v>
      </c>
      <c r="Q42" s="365" t="s">
        <v>260</v>
      </c>
    </row>
    <row r="43" spans="1:17" ht="19.600000000000001" customHeight="1">
      <c r="A43" s="367">
        <v>40</v>
      </c>
      <c r="B43" s="365" t="s">
        <v>112</v>
      </c>
      <c r="C43" s="367">
        <v>4</v>
      </c>
      <c r="D43" s="367">
        <v>7</v>
      </c>
      <c r="E43" s="365" t="s">
        <v>102</v>
      </c>
      <c r="F43" s="367">
        <v>77</v>
      </c>
      <c r="G43" s="367">
        <v>2</v>
      </c>
      <c r="H43" s="367">
        <v>75</v>
      </c>
      <c r="I43" s="367">
        <v>116</v>
      </c>
      <c r="J43" s="367">
        <v>3</v>
      </c>
      <c r="K43" s="367">
        <v>113</v>
      </c>
      <c r="L43" s="367">
        <v>98</v>
      </c>
      <c r="M43" s="367">
        <v>2</v>
      </c>
      <c r="N43" s="367">
        <v>96</v>
      </c>
      <c r="O43" s="365" t="s">
        <v>260</v>
      </c>
      <c r="P43" s="365" t="s">
        <v>260</v>
      </c>
      <c r="Q43" s="365" t="s">
        <v>260</v>
      </c>
    </row>
    <row r="44" spans="1:17" ht="19.600000000000001" customHeight="1">
      <c r="A44" s="367">
        <v>41</v>
      </c>
      <c r="B44" s="365" t="s">
        <v>114</v>
      </c>
      <c r="C44" s="367">
        <v>4</v>
      </c>
      <c r="D44" s="367">
        <v>3</v>
      </c>
      <c r="E44" s="365" t="s">
        <v>102</v>
      </c>
      <c r="F44" s="367">
        <v>49</v>
      </c>
      <c r="G44" s="367">
        <v>1</v>
      </c>
      <c r="H44" s="367">
        <v>48</v>
      </c>
      <c r="I44" s="367">
        <v>49</v>
      </c>
      <c r="J44" s="367">
        <v>1</v>
      </c>
      <c r="K44" s="367">
        <v>48</v>
      </c>
      <c r="L44" s="367">
        <v>47</v>
      </c>
      <c r="M44" s="367">
        <v>1</v>
      </c>
      <c r="N44" s="367">
        <v>46</v>
      </c>
      <c r="O44" s="365" t="s">
        <v>260</v>
      </c>
      <c r="P44" s="365" t="s">
        <v>260</v>
      </c>
      <c r="Q44" s="365" t="s">
        <v>260</v>
      </c>
    </row>
    <row r="45" spans="1:17" ht="19.600000000000001" customHeight="1">
      <c r="A45" s="367">
        <v>42</v>
      </c>
      <c r="B45" s="365" t="s">
        <v>116</v>
      </c>
      <c r="C45" s="367">
        <v>4</v>
      </c>
      <c r="D45" s="367">
        <v>3</v>
      </c>
      <c r="E45" s="365" t="s">
        <v>102</v>
      </c>
      <c r="F45" s="367">
        <v>122</v>
      </c>
      <c r="G45" s="367">
        <v>3</v>
      </c>
      <c r="H45" s="367">
        <v>119</v>
      </c>
      <c r="I45" s="367">
        <v>115</v>
      </c>
      <c r="J45" s="367">
        <v>3</v>
      </c>
      <c r="K45" s="367">
        <v>112</v>
      </c>
      <c r="L45" s="365" t="s">
        <v>260</v>
      </c>
      <c r="M45" s="365" t="s">
        <v>260</v>
      </c>
      <c r="N45" s="365" t="s">
        <v>260</v>
      </c>
      <c r="O45" s="365" t="s">
        <v>260</v>
      </c>
      <c r="P45" s="365" t="s">
        <v>260</v>
      </c>
      <c r="Q45" s="365" t="s">
        <v>260</v>
      </c>
    </row>
    <row r="46" spans="1:17" ht="58.55" customHeight="1">
      <c r="A46" s="367">
        <v>43</v>
      </c>
      <c r="B46" s="365" t="s">
        <v>117</v>
      </c>
      <c r="C46" s="367">
        <v>4</v>
      </c>
      <c r="D46" s="367">
        <v>3</v>
      </c>
      <c r="E46" s="365" t="s">
        <v>102</v>
      </c>
      <c r="F46" s="365" t="s">
        <v>260</v>
      </c>
      <c r="G46" s="365" t="s">
        <v>260</v>
      </c>
      <c r="H46" s="365" t="s">
        <v>260</v>
      </c>
      <c r="I46" s="366" t="s">
        <v>268</v>
      </c>
      <c r="J46" s="367">
        <v>2</v>
      </c>
      <c r="K46" s="367">
        <v>84</v>
      </c>
      <c r="L46" s="365" t="s">
        <v>260</v>
      </c>
      <c r="M46" s="365" t="s">
        <v>260</v>
      </c>
      <c r="N46" s="365" t="s">
        <v>260</v>
      </c>
      <c r="O46" s="366" t="s">
        <v>269</v>
      </c>
      <c r="P46" s="367">
        <v>1</v>
      </c>
      <c r="Q46" s="367">
        <v>57</v>
      </c>
    </row>
    <row r="47" spans="1:17" ht="58.55" customHeight="1">
      <c r="A47" s="367">
        <v>44</v>
      </c>
      <c r="B47" s="365" t="s">
        <v>117</v>
      </c>
      <c r="C47" s="367">
        <v>4</v>
      </c>
      <c r="D47" s="367">
        <v>3</v>
      </c>
      <c r="E47" s="365" t="s">
        <v>103</v>
      </c>
      <c r="F47" s="365" t="s">
        <v>260</v>
      </c>
      <c r="G47" s="365" t="s">
        <v>260</v>
      </c>
      <c r="H47" s="365" t="s">
        <v>260</v>
      </c>
      <c r="I47" s="366" t="s">
        <v>270</v>
      </c>
      <c r="J47" s="367">
        <v>1</v>
      </c>
      <c r="K47" s="367">
        <v>30</v>
      </c>
      <c r="L47" s="365" t="s">
        <v>260</v>
      </c>
      <c r="M47" s="365" t="s">
        <v>260</v>
      </c>
      <c r="N47" s="365" t="s">
        <v>260</v>
      </c>
      <c r="O47" s="366" t="s">
        <v>271</v>
      </c>
      <c r="P47" s="367">
        <v>1</v>
      </c>
      <c r="Q47" s="367">
        <v>28</v>
      </c>
    </row>
    <row r="48" spans="1:17" ht="19.600000000000001" customHeight="1">
      <c r="A48" s="367">
        <v>45</v>
      </c>
      <c r="B48" s="365" t="s">
        <v>272</v>
      </c>
      <c r="C48" s="367">
        <v>4</v>
      </c>
      <c r="D48" s="367">
        <v>3</v>
      </c>
      <c r="E48" s="365" t="s">
        <v>102</v>
      </c>
      <c r="F48" s="365" t="s">
        <v>260</v>
      </c>
      <c r="G48" s="365" t="s">
        <v>260</v>
      </c>
      <c r="H48" s="365" t="s">
        <v>260</v>
      </c>
      <c r="I48" s="365" t="s">
        <v>260</v>
      </c>
      <c r="J48" s="365" t="s">
        <v>260</v>
      </c>
      <c r="K48" s="365" t="s">
        <v>260</v>
      </c>
      <c r="L48" s="365" t="s">
        <v>260</v>
      </c>
      <c r="M48" s="365" t="s">
        <v>260</v>
      </c>
      <c r="N48" s="365" t="s">
        <v>260</v>
      </c>
      <c r="O48" s="365" t="s">
        <v>260</v>
      </c>
      <c r="P48" s="365" t="s">
        <v>260</v>
      </c>
      <c r="Q48" s="365" t="s">
        <v>260</v>
      </c>
    </row>
    <row r="49" spans="1:17" ht="19.600000000000001" customHeight="1">
      <c r="A49" s="367">
        <v>46</v>
      </c>
      <c r="B49" s="365" t="s">
        <v>272</v>
      </c>
      <c r="C49" s="367">
        <v>4</v>
      </c>
      <c r="D49" s="367">
        <v>3</v>
      </c>
      <c r="E49" s="365" t="s">
        <v>103</v>
      </c>
      <c r="F49" s="365" t="s">
        <v>260</v>
      </c>
      <c r="G49" s="365" t="s">
        <v>260</v>
      </c>
      <c r="H49" s="365" t="s">
        <v>260</v>
      </c>
      <c r="I49" s="365" t="s">
        <v>260</v>
      </c>
      <c r="J49" s="365" t="s">
        <v>260</v>
      </c>
      <c r="K49" s="365" t="s">
        <v>260</v>
      </c>
      <c r="L49" s="365" t="s">
        <v>260</v>
      </c>
      <c r="M49" s="365" t="s">
        <v>260</v>
      </c>
      <c r="N49" s="365" t="s">
        <v>260</v>
      </c>
      <c r="O49" s="365" t="s">
        <v>260</v>
      </c>
      <c r="P49" s="365" t="s">
        <v>260</v>
      </c>
      <c r="Q49" s="365" t="s">
        <v>260</v>
      </c>
    </row>
    <row r="50" spans="1:17" ht="58.55" customHeight="1">
      <c r="A50" s="367">
        <v>47</v>
      </c>
      <c r="B50" s="365" t="s">
        <v>265</v>
      </c>
      <c r="C50" s="367">
        <v>4</v>
      </c>
      <c r="D50" s="367">
        <v>3</v>
      </c>
      <c r="E50" s="365" t="s">
        <v>102</v>
      </c>
      <c r="F50" s="366" t="s">
        <v>273</v>
      </c>
      <c r="G50" s="367">
        <v>2</v>
      </c>
      <c r="H50" s="367">
        <v>73</v>
      </c>
      <c r="I50" s="365" t="s">
        <v>260</v>
      </c>
      <c r="J50" s="365" t="s">
        <v>260</v>
      </c>
      <c r="K50" s="365" t="s">
        <v>260</v>
      </c>
      <c r="L50" s="365" t="s">
        <v>260</v>
      </c>
      <c r="M50" s="365" t="s">
        <v>260</v>
      </c>
      <c r="N50" s="365" t="s">
        <v>260</v>
      </c>
      <c r="O50" s="365" t="s">
        <v>260</v>
      </c>
      <c r="P50" s="365" t="s">
        <v>260</v>
      </c>
      <c r="Q50" s="365" t="s">
        <v>260</v>
      </c>
    </row>
    <row r="51" spans="1:17" ht="58.55" customHeight="1">
      <c r="A51" s="367">
        <v>48</v>
      </c>
      <c r="B51" s="365" t="s">
        <v>265</v>
      </c>
      <c r="C51" s="367">
        <v>4</v>
      </c>
      <c r="D51" s="367">
        <v>3</v>
      </c>
      <c r="E51" s="365" t="s">
        <v>103</v>
      </c>
      <c r="F51" s="366" t="s">
        <v>274</v>
      </c>
      <c r="G51" s="367">
        <v>1</v>
      </c>
      <c r="H51" s="367">
        <v>27</v>
      </c>
      <c r="I51" s="365" t="s">
        <v>260</v>
      </c>
      <c r="J51" s="365" t="s">
        <v>260</v>
      </c>
      <c r="K51" s="365" t="s">
        <v>260</v>
      </c>
      <c r="L51" s="365" t="s">
        <v>260</v>
      </c>
      <c r="M51" s="365" t="s">
        <v>260</v>
      </c>
      <c r="N51" s="365" t="s">
        <v>260</v>
      </c>
      <c r="O51" s="365" t="s">
        <v>260</v>
      </c>
      <c r="P51" s="365" t="s">
        <v>260</v>
      </c>
      <c r="Q51" s="365" t="s">
        <v>260</v>
      </c>
    </row>
    <row r="52" spans="1:17" ht="19.600000000000001" customHeight="1">
      <c r="A52" s="367">
        <v>49</v>
      </c>
      <c r="B52" s="365" t="s">
        <v>109</v>
      </c>
      <c r="C52" s="367">
        <v>5</v>
      </c>
      <c r="D52" s="367">
        <v>9</v>
      </c>
      <c r="E52" s="365" t="s">
        <v>102</v>
      </c>
      <c r="F52" s="367">
        <v>59</v>
      </c>
      <c r="G52" s="367">
        <v>0</v>
      </c>
      <c r="H52" s="367">
        <v>59</v>
      </c>
      <c r="I52" s="367">
        <v>57</v>
      </c>
      <c r="J52" s="367">
        <v>0</v>
      </c>
      <c r="K52" s="367">
        <v>57</v>
      </c>
      <c r="L52" s="367">
        <v>62</v>
      </c>
      <c r="M52" s="367">
        <v>0</v>
      </c>
      <c r="N52" s="367">
        <v>62</v>
      </c>
      <c r="O52" s="365" t="s">
        <v>260</v>
      </c>
      <c r="P52" s="365" t="s">
        <v>260</v>
      </c>
      <c r="Q52" s="365" t="s">
        <v>260</v>
      </c>
    </row>
    <row r="53" spans="1:17" ht="19.600000000000001" customHeight="1">
      <c r="A53" s="367">
        <v>50</v>
      </c>
      <c r="B53" s="365" t="s">
        <v>109</v>
      </c>
      <c r="C53" s="367">
        <v>5</v>
      </c>
      <c r="D53" s="367">
        <v>9</v>
      </c>
      <c r="E53" s="365" t="s">
        <v>103</v>
      </c>
      <c r="F53" s="367">
        <v>47</v>
      </c>
      <c r="G53" s="367">
        <v>0</v>
      </c>
      <c r="H53" s="367">
        <v>47</v>
      </c>
      <c r="I53" s="367">
        <v>46</v>
      </c>
      <c r="J53" s="367">
        <v>0</v>
      </c>
      <c r="K53" s="367">
        <v>46</v>
      </c>
      <c r="L53" s="367">
        <v>47</v>
      </c>
      <c r="M53" s="367">
        <v>0</v>
      </c>
      <c r="N53" s="367">
        <v>47</v>
      </c>
      <c r="O53" s="365" t="s">
        <v>260</v>
      </c>
      <c r="P53" s="365" t="s">
        <v>260</v>
      </c>
      <c r="Q53" s="365" t="s">
        <v>260</v>
      </c>
    </row>
    <row r="54" spans="1:17" ht="19.600000000000001" customHeight="1">
      <c r="A54" s="367">
        <v>51</v>
      </c>
      <c r="B54" s="365" t="s">
        <v>110</v>
      </c>
      <c r="C54" s="367">
        <v>5</v>
      </c>
      <c r="D54" s="367">
        <v>9</v>
      </c>
      <c r="E54" s="365" t="s">
        <v>102</v>
      </c>
      <c r="F54" s="367">
        <v>68</v>
      </c>
      <c r="G54" s="367">
        <v>0</v>
      </c>
      <c r="H54" s="367">
        <v>68</v>
      </c>
      <c r="I54" s="365" t="s">
        <v>260</v>
      </c>
      <c r="J54" s="365" t="s">
        <v>260</v>
      </c>
      <c r="K54" s="365" t="s">
        <v>260</v>
      </c>
      <c r="L54" s="367">
        <v>65</v>
      </c>
      <c r="M54" s="367">
        <v>0</v>
      </c>
      <c r="N54" s="367">
        <v>65</v>
      </c>
      <c r="O54" s="365" t="s">
        <v>260</v>
      </c>
      <c r="P54" s="365" t="s">
        <v>260</v>
      </c>
      <c r="Q54" s="365" t="s">
        <v>260</v>
      </c>
    </row>
    <row r="55" spans="1:17" ht="19.600000000000001" customHeight="1">
      <c r="A55" s="367">
        <v>52</v>
      </c>
      <c r="B55" s="365" t="s">
        <v>110</v>
      </c>
      <c r="C55" s="367">
        <v>5</v>
      </c>
      <c r="D55" s="367">
        <v>9</v>
      </c>
      <c r="E55" s="365" t="s">
        <v>103</v>
      </c>
      <c r="F55" s="367">
        <v>103</v>
      </c>
      <c r="G55" s="367">
        <v>0</v>
      </c>
      <c r="H55" s="367">
        <v>103</v>
      </c>
      <c r="I55" s="365" t="s">
        <v>260</v>
      </c>
      <c r="J55" s="365" t="s">
        <v>260</v>
      </c>
      <c r="K55" s="365" t="s">
        <v>260</v>
      </c>
      <c r="L55" s="367">
        <v>84</v>
      </c>
      <c r="M55" s="367">
        <v>0</v>
      </c>
      <c r="N55" s="367">
        <v>84</v>
      </c>
      <c r="O55" s="365" t="s">
        <v>260</v>
      </c>
      <c r="P55" s="365" t="s">
        <v>260</v>
      </c>
      <c r="Q55" s="365" t="s">
        <v>260</v>
      </c>
    </row>
    <row r="56" spans="1:17" ht="19.600000000000001" customHeight="1">
      <c r="A56" s="367">
        <v>53</v>
      </c>
      <c r="B56" s="365" t="s">
        <v>118</v>
      </c>
      <c r="C56" s="367">
        <v>5</v>
      </c>
      <c r="D56" s="367">
        <v>9</v>
      </c>
      <c r="E56" s="365" t="s">
        <v>102</v>
      </c>
      <c r="F56" s="365" t="s">
        <v>260</v>
      </c>
      <c r="G56" s="365" t="s">
        <v>260</v>
      </c>
      <c r="H56" s="365" t="s">
        <v>260</v>
      </c>
      <c r="I56" s="367">
        <v>66</v>
      </c>
      <c r="J56" s="367">
        <v>0</v>
      </c>
      <c r="K56" s="367">
        <v>66</v>
      </c>
      <c r="L56" s="365" t="s">
        <v>260</v>
      </c>
      <c r="M56" s="365" t="s">
        <v>260</v>
      </c>
      <c r="N56" s="365" t="s">
        <v>260</v>
      </c>
      <c r="O56" s="365" t="s">
        <v>260</v>
      </c>
      <c r="P56" s="365" t="s">
        <v>260</v>
      </c>
      <c r="Q56" s="365" t="s">
        <v>260</v>
      </c>
    </row>
    <row r="57" spans="1:17" ht="19.600000000000001" customHeight="1">
      <c r="A57" s="367">
        <v>54</v>
      </c>
      <c r="B57" s="365" t="s">
        <v>118</v>
      </c>
      <c r="C57" s="367">
        <v>5</v>
      </c>
      <c r="D57" s="367">
        <v>9</v>
      </c>
      <c r="E57" s="365" t="s">
        <v>103</v>
      </c>
      <c r="F57" s="365" t="s">
        <v>260</v>
      </c>
      <c r="G57" s="365" t="s">
        <v>260</v>
      </c>
      <c r="H57" s="365" t="s">
        <v>260</v>
      </c>
      <c r="I57" s="367">
        <v>104</v>
      </c>
      <c r="J57" s="367">
        <v>0</v>
      </c>
      <c r="K57" s="367">
        <v>104</v>
      </c>
      <c r="L57" s="365" t="s">
        <v>260</v>
      </c>
      <c r="M57" s="365" t="s">
        <v>260</v>
      </c>
      <c r="N57" s="365" t="s">
        <v>260</v>
      </c>
      <c r="O57" s="365" t="s">
        <v>260</v>
      </c>
      <c r="P57" s="365" t="s">
        <v>260</v>
      </c>
      <c r="Q57" s="365" t="s">
        <v>260</v>
      </c>
    </row>
    <row r="58" spans="1:17" ht="19.600000000000001" customHeight="1">
      <c r="A58" s="367">
        <v>55</v>
      </c>
      <c r="B58" s="365" t="s">
        <v>115</v>
      </c>
      <c r="C58" s="367">
        <v>5</v>
      </c>
      <c r="D58" s="367">
        <v>5</v>
      </c>
      <c r="E58" s="365" t="s">
        <v>102</v>
      </c>
      <c r="F58" s="367">
        <v>65</v>
      </c>
      <c r="G58" s="367">
        <v>0</v>
      </c>
      <c r="H58" s="367">
        <v>65</v>
      </c>
      <c r="I58" s="367">
        <v>52</v>
      </c>
      <c r="J58" s="367">
        <v>0</v>
      </c>
      <c r="K58" s="367">
        <v>52</v>
      </c>
      <c r="L58" s="365" t="s">
        <v>260</v>
      </c>
      <c r="M58" s="365" t="s">
        <v>260</v>
      </c>
      <c r="N58" s="365" t="s">
        <v>260</v>
      </c>
      <c r="O58" s="365" t="s">
        <v>260</v>
      </c>
      <c r="P58" s="365" t="s">
        <v>260</v>
      </c>
      <c r="Q58" s="365" t="s">
        <v>260</v>
      </c>
    </row>
    <row r="59" spans="1:17" ht="19.600000000000001" customHeight="1">
      <c r="A59" s="367">
        <v>56</v>
      </c>
      <c r="B59" s="365" t="s">
        <v>115</v>
      </c>
      <c r="C59" s="367">
        <v>5</v>
      </c>
      <c r="D59" s="367">
        <v>5</v>
      </c>
      <c r="E59" s="365" t="s">
        <v>103</v>
      </c>
      <c r="F59" s="367">
        <v>17</v>
      </c>
      <c r="G59" s="367">
        <v>0</v>
      </c>
      <c r="H59" s="367">
        <v>17</v>
      </c>
      <c r="I59" s="367">
        <v>17</v>
      </c>
      <c r="J59" s="367">
        <v>0</v>
      </c>
      <c r="K59" s="367">
        <v>17</v>
      </c>
      <c r="L59" s="365" t="s">
        <v>260</v>
      </c>
      <c r="M59" s="365" t="s">
        <v>260</v>
      </c>
      <c r="N59" s="365" t="s">
        <v>260</v>
      </c>
      <c r="O59" s="365" t="s">
        <v>260</v>
      </c>
      <c r="P59" s="365" t="s">
        <v>260</v>
      </c>
      <c r="Q59" s="365" t="s">
        <v>260</v>
      </c>
    </row>
    <row r="60" spans="1:17" ht="19.600000000000001" customHeight="1">
      <c r="A60" s="367">
        <v>57</v>
      </c>
      <c r="B60" s="365" t="s">
        <v>121</v>
      </c>
      <c r="C60" s="367">
        <v>5</v>
      </c>
      <c r="D60" s="367">
        <v>5</v>
      </c>
      <c r="E60" s="365" t="s">
        <v>102</v>
      </c>
      <c r="F60" s="365" t="s">
        <v>260</v>
      </c>
      <c r="G60" s="365" t="s">
        <v>260</v>
      </c>
      <c r="H60" s="365" t="s">
        <v>260</v>
      </c>
      <c r="I60" s="365" t="s">
        <v>260</v>
      </c>
      <c r="J60" s="365" t="s">
        <v>260</v>
      </c>
      <c r="K60" s="365" t="s">
        <v>260</v>
      </c>
      <c r="L60" s="367">
        <v>78</v>
      </c>
      <c r="M60" s="367">
        <v>0</v>
      </c>
      <c r="N60" s="367">
        <v>78</v>
      </c>
      <c r="O60" s="365" t="s">
        <v>260</v>
      </c>
      <c r="P60" s="365" t="s">
        <v>260</v>
      </c>
      <c r="Q60" s="365" t="s">
        <v>260</v>
      </c>
    </row>
    <row r="61" spans="1:17" ht="19.600000000000001" customHeight="1">
      <c r="A61" s="367">
        <v>58</v>
      </c>
      <c r="B61" s="365" t="s">
        <v>121</v>
      </c>
      <c r="C61" s="367">
        <v>5</v>
      </c>
      <c r="D61" s="367">
        <v>5</v>
      </c>
      <c r="E61" s="365" t="s">
        <v>103</v>
      </c>
      <c r="F61" s="365" t="s">
        <v>260</v>
      </c>
      <c r="G61" s="365" t="s">
        <v>260</v>
      </c>
      <c r="H61" s="365" t="s">
        <v>260</v>
      </c>
      <c r="I61" s="365" t="s">
        <v>260</v>
      </c>
      <c r="J61" s="365" t="s">
        <v>260</v>
      </c>
      <c r="K61" s="365" t="s">
        <v>260</v>
      </c>
      <c r="L61" s="367">
        <v>22</v>
      </c>
      <c r="M61" s="367">
        <v>0</v>
      </c>
      <c r="N61" s="367">
        <v>22</v>
      </c>
      <c r="O61" s="365" t="s">
        <v>260</v>
      </c>
      <c r="P61" s="365" t="s">
        <v>260</v>
      </c>
      <c r="Q61" s="365" t="s">
        <v>260</v>
      </c>
    </row>
    <row r="62" spans="1:17" ht="19.600000000000001" customHeight="1">
      <c r="A62" s="367">
        <v>59</v>
      </c>
      <c r="B62" s="365" t="s">
        <v>119</v>
      </c>
      <c r="C62" s="367">
        <v>5</v>
      </c>
      <c r="D62" s="367">
        <v>5</v>
      </c>
      <c r="E62" s="365" t="s">
        <v>102</v>
      </c>
      <c r="F62" s="367">
        <v>52</v>
      </c>
      <c r="G62" s="367">
        <v>0</v>
      </c>
      <c r="H62" s="367">
        <v>52</v>
      </c>
      <c r="I62" s="367">
        <v>52</v>
      </c>
      <c r="J62" s="367">
        <v>0</v>
      </c>
      <c r="K62" s="367">
        <v>52</v>
      </c>
      <c r="L62" s="367">
        <v>49</v>
      </c>
      <c r="M62" s="367">
        <v>0</v>
      </c>
      <c r="N62" s="367">
        <v>49</v>
      </c>
      <c r="O62" s="365" t="s">
        <v>260</v>
      </c>
      <c r="P62" s="365" t="s">
        <v>260</v>
      </c>
      <c r="Q62" s="365" t="s">
        <v>260</v>
      </c>
    </row>
    <row r="63" spans="1:17" ht="19.600000000000001" customHeight="1">
      <c r="A63" s="367">
        <v>60</v>
      </c>
      <c r="B63" s="365" t="s">
        <v>119</v>
      </c>
      <c r="C63" s="367">
        <v>5</v>
      </c>
      <c r="D63" s="367">
        <v>5</v>
      </c>
      <c r="E63" s="365" t="s">
        <v>103</v>
      </c>
      <c r="F63" s="367">
        <v>28</v>
      </c>
      <c r="G63" s="367">
        <v>0</v>
      </c>
      <c r="H63" s="367">
        <v>28</v>
      </c>
      <c r="I63" s="367">
        <v>28</v>
      </c>
      <c r="J63" s="367">
        <v>0</v>
      </c>
      <c r="K63" s="367">
        <v>28</v>
      </c>
      <c r="L63" s="367">
        <v>27</v>
      </c>
      <c r="M63" s="367">
        <v>0</v>
      </c>
      <c r="N63" s="367">
        <v>27</v>
      </c>
      <c r="O63" s="365" t="s">
        <v>260</v>
      </c>
      <c r="P63" s="365" t="s">
        <v>260</v>
      </c>
      <c r="Q63" s="365" t="s">
        <v>260</v>
      </c>
    </row>
    <row r="64" spans="1:17" ht="19.600000000000001" customHeight="1">
      <c r="A64" s="367">
        <v>61</v>
      </c>
      <c r="B64" s="365" t="s">
        <v>112</v>
      </c>
      <c r="C64" s="367">
        <v>5</v>
      </c>
      <c r="D64" s="367">
        <v>9</v>
      </c>
      <c r="E64" s="365" t="s">
        <v>102</v>
      </c>
      <c r="F64" s="367">
        <v>64</v>
      </c>
      <c r="G64" s="367">
        <v>0</v>
      </c>
      <c r="H64" s="367">
        <v>64</v>
      </c>
      <c r="I64" s="367">
        <v>55</v>
      </c>
      <c r="J64" s="367">
        <v>0</v>
      </c>
      <c r="K64" s="367">
        <v>55</v>
      </c>
      <c r="L64" s="367">
        <v>45</v>
      </c>
      <c r="M64" s="367">
        <v>0</v>
      </c>
      <c r="N64" s="367">
        <v>45</v>
      </c>
      <c r="O64" s="365" t="s">
        <v>260</v>
      </c>
      <c r="P64" s="365" t="s">
        <v>260</v>
      </c>
      <c r="Q64" s="365" t="s">
        <v>260</v>
      </c>
    </row>
    <row r="65" spans="1:17" ht="19.600000000000001" customHeight="1">
      <c r="A65" s="367">
        <v>62</v>
      </c>
      <c r="B65" s="365" t="s">
        <v>114</v>
      </c>
      <c r="C65" s="367">
        <v>5</v>
      </c>
      <c r="D65" s="367">
        <v>9</v>
      </c>
      <c r="E65" s="365" t="s">
        <v>102</v>
      </c>
      <c r="F65" s="367">
        <v>38</v>
      </c>
      <c r="G65" s="367">
        <v>0</v>
      </c>
      <c r="H65" s="367">
        <v>38</v>
      </c>
      <c r="I65" s="367">
        <v>33</v>
      </c>
      <c r="J65" s="367">
        <v>0</v>
      </c>
      <c r="K65" s="367">
        <v>33</v>
      </c>
      <c r="L65" s="367">
        <v>31</v>
      </c>
      <c r="M65" s="367">
        <v>0</v>
      </c>
      <c r="N65" s="367">
        <v>31</v>
      </c>
      <c r="O65" s="365" t="s">
        <v>260</v>
      </c>
      <c r="P65" s="365" t="s">
        <v>260</v>
      </c>
      <c r="Q65" s="365" t="s">
        <v>260</v>
      </c>
    </row>
    <row r="66" spans="1:17" ht="19.600000000000001" customHeight="1">
      <c r="A66" s="367">
        <v>63</v>
      </c>
      <c r="B66" s="365" t="s">
        <v>120</v>
      </c>
      <c r="C66" s="367">
        <v>5</v>
      </c>
      <c r="D66" s="367">
        <v>5</v>
      </c>
      <c r="E66" s="365" t="s">
        <v>102</v>
      </c>
      <c r="F66" s="367">
        <v>75</v>
      </c>
      <c r="G66" s="367">
        <v>0</v>
      </c>
      <c r="H66" s="367">
        <v>75</v>
      </c>
      <c r="I66" s="367">
        <v>69</v>
      </c>
      <c r="J66" s="367">
        <v>0</v>
      </c>
      <c r="K66" s="367">
        <v>69</v>
      </c>
      <c r="L66" s="367">
        <v>63</v>
      </c>
      <c r="M66" s="367">
        <v>0</v>
      </c>
      <c r="N66" s="367">
        <v>63</v>
      </c>
      <c r="O66" s="365" t="s">
        <v>260</v>
      </c>
      <c r="P66" s="365" t="s">
        <v>260</v>
      </c>
      <c r="Q66" s="365" t="s">
        <v>260</v>
      </c>
    </row>
    <row r="67" spans="1:17" ht="58.55" customHeight="1">
      <c r="A67" s="367">
        <v>64</v>
      </c>
      <c r="B67" s="365" t="s">
        <v>117</v>
      </c>
      <c r="C67" s="367">
        <v>5</v>
      </c>
      <c r="D67" s="367">
        <v>5</v>
      </c>
      <c r="E67" s="365" t="s">
        <v>102</v>
      </c>
      <c r="F67" s="366" t="s">
        <v>275</v>
      </c>
      <c r="G67" s="367">
        <v>0</v>
      </c>
      <c r="H67" s="367">
        <v>63</v>
      </c>
      <c r="I67" s="366" t="s">
        <v>276</v>
      </c>
      <c r="J67" s="367">
        <v>0</v>
      </c>
      <c r="K67" s="367">
        <v>54</v>
      </c>
      <c r="L67" s="365" t="s">
        <v>260</v>
      </c>
      <c r="M67" s="365" t="s">
        <v>260</v>
      </c>
      <c r="N67" s="365" t="s">
        <v>260</v>
      </c>
      <c r="O67" s="366" t="s">
        <v>277</v>
      </c>
      <c r="P67" s="367">
        <v>0</v>
      </c>
      <c r="Q67" s="367">
        <v>63</v>
      </c>
    </row>
    <row r="68" spans="1:17" ht="58.55" customHeight="1">
      <c r="A68" s="367">
        <v>65</v>
      </c>
      <c r="B68" s="365" t="s">
        <v>117</v>
      </c>
      <c r="C68" s="367">
        <v>5</v>
      </c>
      <c r="D68" s="367">
        <v>5</v>
      </c>
      <c r="E68" s="365" t="s">
        <v>103</v>
      </c>
      <c r="F68" s="366" t="s">
        <v>278</v>
      </c>
      <c r="G68" s="367">
        <v>0</v>
      </c>
      <c r="H68" s="367">
        <v>34</v>
      </c>
      <c r="I68" s="366" t="s">
        <v>279</v>
      </c>
      <c r="J68" s="367">
        <v>0</v>
      </c>
      <c r="K68" s="367">
        <v>26</v>
      </c>
      <c r="L68" s="365" t="s">
        <v>260</v>
      </c>
      <c r="M68" s="365" t="s">
        <v>260</v>
      </c>
      <c r="N68" s="365" t="s">
        <v>260</v>
      </c>
      <c r="O68" s="366" t="s">
        <v>280</v>
      </c>
      <c r="P68" s="367">
        <v>0</v>
      </c>
      <c r="Q68" s="367">
        <v>38</v>
      </c>
    </row>
    <row r="69" spans="1:17" ht="39" customHeight="1">
      <c r="A69" s="367">
        <v>66</v>
      </c>
      <c r="B69" s="365" t="s">
        <v>272</v>
      </c>
      <c r="C69" s="367">
        <v>5</v>
      </c>
      <c r="D69" s="367">
        <v>5</v>
      </c>
      <c r="E69" s="365" t="s">
        <v>102</v>
      </c>
      <c r="F69" s="366" t="s">
        <v>281</v>
      </c>
      <c r="G69" s="367">
        <v>0</v>
      </c>
      <c r="H69" s="367">
        <v>52</v>
      </c>
      <c r="I69" s="365" t="s">
        <v>260</v>
      </c>
      <c r="J69" s="365" t="s">
        <v>260</v>
      </c>
      <c r="K69" s="365" t="s">
        <v>260</v>
      </c>
      <c r="L69" s="365" t="s">
        <v>260</v>
      </c>
      <c r="M69" s="365" t="s">
        <v>260</v>
      </c>
      <c r="N69" s="365" t="s">
        <v>260</v>
      </c>
      <c r="O69" s="366" t="s">
        <v>282</v>
      </c>
      <c r="P69" s="367">
        <v>0</v>
      </c>
      <c r="Q69" s="367">
        <v>50</v>
      </c>
    </row>
    <row r="70" spans="1:17" ht="39" customHeight="1">
      <c r="A70" s="367">
        <v>67</v>
      </c>
      <c r="B70" s="365" t="s">
        <v>272</v>
      </c>
      <c r="C70" s="367">
        <v>5</v>
      </c>
      <c r="D70" s="367">
        <v>5</v>
      </c>
      <c r="E70" s="365" t="s">
        <v>103</v>
      </c>
      <c r="F70" s="366" t="s">
        <v>283</v>
      </c>
      <c r="G70" s="367">
        <v>0</v>
      </c>
      <c r="H70" s="367">
        <v>28</v>
      </c>
      <c r="I70" s="365" t="s">
        <v>260</v>
      </c>
      <c r="J70" s="365" t="s">
        <v>260</v>
      </c>
      <c r="K70" s="365" t="s">
        <v>260</v>
      </c>
      <c r="L70" s="365" t="s">
        <v>260</v>
      </c>
      <c r="M70" s="365" t="s">
        <v>260</v>
      </c>
      <c r="N70" s="365" t="s">
        <v>260</v>
      </c>
      <c r="O70" s="366" t="s">
        <v>284</v>
      </c>
      <c r="P70" s="367">
        <v>0</v>
      </c>
      <c r="Q70" s="367">
        <v>26</v>
      </c>
    </row>
    <row r="71" spans="1:17" ht="19.600000000000001" customHeight="1">
      <c r="A71" s="367">
        <v>68</v>
      </c>
      <c r="B71" s="365" t="s">
        <v>109</v>
      </c>
      <c r="C71" s="367">
        <v>6</v>
      </c>
      <c r="D71" s="367">
        <v>11</v>
      </c>
      <c r="E71" s="365" t="s">
        <v>102</v>
      </c>
      <c r="F71" s="367">
        <v>64</v>
      </c>
      <c r="G71" s="367">
        <v>0</v>
      </c>
      <c r="H71" s="367">
        <v>64</v>
      </c>
      <c r="I71" s="367">
        <v>62</v>
      </c>
      <c r="J71" s="367">
        <v>0</v>
      </c>
      <c r="K71" s="367">
        <v>62</v>
      </c>
      <c r="L71" s="367">
        <v>62</v>
      </c>
      <c r="M71" s="367">
        <v>0</v>
      </c>
      <c r="N71" s="367">
        <v>62</v>
      </c>
      <c r="O71" s="365" t="s">
        <v>260</v>
      </c>
      <c r="P71" s="365" t="s">
        <v>260</v>
      </c>
      <c r="Q71" s="365" t="s">
        <v>260</v>
      </c>
    </row>
    <row r="72" spans="1:17" ht="19.600000000000001" customHeight="1">
      <c r="A72" s="367">
        <v>69</v>
      </c>
      <c r="B72" s="365" t="s">
        <v>109</v>
      </c>
      <c r="C72" s="367">
        <v>6</v>
      </c>
      <c r="D72" s="367">
        <v>11</v>
      </c>
      <c r="E72" s="365" t="s">
        <v>103</v>
      </c>
      <c r="F72" s="367">
        <v>49</v>
      </c>
      <c r="G72" s="367">
        <v>0</v>
      </c>
      <c r="H72" s="367">
        <v>49</v>
      </c>
      <c r="I72" s="367">
        <v>43</v>
      </c>
      <c r="J72" s="367">
        <v>0</v>
      </c>
      <c r="K72" s="367">
        <v>43</v>
      </c>
      <c r="L72" s="367">
        <v>47</v>
      </c>
      <c r="M72" s="367">
        <v>0</v>
      </c>
      <c r="N72" s="367">
        <v>47</v>
      </c>
      <c r="O72" s="365" t="s">
        <v>260</v>
      </c>
      <c r="P72" s="365" t="s">
        <v>260</v>
      </c>
      <c r="Q72" s="365" t="s">
        <v>260</v>
      </c>
    </row>
    <row r="73" spans="1:17" ht="19.600000000000001" customHeight="1">
      <c r="A73" s="367">
        <v>70</v>
      </c>
      <c r="B73" s="365" t="s">
        <v>110</v>
      </c>
      <c r="C73" s="367">
        <v>6</v>
      </c>
      <c r="D73" s="367">
        <v>11</v>
      </c>
      <c r="E73" s="365" t="s">
        <v>102</v>
      </c>
      <c r="F73" s="367">
        <v>66</v>
      </c>
      <c r="G73" s="367">
        <v>0</v>
      </c>
      <c r="H73" s="367">
        <v>66</v>
      </c>
      <c r="I73" s="365" t="s">
        <v>260</v>
      </c>
      <c r="J73" s="365" t="s">
        <v>260</v>
      </c>
      <c r="K73" s="365" t="s">
        <v>260</v>
      </c>
      <c r="L73" s="367">
        <v>62</v>
      </c>
      <c r="M73" s="367">
        <v>0</v>
      </c>
      <c r="N73" s="367">
        <v>62</v>
      </c>
      <c r="O73" s="365" t="s">
        <v>260</v>
      </c>
      <c r="P73" s="365" t="s">
        <v>260</v>
      </c>
      <c r="Q73" s="365" t="s">
        <v>260</v>
      </c>
    </row>
    <row r="74" spans="1:17" ht="19.600000000000001" customHeight="1">
      <c r="A74" s="367">
        <v>71</v>
      </c>
      <c r="B74" s="365" t="s">
        <v>110</v>
      </c>
      <c r="C74" s="367">
        <v>6</v>
      </c>
      <c r="D74" s="367">
        <v>11</v>
      </c>
      <c r="E74" s="365" t="s">
        <v>103</v>
      </c>
      <c r="F74" s="367">
        <v>83</v>
      </c>
      <c r="G74" s="367">
        <v>0</v>
      </c>
      <c r="H74" s="367">
        <v>83</v>
      </c>
      <c r="I74" s="365" t="s">
        <v>260</v>
      </c>
      <c r="J74" s="365" t="s">
        <v>260</v>
      </c>
      <c r="K74" s="365" t="s">
        <v>260</v>
      </c>
      <c r="L74" s="367">
        <v>68</v>
      </c>
      <c r="M74" s="367">
        <v>0</v>
      </c>
      <c r="N74" s="367">
        <v>68</v>
      </c>
      <c r="O74" s="365" t="s">
        <v>260</v>
      </c>
      <c r="P74" s="365" t="s">
        <v>260</v>
      </c>
      <c r="Q74" s="365" t="s">
        <v>260</v>
      </c>
    </row>
    <row r="75" spans="1:17" ht="19.600000000000001" customHeight="1">
      <c r="A75" s="367">
        <v>72</v>
      </c>
      <c r="B75" s="365" t="s">
        <v>118</v>
      </c>
      <c r="C75" s="367">
        <v>6</v>
      </c>
      <c r="D75" s="367">
        <v>11</v>
      </c>
      <c r="E75" s="365" t="s">
        <v>102</v>
      </c>
      <c r="F75" s="365" t="s">
        <v>260</v>
      </c>
      <c r="G75" s="365" t="s">
        <v>260</v>
      </c>
      <c r="H75" s="365" t="s">
        <v>260</v>
      </c>
      <c r="I75" s="367">
        <v>68</v>
      </c>
      <c r="J75" s="367">
        <v>0</v>
      </c>
      <c r="K75" s="367">
        <v>68</v>
      </c>
      <c r="L75" s="365" t="s">
        <v>260</v>
      </c>
      <c r="M75" s="365" t="s">
        <v>260</v>
      </c>
      <c r="N75" s="365" t="s">
        <v>260</v>
      </c>
      <c r="O75" s="365" t="s">
        <v>260</v>
      </c>
      <c r="P75" s="365" t="s">
        <v>260</v>
      </c>
      <c r="Q75" s="365" t="s">
        <v>260</v>
      </c>
    </row>
    <row r="76" spans="1:17" ht="19.600000000000001" customHeight="1">
      <c r="A76" s="367">
        <v>73</v>
      </c>
      <c r="B76" s="365" t="s">
        <v>118</v>
      </c>
      <c r="C76" s="367">
        <v>6</v>
      </c>
      <c r="D76" s="367">
        <v>11</v>
      </c>
      <c r="E76" s="365" t="s">
        <v>103</v>
      </c>
      <c r="F76" s="365" t="s">
        <v>260</v>
      </c>
      <c r="G76" s="365" t="s">
        <v>260</v>
      </c>
      <c r="H76" s="365" t="s">
        <v>260</v>
      </c>
      <c r="I76" s="367">
        <v>79</v>
      </c>
      <c r="J76" s="367">
        <v>0</v>
      </c>
      <c r="K76" s="367">
        <v>79</v>
      </c>
      <c r="L76" s="365" t="s">
        <v>260</v>
      </c>
      <c r="M76" s="365" t="s">
        <v>260</v>
      </c>
      <c r="N76" s="365" t="s">
        <v>260</v>
      </c>
      <c r="O76" s="365" t="s">
        <v>260</v>
      </c>
      <c r="P76" s="365" t="s">
        <v>260</v>
      </c>
      <c r="Q76" s="365" t="s">
        <v>260</v>
      </c>
    </row>
    <row r="77" spans="1:17" ht="19.600000000000001" customHeight="1">
      <c r="A77" s="367">
        <v>74</v>
      </c>
      <c r="B77" s="365" t="s">
        <v>115</v>
      </c>
      <c r="C77" s="367">
        <v>6</v>
      </c>
      <c r="D77" s="367">
        <v>7</v>
      </c>
      <c r="E77" s="365" t="s">
        <v>102</v>
      </c>
      <c r="F77" s="367">
        <v>62</v>
      </c>
      <c r="G77" s="367">
        <v>0</v>
      </c>
      <c r="H77" s="367">
        <v>62</v>
      </c>
      <c r="I77" s="367">
        <v>49</v>
      </c>
      <c r="J77" s="367">
        <v>0</v>
      </c>
      <c r="K77" s="367">
        <v>49</v>
      </c>
      <c r="L77" s="367">
        <v>67</v>
      </c>
      <c r="M77" s="367">
        <v>0</v>
      </c>
      <c r="N77" s="367">
        <v>67</v>
      </c>
      <c r="O77" s="365" t="s">
        <v>260</v>
      </c>
      <c r="P77" s="365" t="s">
        <v>260</v>
      </c>
      <c r="Q77" s="365" t="s">
        <v>260</v>
      </c>
    </row>
    <row r="78" spans="1:17" ht="19.600000000000001" customHeight="1">
      <c r="A78" s="367">
        <v>75</v>
      </c>
      <c r="B78" s="365" t="s">
        <v>115</v>
      </c>
      <c r="C78" s="367">
        <v>6</v>
      </c>
      <c r="D78" s="367">
        <v>7</v>
      </c>
      <c r="E78" s="365" t="s">
        <v>103</v>
      </c>
      <c r="F78" s="367">
        <v>28</v>
      </c>
      <c r="G78" s="367">
        <v>0</v>
      </c>
      <c r="H78" s="367">
        <v>28</v>
      </c>
      <c r="I78" s="367">
        <v>22</v>
      </c>
      <c r="J78" s="367">
        <v>0</v>
      </c>
      <c r="K78" s="367">
        <v>22</v>
      </c>
      <c r="L78" s="367">
        <v>19</v>
      </c>
      <c r="M78" s="367">
        <v>0</v>
      </c>
      <c r="N78" s="367">
        <v>19</v>
      </c>
      <c r="O78" s="365" t="s">
        <v>260</v>
      </c>
      <c r="P78" s="365" t="s">
        <v>260</v>
      </c>
      <c r="Q78" s="365" t="s">
        <v>260</v>
      </c>
    </row>
    <row r="79" spans="1:17" ht="19.600000000000001" customHeight="1">
      <c r="A79" s="367">
        <v>76</v>
      </c>
      <c r="B79" s="365" t="s">
        <v>119</v>
      </c>
      <c r="C79" s="367">
        <v>6</v>
      </c>
      <c r="D79" s="367">
        <v>7</v>
      </c>
      <c r="E79" s="365" t="s">
        <v>102</v>
      </c>
      <c r="F79" s="367">
        <v>60</v>
      </c>
      <c r="G79" s="367">
        <v>0</v>
      </c>
      <c r="H79" s="367">
        <v>60</v>
      </c>
      <c r="I79" s="367">
        <v>55</v>
      </c>
      <c r="J79" s="367">
        <v>0</v>
      </c>
      <c r="K79" s="367">
        <v>55</v>
      </c>
      <c r="L79" s="367">
        <v>57</v>
      </c>
      <c r="M79" s="367">
        <v>0</v>
      </c>
      <c r="N79" s="367">
        <v>57</v>
      </c>
      <c r="O79" s="365" t="s">
        <v>260</v>
      </c>
      <c r="P79" s="365" t="s">
        <v>260</v>
      </c>
      <c r="Q79" s="365" t="s">
        <v>260</v>
      </c>
    </row>
    <row r="80" spans="1:17" ht="19.600000000000001" customHeight="1">
      <c r="A80" s="367">
        <v>77</v>
      </c>
      <c r="B80" s="365" t="s">
        <v>119</v>
      </c>
      <c r="C80" s="367">
        <v>6</v>
      </c>
      <c r="D80" s="367">
        <v>7</v>
      </c>
      <c r="E80" s="365" t="s">
        <v>103</v>
      </c>
      <c r="F80" s="367">
        <v>33</v>
      </c>
      <c r="G80" s="367">
        <v>0</v>
      </c>
      <c r="H80" s="367">
        <v>33</v>
      </c>
      <c r="I80" s="367">
        <v>21</v>
      </c>
      <c r="J80" s="367">
        <v>0</v>
      </c>
      <c r="K80" s="367">
        <v>21</v>
      </c>
      <c r="L80" s="367">
        <v>27</v>
      </c>
      <c r="M80" s="367">
        <v>0</v>
      </c>
      <c r="N80" s="367">
        <v>27</v>
      </c>
      <c r="O80" s="365" t="s">
        <v>260</v>
      </c>
      <c r="P80" s="365" t="s">
        <v>260</v>
      </c>
      <c r="Q80" s="365" t="s">
        <v>260</v>
      </c>
    </row>
    <row r="81" spans="1:17" ht="19.600000000000001" customHeight="1">
      <c r="A81" s="367">
        <v>78</v>
      </c>
      <c r="B81" s="365" t="s">
        <v>112</v>
      </c>
      <c r="C81" s="367">
        <v>6</v>
      </c>
      <c r="D81" s="367">
        <v>11</v>
      </c>
      <c r="E81" s="365" t="s">
        <v>102</v>
      </c>
      <c r="F81" s="367">
        <v>75</v>
      </c>
      <c r="G81" s="367">
        <v>0</v>
      </c>
      <c r="H81" s="367">
        <v>75</v>
      </c>
      <c r="I81" s="367">
        <v>58</v>
      </c>
      <c r="J81" s="367">
        <v>0</v>
      </c>
      <c r="K81" s="367">
        <v>58</v>
      </c>
      <c r="L81" s="367">
        <v>49</v>
      </c>
      <c r="M81" s="367">
        <v>0</v>
      </c>
      <c r="N81" s="367">
        <v>49</v>
      </c>
      <c r="O81" s="365" t="s">
        <v>260</v>
      </c>
      <c r="P81" s="365" t="s">
        <v>260</v>
      </c>
      <c r="Q81" s="365" t="s">
        <v>260</v>
      </c>
    </row>
    <row r="82" spans="1:17" ht="19.600000000000001" customHeight="1">
      <c r="A82" s="367">
        <v>79</v>
      </c>
      <c r="B82" s="365" t="s">
        <v>114</v>
      </c>
      <c r="C82" s="367">
        <v>6</v>
      </c>
      <c r="D82" s="367">
        <v>11</v>
      </c>
      <c r="E82" s="365" t="s">
        <v>102</v>
      </c>
      <c r="F82" s="367">
        <v>42</v>
      </c>
      <c r="G82" s="367">
        <v>0</v>
      </c>
      <c r="H82" s="367">
        <v>42</v>
      </c>
      <c r="I82" s="367">
        <v>44</v>
      </c>
      <c r="J82" s="367">
        <v>0</v>
      </c>
      <c r="K82" s="367">
        <v>44</v>
      </c>
      <c r="L82" s="367">
        <v>31</v>
      </c>
      <c r="M82" s="367">
        <v>0</v>
      </c>
      <c r="N82" s="367">
        <v>31</v>
      </c>
      <c r="O82" s="365" t="s">
        <v>260</v>
      </c>
      <c r="P82" s="365" t="s">
        <v>260</v>
      </c>
      <c r="Q82" s="365" t="s">
        <v>260</v>
      </c>
    </row>
    <row r="83" spans="1:17" ht="19.600000000000001" customHeight="1">
      <c r="A83" s="367">
        <v>80</v>
      </c>
      <c r="B83" s="365" t="s">
        <v>120</v>
      </c>
      <c r="C83" s="367">
        <v>6</v>
      </c>
      <c r="D83" s="367">
        <v>7</v>
      </c>
      <c r="E83" s="365" t="s">
        <v>102</v>
      </c>
      <c r="F83" s="367">
        <v>82</v>
      </c>
      <c r="G83" s="367">
        <v>0</v>
      </c>
      <c r="H83" s="367">
        <v>82</v>
      </c>
      <c r="I83" s="367">
        <v>71</v>
      </c>
      <c r="J83" s="367">
        <v>0</v>
      </c>
      <c r="K83" s="367">
        <v>71</v>
      </c>
      <c r="L83" s="367">
        <v>61</v>
      </c>
      <c r="M83" s="367">
        <v>0</v>
      </c>
      <c r="N83" s="367">
        <v>61</v>
      </c>
      <c r="O83" s="365" t="s">
        <v>260</v>
      </c>
      <c r="P83" s="365" t="s">
        <v>260</v>
      </c>
      <c r="Q83" s="365" t="s">
        <v>260</v>
      </c>
    </row>
    <row r="84" spans="1:17" ht="58.55" customHeight="1">
      <c r="A84" s="367">
        <v>81</v>
      </c>
      <c r="B84" s="365" t="s">
        <v>117</v>
      </c>
      <c r="C84" s="367">
        <v>6</v>
      </c>
      <c r="D84" s="367">
        <v>7</v>
      </c>
      <c r="E84" s="365" t="s">
        <v>102</v>
      </c>
      <c r="F84" s="366" t="s">
        <v>275</v>
      </c>
      <c r="G84" s="367">
        <v>0</v>
      </c>
      <c r="H84" s="367">
        <v>63</v>
      </c>
      <c r="I84" s="366" t="s">
        <v>285</v>
      </c>
      <c r="J84" s="367">
        <v>0</v>
      </c>
      <c r="K84" s="367">
        <v>55</v>
      </c>
      <c r="L84" s="365" t="s">
        <v>260</v>
      </c>
      <c r="M84" s="365" t="s">
        <v>260</v>
      </c>
      <c r="N84" s="365" t="s">
        <v>260</v>
      </c>
      <c r="O84" s="366" t="s">
        <v>277</v>
      </c>
      <c r="P84" s="367">
        <v>0</v>
      </c>
      <c r="Q84" s="367">
        <v>63</v>
      </c>
    </row>
    <row r="85" spans="1:17" ht="58.55" customHeight="1">
      <c r="A85" s="367">
        <v>82</v>
      </c>
      <c r="B85" s="365" t="s">
        <v>117</v>
      </c>
      <c r="C85" s="367">
        <v>6</v>
      </c>
      <c r="D85" s="367">
        <v>7</v>
      </c>
      <c r="E85" s="365" t="s">
        <v>103</v>
      </c>
      <c r="F85" s="366" t="s">
        <v>286</v>
      </c>
      <c r="G85" s="367">
        <v>0</v>
      </c>
      <c r="H85" s="367">
        <v>36</v>
      </c>
      <c r="I85" s="366" t="s">
        <v>287</v>
      </c>
      <c r="J85" s="367">
        <v>0</v>
      </c>
      <c r="K85" s="367">
        <v>30</v>
      </c>
      <c r="L85" s="365" t="s">
        <v>260</v>
      </c>
      <c r="M85" s="365" t="s">
        <v>260</v>
      </c>
      <c r="N85" s="365" t="s">
        <v>260</v>
      </c>
      <c r="O85" s="366" t="s">
        <v>280</v>
      </c>
      <c r="P85" s="367">
        <v>0</v>
      </c>
      <c r="Q85" s="367">
        <v>38</v>
      </c>
    </row>
    <row r="86" spans="1:17" ht="19.600000000000001" customHeight="1">
      <c r="A86" s="367">
        <v>83</v>
      </c>
      <c r="B86" s="365" t="s">
        <v>288</v>
      </c>
      <c r="C86" s="367">
        <v>6</v>
      </c>
      <c r="D86" s="367">
        <v>7</v>
      </c>
      <c r="E86" s="365" t="s">
        <v>102</v>
      </c>
      <c r="F86" s="365" t="s">
        <v>260</v>
      </c>
      <c r="G86" s="365" t="s">
        <v>260</v>
      </c>
      <c r="H86" s="365" t="s">
        <v>260</v>
      </c>
      <c r="I86" s="365" t="s">
        <v>260</v>
      </c>
      <c r="J86" s="365" t="s">
        <v>260</v>
      </c>
      <c r="K86" s="365" t="s">
        <v>260</v>
      </c>
      <c r="L86" s="365" t="s">
        <v>260</v>
      </c>
      <c r="M86" s="365" t="s">
        <v>260</v>
      </c>
      <c r="N86" s="365" t="s">
        <v>260</v>
      </c>
      <c r="O86" s="365" t="s">
        <v>260</v>
      </c>
      <c r="P86" s="365" t="s">
        <v>260</v>
      </c>
      <c r="Q86" s="365" t="s">
        <v>260</v>
      </c>
    </row>
    <row r="87" spans="1:17" ht="19.600000000000001" customHeight="1">
      <c r="A87" s="367">
        <v>84</v>
      </c>
      <c r="B87" s="365" t="s">
        <v>288</v>
      </c>
      <c r="C87" s="367">
        <v>6</v>
      </c>
      <c r="D87" s="367">
        <v>7</v>
      </c>
      <c r="E87" s="365" t="s">
        <v>103</v>
      </c>
      <c r="F87" s="365" t="s">
        <v>260</v>
      </c>
      <c r="G87" s="365" t="s">
        <v>260</v>
      </c>
      <c r="H87" s="365" t="s">
        <v>260</v>
      </c>
      <c r="I87" s="365" t="s">
        <v>260</v>
      </c>
      <c r="J87" s="365" t="s">
        <v>260</v>
      </c>
      <c r="K87" s="365" t="s">
        <v>260</v>
      </c>
      <c r="L87" s="365" t="s">
        <v>260</v>
      </c>
      <c r="M87" s="365" t="s">
        <v>260</v>
      </c>
      <c r="N87" s="365" t="s">
        <v>260</v>
      </c>
      <c r="O87" s="365" t="s">
        <v>260</v>
      </c>
      <c r="P87" s="365" t="s">
        <v>260</v>
      </c>
      <c r="Q87" s="365" t="s">
        <v>260</v>
      </c>
    </row>
    <row r="88" spans="1:17" ht="39" customHeight="1">
      <c r="A88" s="367">
        <v>85</v>
      </c>
      <c r="B88" s="365" t="s">
        <v>272</v>
      </c>
      <c r="C88" s="367">
        <v>6</v>
      </c>
      <c r="D88" s="367">
        <v>7</v>
      </c>
      <c r="E88" s="365" t="s">
        <v>102</v>
      </c>
      <c r="F88" s="366" t="s">
        <v>281</v>
      </c>
      <c r="G88" s="367">
        <v>0</v>
      </c>
      <c r="H88" s="367">
        <v>52</v>
      </c>
      <c r="I88" s="365" t="s">
        <v>260</v>
      </c>
      <c r="J88" s="365" t="s">
        <v>260</v>
      </c>
      <c r="K88" s="365" t="s">
        <v>260</v>
      </c>
      <c r="L88" s="365" t="s">
        <v>260</v>
      </c>
      <c r="M88" s="365" t="s">
        <v>260</v>
      </c>
      <c r="N88" s="365" t="s">
        <v>260</v>
      </c>
      <c r="O88" s="366" t="s">
        <v>289</v>
      </c>
      <c r="P88" s="367">
        <v>0</v>
      </c>
      <c r="Q88" s="367">
        <v>52</v>
      </c>
    </row>
    <row r="89" spans="1:17" ht="39" customHeight="1">
      <c r="A89" s="367">
        <v>86</v>
      </c>
      <c r="B89" s="365" t="s">
        <v>272</v>
      </c>
      <c r="C89" s="367">
        <v>6</v>
      </c>
      <c r="D89" s="367">
        <v>7</v>
      </c>
      <c r="E89" s="365" t="s">
        <v>103</v>
      </c>
      <c r="F89" s="366" t="s">
        <v>290</v>
      </c>
      <c r="G89" s="367">
        <v>0</v>
      </c>
      <c r="H89" s="367">
        <v>30</v>
      </c>
      <c r="I89" s="365" t="s">
        <v>260</v>
      </c>
      <c r="J89" s="365" t="s">
        <v>260</v>
      </c>
      <c r="K89" s="365" t="s">
        <v>260</v>
      </c>
      <c r="L89" s="365" t="s">
        <v>260</v>
      </c>
      <c r="M89" s="365" t="s">
        <v>260</v>
      </c>
      <c r="N89" s="365" t="s">
        <v>260</v>
      </c>
      <c r="O89" s="366" t="s">
        <v>291</v>
      </c>
      <c r="P89" s="367">
        <v>0</v>
      </c>
      <c r="Q89" s="367">
        <v>28</v>
      </c>
    </row>
  </sheetData>
  <autoFilter ref="A3:Q89"/>
  <mergeCells count="10">
    <mergeCell ref="A1:Q1"/>
    <mergeCell ref="A2:A3"/>
    <mergeCell ref="B2:B3"/>
    <mergeCell ref="C2:C3"/>
    <mergeCell ref="D2:D3"/>
    <mergeCell ref="E2:E3"/>
    <mergeCell ref="F2:H2"/>
    <mergeCell ref="I2:K2"/>
    <mergeCell ref="L2:N2"/>
    <mergeCell ref="O2:Q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0"/>
  <sheetViews>
    <sheetView workbookViewId="0">
      <selection activeCell="F44" sqref="F44"/>
    </sheetView>
  </sheetViews>
  <sheetFormatPr defaultColWidth="9.25" defaultRowHeight="13.8"/>
  <cols>
    <col min="1" max="1" width="7.75" style="67" customWidth="1"/>
    <col min="2" max="2" width="28.5" style="42" customWidth="1"/>
    <col min="3" max="3" width="6" style="95" bestFit="1" customWidth="1"/>
    <col min="4" max="4" width="10.125" style="67" customWidth="1"/>
    <col min="5" max="5" width="10.375" style="68" customWidth="1"/>
    <col min="6" max="6" width="9" style="68" customWidth="1"/>
    <col min="7" max="13" width="10.375" style="68" customWidth="1"/>
    <col min="14" max="14" width="11.375" style="42" customWidth="1"/>
    <col min="15" max="15" width="10.375" style="42" customWidth="1"/>
    <col min="16" max="16" width="10" style="42" customWidth="1"/>
    <col min="17" max="17" width="10.875" style="42" customWidth="1"/>
    <col min="18" max="18" width="12.75" style="42" customWidth="1"/>
    <col min="19" max="19" width="9.25" style="42"/>
    <col min="20" max="20" width="12" style="42" customWidth="1"/>
    <col min="21" max="21" width="9.25" style="42"/>
    <col min="22" max="22" width="9.375" style="42" bestFit="1" customWidth="1"/>
    <col min="23" max="24" width="9.25" style="41" customWidth="1"/>
    <col min="25" max="27" width="9.125" style="41" customWidth="1"/>
    <col min="28" max="16384" width="9.25" style="42"/>
  </cols>
  <sheetData>
    <row r="1" spans="1:24" ht="24.75" customHeight="1">
      <c r="A1" s="869" t="s">
        <v>187</v>
      </c>
      <c r="B1" s="869"/>
      <c r="C1" s="870"/>
      <c r="D1" s="38" t="s">
        <v>71</v>
      </c>
      <c r="E1" s="899" t="s">
        <v>43</v>
      </c>
      <c r="F1" s="899"/>
      <c r="G1" s="899"/>
      <c r="H1" s="899"/>
      <c r="I1" s="899"/>
      <c r="J1" s="894" t="s">
        <v>185</v>
      </c>
      <c r="K1" s="894"/>
      <c r="L1" s="894"/>
      <c r="M1" s="415"/>
      <c r="N1" s="40" t="s">
        <v>186</v>
      </c>
      <c r="O1" s="895" t="s">
        <v>45</v>
      </c>
      <c r="P1" s="896"/>
      <c r="Q1" s="897" t="s">
        <v>46</v>
      </c>
      <c r="R1" s="898"/>
      <c r="S1" s="888" t="s">
        <v>47</v>
      </c>
      <c r="T1" s="889"/>
      <c r="U1" s="889"/>
      <c r="V1" s="890"/>
      <c r="W1" s="275"/>
      <c r="X1" s="275"/>
    </row>
    <row r="2" spans="1:24" ht="16.600000000000001" customHeight="1" thickBot="1">
      <c r="A2" s="871" t="s">
        <v>99</v>
      </c>
      <c r="B2" s="871"/>
      <c r="C2" s="872"/>
      <c r="D2" s="39" t="s">
        <v>73</v>
      </c>
      <c r="E2" s="43" t="s">
        <v>20</v>
      </c>
      <c r="F2" s="43" t="s">
        <v>21</v>
      </c>
      <c r="G2" s="43" t="s">
        <v>22</v>
      </c>
      <c r="H2" s="43" t="s">
        <v>24</v>
      </c>
      <c r="I2" s="43" t="s">
        <v>23</v>
      </c>
      <c r="J2" s="44" t="s">
        <v>25</v>
      </c>
      <c r="K2" s="44" t="s">
        <v>26</v>
      </c>
      <c r="L2" s="44" t="s">
        <v>27</v>
      </c>
      <c r="M2" s="415"/>
      <c r="N2" s="45" t="s">
        <v>28</v>
      </c>
      <c r="O2" s="46" t="s">
        <v>29</v>
      </c>
      <c r="P2" s="47" t="s">
        <v>30</v>
      </c>
      <c r="Q2" s="48" t="s">
        <v>31</v>
      </c>
      <c r="R2" s="321" t="s">
        <v>32</v>
      </c>
      <c r="S2" s="343" t="s">
        <v>33</v>
      </c>
      <c r="T2" s="49" t="s">
        <v>34</v>
      </c>
      <c r="U2" s="49" t="s">
        <v>48</v>
      </c>
      <c r="V2" s="50" t="s">
        <v>49</v>
      </c>
      <c r="W2" s="276"/>
      <c r="X2" s="276"/>
    </row>
    <row r="3" spans="1:24" ht="16.600000000000001" customHeight="1" thickBot="1">
      <c r="A3" s="873"/>
      <c r="B3" s="873"/>
      <c r="C3" s="874"/>
      <c r="D3" s="39" t="s">
        <v>72</v>
      </c>
      <c r="E3" s="43"/>
      <c r="F3" s="43"/>
      <c r="G3" s="51" t="s">
        <v>35</v>
      </c>
      <c r="H3" s="52" t="s">
        <v>44</v>
      </c>
      <c r="I3" s="51" t="s">
        <v>36</v>
      </c>
      <c r="J3" s="44"/>
      <c r="K3" s="44"/>
      <c r="L3" s="53" t="s">
        <v>37</v>
      </c>
      <c r="M3" s="415"/>
      <c r="N3" s="54" t="s">
        <v>38</v>
      </c>
      <c r="O3" s="55" t="s">
        <v>39</v>
      </c>
      <c r="P3" s="56" t="s">
        <v>40</v>
      </c>
      <c r="Q3" s="57" t="s">
        <v>41</v>
      </c>
      <c r="R3" s="322" t="s">
        <v>57</v>
      </c>
      <c r="S3" s="344" t="s">
        <v>39</v>
      </c>
      <c r="T3" s="58" t="s">
        <v>42</v>
      </c>
      <c r="U3" s="59" t="s">
        <v>50</v>
      </c>
      <c r="V3" s="60" t="s">
        <v>51</v>
      </c>
      <c r="W3" s="320" t="s">
        <v>67</v>
      </c>
      <c r="X3" s="320" t="s">
        <v>68</v>
      </c>
    </row>
    <row r="4" spans="1:24" ht="55.75" thickBot="1">
      <c r="A4" s="252" t="s">
        <v>0</v>
      </c>
      <c r="B4" s="252" t="s">
        <v>1</v>
      </c>
      <c r="C4" s="253" t="s">
        <v>128</v>
      </c>
      <c r="D4" s="254" t="s">
        <v>2</v>
      </c>
      <c r="E4" s="255" t="s">
        <v>3</v>
      </c>
      <c r="F4" s="256" t="s">
        <v>4</v>
      </c>
      <c r="G4" s="256" t="s">
        <v>129</v>
      </c>
      <c r="H4" s="256" t="s">
        <v>127</v>
      </c>
      <c r="I4" s="256" t="s">
        <v>130</v>
      </c>
      <c r="J4" s="257" t="s">
        <v>78</v>
      </c>
      <c r="K4" s="257" t="s">
        <v>80</v>
      </c>
      <c r="L4" s="257" t="s">
        <v>79</v>
      </c>
      <c r="M4" s="414" t="s">
        <v>309</v>
      </c>
      <c r="N4" s="258" t="s">
        <v>13</v>
      </c>
      <c r="O4" s="259" t="s">
        <v>14</v>
      </c>
      <c r="P4" s="260" t="s">
        <v>15</v>
      </c>
      <c r="Q4" s="261" t="s">
        <v>76</v>
      </c>
      <c r="R4" s="323" t="s">
        <v>77</v>
      </c>
      <c r="S4" s="345" t="s">
        <v>59</v>
      </c>
      <c r="T4" s="262" t="s">
        <v>16</v>
      </c>
      <c r="U4" s="263" t="s">
        <v>52</v>
      </c>
      <c r="V4" s="264" t="s">
        <v>53</v>
      </c>
      <c r="W4" s="277" t="s">
        <v>65</v>
      </c>
      <c r="X4" s="277" t="s">
        <v>66</v>
      </c>
    </row>
    <row r="5" spans="1:24" ht="13.8" customHeight="1">
      <c r="A5" s="136" t="s">
        <v>5</v>
      </c>
      <c r="B5" s="137" t="s">
        <v>142</v>
      </c>
      <c r="C5" s="138">
        <v>1</v>
      </c>
      <c r="D5" s="139" t="s">
        <v>131</v>
      </c>
      <c r="E5" s="140"/>
      <c r="F5" s="141"/>
      <c r="G5" s="141"/>
      <c r="H5" s="417">
        <v>127</v>
      </c>
      <c r="I5" s="417">
        <f>G5*H5</f>
        <v>0</v>
      </c>
      <c r="J5" s="141"/>
      <c r="K5" s="429">
        <v>3</v>
      </c>
      <c r="L5" s="429">
        <f>J5*K5</f>
        <v>0</v>
      </c>
      <c r="M5" s="441">
        <f>I5+L5</f>
        <v>0</v>
      </c>
      <c r="N5" s="142">
        <f>H5-K5</f>
        <v>124</v>
      </c>
      <c r="O5" s="286"/>
      <c r="P5" s="143">
        <f>N5*O5</f>
        <v>0</v>
      </c>
      <c r="Q5" s="144">
        <f>J5-O5</f>
        <v>0</v>
      </c>
      <c r="R5" s="324">
        <f>N5*Q5</f>
        <v>0</v>
      </c>
      <c r="S5" s="346"/>
      <c r="T5" s="146">
        <f t="shared" ref="T5:T36" si="0">S5*H5</f>
        <v>0</v>
      </c>
      <c r="U5" s="145"/>
      <c r="V5" s="147">
        <f>H5*U5</f>
        <v>0</v>
      </c>
      <c r="W5" s="133">
        <f>K5*O5</f>
        <v>0</v>
      </c>
      <c r="X5" s="133">
        <f>K5*Q5</f>
        <v>0</v>
      </c>
    </row>
    <row r="6" spans="1:24" ht="13.8" customHeight="1">
      <c r="A6" s="148" t="s">
        <v>5</v>
      </c>
      <c r="B6" s="61" t="s">
        <v>143</v>
      </c>
      <c r="C6" s="92">
        <v>1</v>
      </c>
      <c r="D6" s="62" t="s">
        <v>131</v>
      </c>
      <c r="E6" s="27"/>
      <c r="F6" s="28"/>
      <c r="G6" s="28"/>
      <c r="H6" s="418">
        <v>90</v>
      </c>
      <c r="I6" s="418">
        <f t="shared" ref="I6:I69" si="1">G6*H6</f>
        <v>0</v>
      </c>
      <c r="J6" s="28"/>
      <c r="K6" s="430">
        <v>2</v>
      </c>
      <c r="L6" s="430">
        <f t="shared" ref="L6:L69" si="2">J6*K6</f>
        <v>0</v>
      </c>
      <c r="M6" s="442">
        <f t="shared" ref="M6:M69" si="3">I6+L6</f>
        <v>0</v>
      </c>
      <c r="N6" s="29">
        <f t="shared" ref="N6:N69" si="4">H6-K6</f>
        <v>88</v>
      </c>
      <c r="O6" s="278"/>
      <c r="P6" s="26">
        <f t="shared" ref="P6:P69" si="5">N6*O6</f>
        <v>0</v>
      </c>
      <c r="Q6" s="31">
        <f t="shared" ref="Q6:Q69" si="6">J6-O6</f>
        <v>0</v>
      </c>
      <c r="R6" s="325">
        <f t="shared" ref="R6:R69" si="7">N6*Q6</f>
        <v>0</v>
      </c>
      <c r="S6" s="347"/>
      <c r="T6" s="32">
        <f t="shared" si="0"/>
        <v>0</v>
      </c>
      <c r="U6" s="465"/>
      <c r="V6" s="33">
        <f t="shared" ref="V6:V69" si="8">H6*U6</f>
        <v>0</v>
      </c>
      <c r="W6" s="134">
        <f t="shared" ref="W6:W69" si="9">K6*O6</f>
        <v>0</v>
      </c>
      <c r="X6" s="134">
        <f t="shared" ref="X6:X69" si="10">K6*Q6</f>
        <v>0</v>
      </c>
    </row>
    <row r="7" spans="1:24" ht="13.8" customHeight="1">
      <c r="A7" s="148" t="s">
        <v>5</v>
      </c>
      <c r="B7" s="61" t="s">
        <v>144</v>
      </c>
      <c r="C7" s="92">
        <v>1</v>
      </c>
      <c r="D7" s="62" t="s">
        <v>132</v>
      </c>
      <c r="E7" s="27"/>
      <c r="F7" s="28"/>
      <c r="G7" s="28"/>
      <c r="H7" s="418">
        <v>75</v>
      </c>
      <c r="I7" s="418">
        <f t="shared" si="1"/>
        <v>0</v>
      </c>
      <c r="J7" s="28"/>
      <c r="K7" s="430">
        <v>2</v>
      </c>
      <c r="L7" s="430">
        <f t="shared" si="2"/>
        <v>0</v>
      </c>
      <c r="M7" s="442">
        <f t="shared" si="3"/>
        <v>0</v>
      </c>
      <c r="N7" s="29">
        <f t="shared" si="4"/>
        <v>73</v>
      </c>
      <c r="O7" s="278"/>
      <c r="P7" s="26">
        <f t="shared" si="5"/>
        <v>0</v>
      </c>
      <c r="Q7" s="31">
        <f t="shared" si="6"/>
        <v>0</v>
      </c>
      <c r="R7" s="325">
        <f t="shared" si="7"/>
        <v>0</v>
      </c>
      <c r="S7" s="347"/>
      <c r="T7" s="32">
        <f t="shared" si="0"/>
        <v>0</v>
      </c>
      <c r="U7" s="465"/>
      <c r="V7" s="33">
        <f t="shared" si="8"/>
        <v>0</v>
      </c>
      <c r="W7" s="134">
        <f t="shared" si="9"/>
        <v>0</v>
      </c>
      <c r="X7" s="134">
        <f t="shared" si="10"/>
        <v>0</v>
      </c>
    </row>
    <row r="8" spans="1:24" ht="13.8" customHeight="1">
      <c r="A8" s="148" t="s">
        <v>5</v>
      </c>
      <c r="B8" s="61" t="s">
        <v>145</v>
      </c>
      <c r="C8" s="92">
        <v>1</v>
      </c>
      <c r="D8" s="62" t="s">
        <v>132</v>
      </c>
      <c r="E8" s="27"/>
      <c r="F8" s="28"/>
      <c r="G8" s="28"/>
      <c r="H8" s="418">
        <v>115</v>
      </c>
      <c r="I8" s="418">
        <f t="shared" si="1"/>
        <v>0</v>
      </c>
      <c r="J8" s="28"/>
      <c r="K8" s="430">
        <v>3</v>
      </c>
      <c r="L8" s="430">
        <f t="shared" si="2"/>
        <v>0</v>
      </c>
      <c r="M8" s="442">
        <f t="shared" si="3"/>
        <v>0</v>
      </c>
      <c r="N8" s="29">
        <f t="shared" si="4"/>
        <v>112</v>
      </c>
      <c r="O8" s="278"/>
      <c r="P8" s="26">
        <f t="shared" si="5"/>
        <v>0</v>
      </c>
      <c r="Q8" s="31">
        <f t="shared" si="6"/>
        <v>0</v>
      </c>
      <c r="R8" s="325">
        <f t="shared" si="7"/>
        <v>0</v>
      </c>
      <c r="S8" s="347"/>
      <c r="T8" s="32">
        <f t="shared" si="0"/>
        <v>0</v>
      </c>
      <c r="U8" s="465"/>
      <c r="V8" s="33">
        <f t="shared" si="8"/>
        <v>0</v>
      </c>
      <c r="W8" s="134">
        <f t="shared" si="9"/>
        <v>0</v>
      </c>
      <c r="X8" s="134">
        <f t="shared" si="10"/>
        <v>0</v>
      </c>
    </row>
    <row r="9" spans="1:24" ht="13.8" customHeight="1">
      <c r="A9" s="148" t="s">
        <v>5</v>
      </c>
      <c r="B9" s="61" t="s">
        <v>146</v>
      </c>
      <c r="C9" s="92">
        <v>1</v>
      </c>
      <c r="D9" s="62" t="s">
        <v>132</v>
      </c>
      <c r="E9" s="27"/>
      <c r="F9" s="28"/>
      <c r="G9" s="28"/>
      <c r="H9" s="418">
        <v>112</v>
      </c>
      <c r="I9" s="418">
        <f t="shared" si="1"/>
        <v>0</v>
      </c>
      <c r="J9" s="28"/>
      <c r="K9" s="430">
        <v>3</v>
      </c>
      <c r="L9" s="430">
        <f t="shared" si="2"/>
        <v>0</v>
      </c>
      <c r="M9" s="442">
        <f t="shared" si="3"/>
        <v>0</v>
      </c>
      <c r="N9" s="29">
        <f t="shared" si="4"/>
        <v>109</v>
      </c>
      <c r="O9" s="278"/>
      <c r="P9" s="26">
        <f t="shared" si="5"/>
        <v>0</v>
      </c>
      <c r="Q9" s="31">
        <f t="shared" si="6"/>
        <v>0</v>
      </c>
      <c r="R9" s="325">
        <f t="shared" si="7"/>
        <v>0</v>
      </c>
      <c r="S9" s="347"/>
      <c r="T9" s="32">
        <f t="shared" si="0"/>
        <v>0</v>
      </c>
      <c r="U9" s="465"/>
      <c r="V9" s="33">
        <f t="shared" si="8"/>
        <v>0</v>
      </c>
      <c r="W9" s="134">
        <f t="shared" si="9"/>
        <v>0</v>
      </c>
      <c r="X9" s="134">
        <f t="shared" si="10"/>
        <v>0</v>
      </c>
    </row>
    <row r="10" spans="1:24" ht="13.8" customHeight="1">
      <c r="A10" s="148" t="s">
        <v>5</v>
      </c>
      <c r="B10" s="61" t="s">
        <v>147</v>
      </c>
      <c r="C10" s="92">
        <v>1</v>
      </c>
      <c r="D10" s="62" t="s">
        <v>132</v>
      </c>
      <c r="E10" s="27"/>
      <c r="F10" s="28"/>
      <c r="G10" s="28"/>
      <c r="H10" s="418">
        <v>45</v>
      </c>
      <c r="I10" s="418">
        <f t="shared" si="1"/>
        <v>0</v>
      </c>
      <c r="J10" s="28"/>
      <c r="K10" s="430">
        <v>1</v>
      </c>
      <c r="L10" s="430">
        <f t="shared" si="2"/>
        <v>0</v>
      </c>
      <c r="M10" s="442">
        <f t="shared" si="3"/>
        <v>0</v>
      </c>
      <c r="N10" s="29">
        <f t="shared" si="4"/>
        <v>44</v>
      </c>
      <c r="O10" s="278"/>
      <c r="P10" s="26">
        <f t="shared" si="5"/>
        <v>0</v>
      </c>
      <c r="Q10" s="31">
        <f t="shared" si="6"/>
        <v>0</v>
      </c>
      <c r="R10" s="325">
        <f t="shared" si="7"/>
        <v>0</v>
      </c>
      <c r="S10" s="453"/>
      <c r="T10" s="32">
        <f t="shared" si="0"/>
        <v>0</v>
      </c>
      <c r="U10" s="465"/>
      <c r="V10" s="33">
        <f t="shared" si="8"/>
        <v>0</v>
      </c>
      <c r="W10" s="134">
        <f t="shared" si="9"/>
        <v>0</v>
      </c>
      <c r="X10" s="134">
        <f t="shared" si="10"/>
        <v>0</v>
      </c>
    </row>
    <row r="11" spans="1:24" ht="14.4" customHeight="1" thickBot="1">
      <c r="A11" s="149" t="s">
        <v>5</v>
      </c>
      <c r="B11" s="265" t="s">
        <v>148</v>
      </c>
      <c r="C11" s="266">
        <v>1</v>
      </c>
      <c r="D11" s="152" t="s">
        <v>132</v>
      </c>
      <c r="E11" s="153"/>
      <c r="F11" s="154"/>
      <c r="G11" s="154"/>
      <c r="H11" s="419">
        <v>81</v>
      </c>
      <c r="I11" s="419">
        <f t="shared" si="1"/>
        <v>0</v>
      </c>
      <c r="J11" s="154"/>
      <c r="K11" s="431">
        <v>2</v>
      </c>
      <c r="L11" s="431">
        <f t="shared" si="2"/>
        <v>0</v>
      </c>
      <c r="M11" s="443">
        <f t="shared" si="3"/>
        <v>0</v>
      </c>
      <c r="N11" s="292">
        <f t="shared" si="4"/>
        <v>79</v>
      </c>
      <c r="O11" s="293">
        <v>0</v>
      </c>
      <c r="P11" s="294">
        <f t="shared" si="5"/>
        <v>0</v>
      </c>
      <c r="Q11" s="267">
        <f t="shared" si="6"/>
        <v>0</v>
      </c>
      <c r="R11" s="326">
        <f t="shared" si="7"/>
        <v>0</v>
      </c>
      <c r="S11" s="454"/>
      <c r="T11" s="267">
        <f t="shared" si="0"/>
        <v>0</v>
      </c>
      <c r="U11" s="466"/>
      <c r="V11" s="268">
        <f t="shared" si="8"/>
        <v>0</v>
      </c>
      <c r="W11" s="305">
        <f t="shared" si="9"/>
        <v>0</v>
      </c>
      <c r="X11" s="305">
        <f t="shared" si="10"/>
        <v>0</v>
      </c>
    </row>
    <row r="12" spans="1:24" ht="13.8" customHeight="1">
      <c r="A12" s="136" t="s">
        <v>5</v>
      </c>
      <c r="B12" s="137" t="s">
        <v>142</v>
      </c>
      <c r="C12" s="138">
        <v>2</v>
      </c>
      <c r="D12" s="139" t="s">
        <v>133</v>
      </c>
      <c r="E12" s="140"/>
      <c r="F12" s="141"/>
      <c r="G12" s="141"/>
      <c r="H12" s="417">
        <v>95</v>
      </c>
      <c r="I12" s="417">
        <f t="shared" si="1"/>
        <v>0</v>
      </c>
      <c r="J12" s="141"/>
      <c r="K12" s="429">
        <v>2</v>
      </c>
      <c r="L12" s="429">
        <f t="shared" si="2"/>
        <v>0</v>
      </c>
      <c r="M12" s="441">
        <f t="shared" si="3"/>
        <v>0</v>
      </c>
      <c r="N12" s="142">
        <f t="shared" si="4"/>
        <v>93</v>
      </c>
      <c r="O12" s="286"/>
      <c r="P12" s="143">
        <f t="shared" si="5"/>
        <v>0</v>
      </c>
      <c r="Q12" s="144">
        <f t="shared" si="6"/>
        <v>0</v>
      </c>
      <c r="R12" s="324">
        <f t="shared" si="7"/>
        <v>0</v>
      </c>
      <c r="S12" s="455"/>
      <c r="T12" s="146">
        <f t="shared" si="0"/>
        <v>0</v>
      </c>
      <c r="U12" s="467"/>
      <c r="V12" s="147">
        <f t="shared" si="8"/>
        <v>0</v>
      </c>
      <c r="W12" s="133">
        <f t="shared" si="9"/>
        <v>0</v>
      </c>
      <c r="X12" s="133">
        <f t="shared" si="10"/>
        <v>0</v>
      </c>
    </row>
    <row r="13" spans="1:24" ht="13.8" customHeight="1">
      <c r="A13" s="148" t="s">
        <v>5</v>
      </c>
      <c r="B13" s="61" t="s">
        <v>143</v>
      </c>
      <c r="C13" s="92">
        <v>2</v>
      </c>
      <c r="D13" s="62" t="s">
        <v>133</v>
      </c>
      <c r="E13" s="27"/>
      <c r="F13" s="28"/>
      <c r="G13" s="28"/>
      <c r="H13" s="418">
        <v>58</v>
      </c>
      <c r="I13" s="418">
        <f t="shared" si="1"/>
        <v>0</v>
      </c>
      <c r="J13" s="28"/>
      <c r="K13" s="430">
        <v>1</v>
      </c>
      <c r="L13" s="430">
        <f t="shared" si="2"/>
        <v>0</v>
      </c>
      <c r="M13" s="442">
        <f t="shared" si="3"/>
        <v>0</v>
      </c>
      <c r="N13" s="29">
        <f t="shared" si="4"/>
        <v>57</v>
      </c>
      <c r="O13" s="278"/>
      <c r="P13" s="30">
        <f t="shared" si="5"/>
        <v>0</v>
      </c>
      <c r="Q13" s="31">
        <f t="shared" si="6"/>
        <v>0</v>
      </c>
      <c r="R13" s="325">
        <f t="shared" si="7"/>
        <v>0</v>
      </c>
      <c r="S13" s="453"/>
      <c r="T13" s="32">
        <f t="shared" si="0"/>
        <v>0</v>
      </c>
      <c r="U13" s="465"/>
      <c r="V13" s="33">
        <f t="shared" si="8"/>
        <v>0</v>
      </c>
      <c r="W13" s="134">
        <f t="shared" si="9"/>
        <v>0</v>
      </c>
      <c r="X13" s="134">
        <f t="shared" si="10"/>
        <v>0</v>
      </c>
    </row>
    <row r="14" spans="1:24" ht="13.8" customHeight="1">
      <c r="A14" s="148" t="s">
        <v>5</v>
      </c>
      <c r="B14" s="61" t="s">
        <v>144</v>
      </c>
      <c r="C14" s="92">
        <v>2</v>
      </c>
      <c r="D14" s="62" t="s">
        <v>133</v>
      </c>
      <c r="E14" s="27"/>
      <c r="F14" s="28"/>
      <c r="G14" s="28"/>
      <c r="H14" s="418">
        <v>83</v>
      </c>
      <c r="I14" s="418">
        <f t="shared" si="1"/>
        <v>0</v>
      </c>
      <c r="J14" s="28"/>
      <c r="K14" s="430">
        <v>2</v>
      </c>
      <c r="L14" s="430">
        <f t="shared" si="2"/>
        <v>0</v>
      </c>
      <c r="M14" s="442">
        <f t="shared" si="3"/>
        <v>0</v>
      </c>
      <c r="N14" s="29">
        <f t="shared" si="4"/>
        <v>81</v>
      </c>
      <c r="O14" s="278"/>
      <c r="P14" s="30">
        <f t="shared" si="5"/>
        <v>0</v>
      </c>
      <c r="Q14" s="31">
        <f t="shared" si="6"/>
        <v>0</v>
      </c>
      <c r="R14" s="325">
        <f t="shared" si="7"/>
        <v>0</v>
      </c>
      <c r="S14" s="453"/>
      <c r="T14" s="32">
        <f t="shared" si="0"/>
        <v>0</v>
      </c>
      <c r="U14" s="465"/>
      <c r="V14" s="33">
        <f t="shared" si="8"/>
        <v>0</v>
      </c>
      <c r="W14" s="134">
        <f t="shared" si="9"/>
        <v>0</v>
      </c>
      <c r="X14" s="134">
        <f t="shared" si="10"/>
        <v>0</v>
      </c>
    </row>
    <row r="15" spans="1:24" ht="13.8" customHeight="1">
      <c r="A15" s="148" t="s">
        <v>5</v>
      </c>
      <c r="B15" s="61" t="s">
        <v>145</v>
      </c>
      <c r="C15" s="92">
        <v>2</v>
      </c>
      <c r="D15" s="62" t="s">
        <v>133</v>
      </c>
      <c r="E15" s="27"/>
      <c r="F15" s="28"/>
      <c r="G15" s="28"/>
      <c r="H15" s="418">
        <v>109</v>
      </c>
      <c r="I15" s="418">
        <f t="shared" si="1"/>
        <v>0</v>
      </c>
      <c r="J15" s="28"/>
      <c r="K15" s="430">
        <v>3</v>
      </c>
      <c r="L15" s="430">
        <f t="shared" si="2"/>
        <v>0</v>
      </c>
      <c r="M15" s="442">
        <f t="shared" si="3"/>
        <v>0</v>
      </c>
      <c r="N15" s="29">
        <f t="shared" si="4"/>
        <v>106</v>
      </c>
      <c r="O15" s="278"/>
      <c r="P15" s="30">
        <f t="shared" si="5"/>
        <v>0</v>
      </c>
      <c r="Q15" s="31">
        <f t="shared" si="6"/>
        <v>0</v>
      </c>
      <c r="R15" s="325">
        <f t="shared" si="7"/>
        <v>0</v>
      </c>
      <c r="S15" s="453"/>
      <c r="T15" s="32">
        <f t="shared" si="0"/>
        <v>0</v>
      </c>
      <c r="U15" s="465"/>
      <c r="V15" s="33">
        <f t="shared" si="8"/>
        <v>0</v>
      </c>
      <c r="W15" s="134">
        <f t="shared" si="9"/>
        <v>0</v>
      </c>
      <c r="X15" s="134">
        <f t="shared" si="10"/>
        <v>0</v>
      </c>
    </row>
    <row r="16" spans="1:24" ht="13.8" customHeight="1">
      <c r="A16" s="148" t="s">
        <v>5</v>
      </c>
      <c r="B16" s="61" t="s">
        <v>146</v>
      </c>
      <c r="C16" s="92">
        <v>2</v>
      </c>
      <c r="D16" s="62" t="s">
        <v>133</v>
      </c>
      <c r="E16" s="27"/>
      <c r="F16" s="28"/>
      <c r="G16" s="28"/>
      <c r="H16" s="418">
        <v>96</v>
      </c>
      <c r="I16" s="418">
        <f t="shared" si="1"/>
        <v>0</v>
      </c>
      <c r="J16" s="28"/>
      <c r="K16" s="430">
        <v>2</v>
      </c>
      <c r="L16" s="430">
        <f t="shared" si="2"/>
        <v>0</v>
      </c>
      <c r="M16" s="442">
        <f t="shared" si="3"/>
        <v>0</v>
      </c>
      <c r="N16" s="29">
        <f t="shared" si="4"/>
        <v>94</v>
      </c>
      <c r="O16" s="278"/>
      <c r="P16" s="30">
        <f t="shared" si="5"/>
        <v>0</v>
      </c>
      <c r="Q16" s="31">
        <f t="shared" si="6"/>
        <v>0</v>
      </c>
      <c r="R16" s="325">
        <f t="shared" si="7"/>
        <v>0</v>
      </c>
      <c r="S16" s="453"/>
      <c r="T16" s="32">
        <f t="shared" si="0"/>
        <v>0</v>
      </c>
      <c r="U16" s="465"/>
      <c r="V16" s="33">
        <f t="shared" si="8"/>
        <v>0</v>
      </c>
      <c r="W16" s="134">
        <f t="shared" si="9"/>
        <v>0</v>
      </c>
      <c r="X16" s="134">
        <f t="shared" si="10"/>
        <v>0</v>
      </c>
    </row>
    <row r="17" spans="1:24" ht="13.8" customHeight="1">
      <c r="A17" s="148" t="s">
        <v>5</v>
      </c>
      <c r="B17" s="61" t="s">
        <v>147</v>
      </c>
      <c r="C17" s="92">
        <v>2</v>
      </c>
      <c r="D17" s="62" t="s">
        <v>133</v>
      </c>
      <c r="E17" s="27"/>
      <c r="F17" s="28"/>
      <c r="G17" s="28"/>
      <c r="H17" s="418">
        <v>34</v>
      </c>
      <c r="I17" s="418">
        <f t="shared" si="1"/>
        <v>0</v>
      </c>
      <c r="J17" s="28"/>
      <c r="K17" s="430">
        <v>1</v>
      </c>
      <c r="L17" s="430">
        <f t="shared" si="2"/>
        <v>0</v>
      </c>
      <c r="M17" s="442">
        <f t="shared" si="3"/>
        <v>0</v>
      </c>
      <c r="N17" s="29">
        <f t="shared" si="4"/>
        <v>33</v>
      </c>
      <c r="O17" s="278"/>
      <c r="P17" s="30">
        <f t="shared" si="5"/>
        <v>0</v>
      </c>
      <c r="Q17" s="31">
        <f t="shared" si="6"/>
        <v>0</v>
      </c>
      <c r="R17" s="325">
        <f t="shared" si="7"/>
        <v>0</v>
      </c>
      <c r="S17" s="453"/>
      <c r="T17" s="32">
        <f t="shared" si="0"/>
        <v>0</v>
      </c>
      <c r="U17" s="465"/>
      <c r="V17" s="33">
        <f t="shared" si="8"/>
        <v>0</v>
      </c>
      <c r="W17" s="134">
        <f t="shared" si="9"/>
        <v>0</v>
      </c>
      <c r="X17" s="134">
        <f t="shared" si="10"/>
        <v>0</v>
      </c>
    </row>
    <row r="18" spans="1:24" ht="14.4" customHeight="1" thickBot="1">
      <c r="A18" s="149" t="s">
        <v>5</v>
      </c>
      <c r="B18" s="265" t="s">
        <v>148</v>
      </c>
      <c r="C18" s="266">
        <v>2</v>
      </c>
      <c r="D18" s="152" t="s">
        <v>133</v>
      </c>
      <c r="E18" s="153"/>
      <c r="F18" s="154"/>
      <c r="G18" s="154"/>
      <c r="H18" s="419">
        <v>73</v>
      </c>
      <c r="I18" s="419">
        <f t="shared" si="1"/>
        <v>0</v>
      </c>
      <c r="J18" s="154"/>
      <c r="K18" s="431">
        <v>2</v>
      </c>
      <c r="L18" s="431">
        <f t="shared" si="2"/>
        <v>0</v>
      </c>
      <c r="M18" s="443">
        <f t="shared" si="3"/>
        <v>0</v>
      </c>
      <c r="N18" s="292">
        <f t="shared" si="4"/>
        <v>71</v>
      </c>
      <c r="O18" s="293">
        <v>0</v>
      </c>
      <c r="P18" s="267">
        <f t="shared" si="5"/>
        <v>0</v>
      </c>
      <c r="Q18" s="267">
        <f t="shared" si="6"/>
        <v>0</v>
      </c>
      <c r="R18" s="326">
        <f t="shared" si="7"/>
        <v>0</v>
      </c>
      <c r="S18" s="454"/>
      <c r="T18" s="267">
        <f t="shared" si="0"/>
        <v>0</v>
      </c>
      <c r="U18" s="466"/>
      <c r="V18" s="268">
        <f t="shared" si="8"/>
        <v>0</v>
      </c>
      <c r="W18" s="305">
        <f t="shared" si="9"/>
        <v>0</v>
      </c>
      <c r="X18" s="305">
        <f t="shared" si="10"/>
        <v>0</v>
      </c>
    </row>
    <row r="19" spans="1:24" ht="13.8" customHeight="1">
      <c r="A19" s="136" t="s">
        <v>5</v>
      </c>
      <c r="B19" s="137" t="s">
        <v>142</v>
      </c>
      <c r="C19" s="138">
        <v>3</v>
      </c>
      <c r="D19" s="139" t="s">
        <v>134</v>
      </c>
      <c r="E19" s="140"/>
      <c r="F19" s="141"/>
      <c r="G19" s="141"/>
      <c r="H19" s="417">
        <v>84</v>
      </c>
      <c r="I19" s="417">
        <f t="shared" si="1"/>
        <v>0</v>
      </c>
      <c r="J19" s="141"/>
      <c r="K19" s="429">
        <v>2</v>
      </c>
      <c r="L19" s="429">
        <f t="shared" si="2"/>
        <v>0</v>
      </c>
      <c r="M19" s="441">
        <f t="shared" si="3"/>
        <v>0</v>
      </c>
      <c r="N19" s="142">
        <f t="shared" si="4"/>
        <v>82</v>
      </c>
      <c r="O19" s="286"/>
      <c r="P19" s="143">
        <f t="shared" si="5"/>
        <v>0</v>
      </c>
      <c r="Q19" s="144">
        <f t="shared" si="6"/>
        <v>0</v>
      </c>
      <c r="R19" s="324">
        <f t="shared" si="7"/>
        <v>0</v>
      </c>
      <c r="S19" s="455"/>
      <c r="T19" s="146">
        <f t="shared" si="0"/>
        <v>0</v>
      </c>
      <c r="U19" s="467"/>
      <c r="V19" s="147">
        <f t="shared" si="8"/>
        <v>0</v>
      </c>
      <c r="W19" s="134">
        <f t="shared" si="9"/>
        <v>0</v>
      </c>
      <c r="X19" s="134">
        <f>K19*Q19</f>
        <v>0</v>
      </c>
    </row>
    <row r="20" spans="1:24" ht="13.8" customHeight="1">
      <c r="A20" s="148" t="s">
        <v>5</v>
      </c>
      <c r="B20" s="61" t="s">
        <v>143</v>
      </c>
      <c r="C20" s="92">
        <v>3</v>
      </c>
      <c r="D20" s="62" t="s">
        <v>134</v>
      </c>
      <c r="E20" s="27"/>
      <c r="F20" s="28"/>
      <c r="G20" s="28"/>
      <c r="H20" s="418">
        <v>57</v>
      </c>
      <c r="I20" s="418">
        <f t="shared" si="1"/>
        <v>0</v>
      </c>
      <c r="J20" s="28"/>
      <c r="K20" s="430">
        <v>1</v>
      </c>
      <c r="L20" s="430">
        <f t="shared" si="2"/>
        <v>0</v>
      </c>
      <c r="M20" s="442">
        <f t="shared" si="3"/>
        <v>0</v>
      </c>
      <c r="N20" s="29">
        <f t="shared" si="4"/>
        <v>56</v>
      </c>
      <c r="O20" s="278"/>
      <c r="P20" s="30">
        <f t="shared" si="5"/>
        <v>0</v>
      </c>
      <c r="Q20" s="31">
        <f t="shared" si="6"/>
        <v>0</v>
      </c>
      <c r="R20" s="325">
        <f t="shared" si="7"/>
        <v>0</v>
      </c>
      <c r="S20" s="453"/>
      <c r="T20" s="32">
        <f t="shared" si="0"/>
        <v>0</v>
      </c>
      <c r="U20" s="465"/>
      <c r="V20" s="33">
        <f t="shared" si="8"/>
        <v>0</v>
      </c>
      <c r="W20" s="134">
        <f t="shared" si="9"/>
        <v>0</v>
      </c>
      <c r="X20" s="134">
        <f t="shared" si="10"/>
        <v>0</v>
      </c>
    </row>
    <row r="21" spans="1:24" ht="13.8" customHeight="1">
      <c r="A21" s="148" t="s">
        <v>5</v>
      </c>
      <c r="B21" s="61" t="s">
        <v>144</v>
      </c>
      <c r="C21" s="92">
        <v>3</v>
      </c>
      <c r="D21" s="62" t="s">
        <v>134</v>
      </c>
      <c r="E21" s="27"/>
      <c r="F21" s="28"/>
      <c r="G21" s="28"/>
      <c r="H21" s="418">
        <v>80</v>
      </c>
      <c r="I21" s="418">
        <f t="shared" si="1"/>
        <v>0</v>
      </c>
      <c r="J21" s="28"/>
      <c r="K21" s="430">
        <v>2</v>
      </c>
      <c r="L21" s="430">
        <f t="shared" si="2"/>
        <v>0</v>
      </c>
      <c r="M21" s="442">
        <f t="shared" si="3"/>
        <v>0</v>
      </c>
      <c r="N21" s="29">
        <f t="shared" si="4"/>
        <v>78</v>
      </c>
      <c r="O21" s="278"/>
      <c r="P21" s="30">
        <f t="shared" si="5"/>
        <v>0</v>
      </c>
      <c r="Q21" s="31">
        <f t="shared" si="6"/>
        <v>0</v>
      </c>
      <c r="R21" s="325">
        <f t="shared" si="7"/>
        <v>0</v>
      </c>
      <c r="S21" s="453"/>
      <c r="T21" s="32">
        <f t="shared" si="0"/>
        <v>0</v>
      </c>
      <c r="U21" s="465"/>
      <c r="V21" s="33">
        <f t="shared" si="8"/>
        <v>0</v>
      </c>
      <c r="W21" s="134">
        <f t="shared" si="9"/>
        <v>0</v>
      </c>
      <c r="X21" s="134">
        <f t="shared" si="10"/>
        <v>0</v>
      </c>
    </row>
    <row r="22" spans="1:24" ht="13.8" customHeight="1">
      <c r="A22" s="148" t="s">
        <v>5</v>
      </c>
      <c r="B22" s="61" t="s">
        <v>145</v>
      </c>
      <c r="C22" s="92">
        <v>3</v>
      </c>
      <c r="D22" s="62" t="s">
        <v>134</v>
      </c>
      <c r="E22" s="27"/>
      <c r="F22" s="28"/>
      <c r="G22" s="28"/>
      <c r="H22" s="418">
        <v>102</v>
      </c>
      <c r="I22" s="418">
        <f t="shared" si="1"/>
        <v>0</v>
      </c>
      <c r="J22" s="28"/>
      <c r="K22" s="430">
        <v>2</v>
      </c>
      <c r="L22" s="430">
        <f t="shared" si="2"/>
        <v>0</v>
      </c>
      <c r="M22" s="442">
        <f t="shared" si="3"/>
        <v>0</v>
      </c>
      <c r="N22" s="29">
        <f t="shared" si="4"/>
        <v>100</v>
      </c>
      <c r="O22" s="278"/>
      <c r="P22" s="30">
        <f t="shared" si="5"/>
        <v>0</v>
      </c>
      <c r="Q22" s="31">
        <f t="shared" si="6"/>
        <v>0</v>
      </c>
      <c r="R22" s="325">
        <f t="shared" si="7"/>
        <v>0</v>
      </c>
      <c r="S22" s="453"/>
      <c r="T22" s="32">
        <f t="shared" si="0"/>
        <v>0</v>
      </c>
      <c r="U22" s="465"/>
      <c r="V22" s="33">
        <f t="shared" si="8"/>
        <v>0</v>
      </c>
      <c r="W22" s="134">
        <f t="shared" si="9"/>
        <v>0</v>
      </c>
      <c r="X22" s="134">
        <f t="shared" si="10"/>
        <v>0</v>
      </c>
    </row>
    <row r="23" spans="1:24" ht="13.8" customHeight="1">
      <c r="A23" s="148" t="s">
        <v>5</v>
      </c>
      <c r="B23" s="98" t="s">
        <v>148</v>
      </c>
      <c r="C23" s="99">
        <v>3</v>
      </c>
      <c r="D23" s="62" t="s">
        <v>134</v>
      </c>
      <c r="E23" s="27"/>
      <c r="F23" s="28"/>
      <c r="G23" s="28"/>
      <c r="H23" s="418">
        <v>77</v>
      </c>
      <c r="I23" s="418">
        <f t="shared" si="1"/>
        <v>0</v>
      </c>
      <c r="J23" s="28"/>
      <c r="K23" s="430">
        <v>2</v>
      </c>
      <c r="L23" s="430">
        <f t="shared" si="2"/>
        <v>0</v>
      </c>
      <c r="M23" s="442">
        <f t="shared" si="3"/>
        <v>0</v>
      </c>
      <c r="N23" s="295">
        <f t="shared" si="4"/>
        <v>75</v>
      </c>
      <c r="O23" s="296">
        <v>0</v>
      </c>
      <c r="P23" s="100">
        <f t="shared" si="5"/>
        <v>0</v>
      </c>
      <c r="Q23" s="100">
        <f t="shared" si="6"/>
        <v>0</v>
      </c>
      <c r="R23" s="327">
        <f t="shared" si="7"/>
        <v>0</v>
      </c>
      <c r="S23" s="453"/>
      <c r="T23" s="100">
        <f t="shared" si="0"/>
        <v>0</v>
      </c>
      <c r="U23" s="465"/>
      <c r="V23" s="106">
        <f t="shared" si="8"/>
        <v>0</v>
      </c>
      <c r="W23" s="306">
        <f t="shared" si="9"/>
        <v>0</v>
      </c>
      <c r="X23" s="306">
        <f t="shared" si="10"/>
        <v>0</v>
      </c>
    </row>
    <row r="24" spans="1:24" ht="13.8" customHeight="1">
      <c r="A24" s="148" t="s">
        <v>5</v>
      </c>
      <c r="B24" s="98" t="s">
        <v>149</v>
      </c>
      <c r="C24" s="99">
        <v>3</v>
      </c>
      <c r="D24" s="62" t="s">
        <v>132</v>
      </c>
      <c r="E24" s="27"/>
      <c r="F24" s="28"/>
      <c r="G24" s="28"/>
      <c r="H24" s="418">
        <v>51</v>
      </c>
      <c r="I24" s="418">
        <f t="shared" si="1"/>
        <v>0</v>
      </c>
      <c r="J24" s="28"/>
      <c r="K24" s="430">
        <v>1</v>
      </c>
      <c r="L24" s="430">
        <f t="shared" si="2"/>
        <v>0</v>
      </c>
      <c r="M24" s="442">
        <f t="shared" si="3"/>
        <v>0</v>
      </c>
      <c r="N24" s="295">
        <f t="shared" si="4"/>
        <v>50</v>
      </c>
      <c r="O24" s="296">
        <v>0</v>
      </c>
      <c r="P24" s="100">
        <f t="shared" si="5"/>
        <v>0</v>
      </c>
      <c r="Q24" s="100">
        <f t="shared" si="6"/>
        <v>0</v>
      </c>
      <c r="R24" s="327">
        <f t="shared" si="7"/>
        <v>0</v>
      </c>
      <c r="S24" s="453"/>
      <c r="T24" s="100">
        <f t="shared" si="0"/>
        <v>0</v>
      </c>
      <c r="U24" s="465"/>
      <c r="V24" s="106">
        <f t="shared" si="8"/>
        <v>0</v>
      </c>
      <c r="W24" s="306">
        <f t="shared" si="9"/>
        <v>0</v>
      </c>
      <c r="X24" s="306">
        <f t="shared" si="10"/>
        <v>0</v>
      </c>
    </row>
    <row r="25" spans="1:24" ht="13.8" customHeight="1">
      <c r="A25" s="148" t="s">
        <v>5</v>
      </c>
      <c r="B25" s="61" t="s">
        <v>150</v>
      </c>
      <c r="C25" s="92">
        <v>3</v>
      </c>
      <c r="D25" s="62" t="s">
        <v>132</v>
      </c>
      <c r="E25" s="27"/>
      <c r="F25" s="28"/>
      <c r="G25" s="28"/>
      <c r="H25" s="418">
        <v>67</v>
      </c>
      <c r="I25" s="418">
        <f t="shared" si="1"/>
        <v>0</v>
      </c>
      <c r="J25" s="28"/>
      <c r="K25" s="430">
        <v>2</v>
      </c>
      <c r="L25" s="430">
        <f t="shared" si="2"/>
        <v>0</v>
      </c>
      <c r="M25" s="442">
        <f t="shared" si="3"/>
        <v>0</v>
      </c>
      <c r="N25" s="29">
        <f t="shared" si="4"/>
        <v>65</v>
      </c>
      <c r="O25" s="278"/>
      <c r="P25" s="30">
        <f t="shared" si="5"/>
        <v>0</v>
      </c>
      <c r="Q25" s="31">
        <f t="shared" si="6"/>
        <v>0</v>
      </c>
      <c r="R25" s="325">
        <f t="shared" si="7"/>
        <v>0</v>
      </c>
      <c r="S25" s="453"/>
      <c r="T25" s="32">
        <f t="shared" si="0"/>
        <v>0</v>
      </c>
      <c r="U25" s="465"/>
      <c r="V25" s="33">
        <f t="shared" si="8"/>
        <v>0</v>
      </c>
      <c r="W25" s="134">
        <f t="shared" si="9"/>
        <v>0</v>
      </c>
      <c r="X25" s="134">
        <f t="shared" si="10"/>
        <v>0</v>
      </c>
    </row>
    <row r="26" spans="1:24" ht="13.8" customHeight="1">
      <c r="A26" s="148" t="s">
        <v>5</v>
      </c>
      <c r="B26" s="61" t="s">
        <v>151</v>
      </c>
      <c r="C26" s="92">
        <v>3</v>
      </c>
      <c r="D26" s="62" t="s">
        <v>132</v>
      </c>
      <c r="E26" s="27"/>
      <c r="F26" s="28"/>
      <c r="G26" s="28"/>
      <c r="H26" s="418">
        <v>29</v>
      </c>
      <c r="I26" s="418">
        <f t="shared" si="1"/>
        <v>0</v>
      </c>
      <c r="J26" s="28"/>
      <c r="K26" s="430">
        <v>1</v>
      </c>
      <c r="L26" s="430">
        <f t="shared" si="2"/>
        <v>0</v>
      </c>
      <c r="M26" s="442">
        <f t="shared" si="3"/>
        <v>0</v>
      </c>
      <c r="N26" s="29">
        <f t="shared" si="4"/>
        <v>28</v>
      </c>
      <c r="O26" s="278"/>
      <c r="P26" s="30">
        <f t="shared" si="5"/>
        <v>0</v>
      </c>
      <c r="Q26" s="31">
        <f t="shared" si="6"/>
        <v>0</v>
      </c>
      <c r="R26" s="325">
        <f t="shared" si="7"/>
        <v>0</v>
      </c>
      <c r="S26" s="453"/>
      <c r="T26" s="32">
        <f t="shared" si="0"/>
        <v>0</v>
      </c>
      <c r="U26" s="465"/>
      <c r="V26" s="33">
        <f t="shared" si="8"/>
        <v>0</v>
      </c>
      <c r="W26" s="134">
        <f t="shared" si="9"/>
        <v>0</v>
      </c>
      <c r="X26" s="134">
        <f t="shared" si="10"/>
        <v>0</v>
      </c>
    </row>
    <row r="27" spans="1:24" ht="13.8" customHeight="1">
      <c r="A27" s="148" t="s">
        <v>5</v>
      </c>
      <c r="B27" s="61" t="s">
        <v>152</v>
      </c>
      <c r="C27" s="92">
        <v>3</v>
      </c>
      <c r="D27" s="62" t="s">
        <v>132</v>
      </c>
      <c r="E27" s="27"/>
      <c r="F27" s="28"/>
      <c r="G27" s="28"/>
      <c r="H27" s="418">
        <v>73</v>
      </c>
      <c r="I27" s="418">
        <f t="shared" si="1"/>
        <v>0</v>
      </c>
      <c r="J27" s="28"/>
      <c r="K27" s="430">
        <v>2</v>
      </c>
      <c r="L27" s="430">
        <f t="shared" si="2"/>
        <v>0</v>
      </c>
      <c r="M27" s="442">
        <f t="shared" si="3"/>
        <v>0</v>
      </c>
      <c r="N27" s="29">
        <f t="shared" si="4"/>
        <v>71</v>
      </c>
      <c r="O27" s="278"/>
      <c r="P27" s="30">
        <f t="shared" si="5"/>
        <v>0</v>
      </c>
      <c r="Q27" s="31">
        <f t="shared" si="6"/>
        <v>0</v>
      </c>
      <c r="R27" s="325">
        <f t="shared" si="7"/>
        <v>0</v>
      </c>
      <c r="S27" s="453"/>
      <c r="T27" s="32">
        <f t="shared" si="0"/>
        <v>0</v>
      </c>
      <c r="U27" s="465"/>
      <c r="V27" s="33">
        <f t="shared" si="8"/>
        <v>0</v>
      </c>
      <c r="W27" s="134">
        <f t="shared" si="9"/>
        <v>0</v>
      </c>
      <c r="X27" s="134">
        <f t="shared" si="10"/>
        <v>0</v>
      </c>
    </row>
    <row r="28" spans="1:24" ht="13.8" customHeight="1">
      <c r="A28" s="148" t="s">
        <v>5</v>
      </c>
      <c r="B28" s="61" t="s">
        <v>153</v>
      </c>
      <c r="C28" s="92">
        <v>3</v>
      </c>
      <c r="D28" s="62" t="s">
        <v>132</v>
      </c>
      <c r="E28" s="27"/>
      <c r="F28" s="28"/>
      <c r="G28" s="28"/>
      <c r="H28" s="418">
        <v>37</v>
      </c>
      <c r="I28" s="418">
        <f t="shared" si="1"/>
        <v>0</v>
      </c>
      <c r="J28" s="28"/>
      <c r="K28" s="430">
        <v>1</v>
      </c>
      <c r="L28" s="430">
        <f t="shared" si="2"/>
        <v>0</v>
      </c>
      <c r="M28" s="442">
        <f t="shared" si="3"/>
        <v>0</v>
      </c>
      <c r="N28" s="29">
        <f t="shared" si="4"/>
        <v>36</v>
      </c>
      <c r="O28" s="278"/>
      <c r="P28" s="30">
        <f t="shared" si="5"/>
        <v>0</v>
      </c>
      <c r="Q28" s="31">
        <f t="shared" si="6"/>
        <v>0</v>
      </c>
      <c r="R28" s="325">
        <f t="shared" si="7"/>
        <v>0</v>
      </c>
      <c r="S28" s="453"/>
      <c r="T28" s="32">
        <f t="shared" si="0"/>
        <v>0</v>
      </c>
      <c r="U28" s="465"/>
      <c r="V28" s="33">
        <f t="shared" si="8"/>
        <v>0</v>
      </c>
      <c r="W28" s="134">
        <f t="shared" si="9"/>
        <v>0</v>
      </c>
      <c r="X28" s="134">
        <f t="shared" si="10"/>
        <v>0</v>
      </c>
    </row>
    <row r="29" spans="1:24" ht="13.8" customHeight="1">
      <c r="A29" s="148" t="s">
        <v>5</v>
      </c>
      <c r="B29" s="98" t="s">
        <v>154</v>
      </c>
      <c r="C29" s="99">
        <v>3</v>
      </c>
      <c r="D29" s="62" t="s">
        <v>132</v>
      </c>
      <c r="E29" s="27"/>
      <c r="F29" s="28"/>
      <c r="G29" s="28"/>
      <c r="H29" s="418">
        <v>116</v>
      </c>
      <c r="I29" s="418">
        <f t="shared" si="1"/>
        <v>0</v>
      </c>
      <c r="J29" s="28"/>
      <c r="K29" s="430">
        <v>3</v>
      </c>
      <c r="L29" s="430">
        <f t="shared" si="2"/>
        <v>0</v>
      </c>
      <c r="M29" s="442">
        <f t="shared" si="3"/>
        <v>0</v>
      </c>
      <c r="N29" s="295">
        <f t="shared" si="4"/>
        <v>113</v>
      </c>
      <c r="O29" s="296">
        <v>0</v>
      </c>
      <c r="P29" s="100">
        <f t="shared" si="5"/>
        <v>0</v>
      </c>
      <c r="Q29" s="100">
        <f t="shared" si="6"/>
        <v>0</v>
      </c>
      <c r="R29" s="327">
        <f t="shared" si="7"/>
        <v>0</v>
      </c>
      <c r="S29" s="453"/>
      <c r="T29" s="100">
        <f t="shared" si="0"/>
        <v>0</v>
      </c>
      <c r="U29" s="465"/>
      <c r="V29" s="106">
        <f t="shared" si="8"/>
        <v>0</v>
      </c>
      <c r="W29" s="306">
        <f t="shared" si="9"/>
        <v>0</v>
      </c>
      <c r="X29" s="306">
        <f t="shared" si="10"/>
        <v>0</v>
      </c>
    </row>
    <row r="30" spans="1:24" ht="13.8" customHeight="1">
      <c r="A30" s="148" t="s">
        <v>5</v>
      </c>
      <c r="B30" s="61" t="s">
        <v>155</v>
      </c>
      <c r="C30" s="92">
        <v>3</v>
      </c>
      <c r="D30" s="62" t="s">
        <v>132</v>
      </c>
      <c r="E30" s="27"/>
      <c r="F30" s="28"/>
      <c r="G30" s="28"/>
      <c r="H30" s="418">
        <v>67</v>
      </c>
      <c r="I30" s="418">
        <f t="shared" si="1"/>
        <v>0</v>
      </c>
      <c r="J30" s="28"/>
      <c r="K30" s="430">
        <v>2</v>
      </c>
      <c r="L30" s="430">
        <f t="shared" si="2"/>
        <v>0</v>
      </c>
      <c r="M30" s="442">
        <f t="shared" si="3"/>
        <v>0</v>
      </c>
      <c r="N30" s="29">
        <f t="shared" si="4"/>
        <v>65</v>
      </c>
      <c r="O30" s="278"/>
      <c r="P30" s="30">
        <f t="shared" si="5"/>
        <v>0</v>
      </c>
      <c r="Q30" s="31">
        <f t="shared" si="6"/>
        <v>0</v>
      </c>
      <c r="R30" s="325">
        <f t="shared" si="7"/>
        <v>0</v>
      </c>
      <c r="S30" s="453"/>
      <c r="T30" s="32">
        <f t="shared" si="0"/>
        <v>0</v>
      </c>
      <c r="U30" s="465"/>
      <c r="V30" s="33">
        <f t="shared" si="8"/>
        <v>0</v>
      </c>
      <c r="W30" s="134">
        <f t="shared" si="9"/>
        <v>0</v>
      </c>
      <c r="X30" s="134">
        <f t="shared" si="10"/>
        <v>0</v>
      </c>
    </row>
    <row r="31" spans="1:24" ht="14.4" customHeight="1" thickBot="1">
      <c r="A31" s="149" t="s">
        <v>5</v>
      </c>
      <c r="B31" s="150" t="s">
        <v>156</v>
      </c>
      <c r="C31" s="151">
        <v>3</v>
      </c>
      <c r="D31" s="152" t="s">
        <v>132</v>
      </c>
      <c r="E31" s="153"/>
      <c r="F31" s="154"/>
      <c r="G31" s="154"/>
      <c r="H31" s="419">
        <v>37</v>
      </c>
      <c r="I31" s="419">
        <f t="shared" si="1"/>
        <v>0</v>
      </c>
      <c r="J31" s="154"/>
      <c r="K31" s="431">
        <v>1</v>
      </c>
      <c r="L31" s="431">
        <f t="shared" si="2"/>
        <v>0</v>
      </c>
      <c r="M31" s="443">
        <f t="shared" si="3"/>
        <v>0</v>
      </c>
      <c r="N31" s="155">
        <f t="shared" si="4"/>
        <v>36</v>
      </c>
      <c r="O31" s="287"/>
      <c r="P31" s="156">
        <f t="shared" si="5"/>
        <v>0</v>
      </c>
      <c r="Q31" s="157">
        <f t="shared" si="6"/>
        <v>0</v>
      </c>
      <c r="R31" s="328">
        <f t="shared" si="7"/>
        <v>0</v>
      </c>
      <c r="S31" s="454"/>
      <c r="T31" s="158">
        <f t="shared" si="0"/>
        <v>0</v>
      </c>
      <c r="U31" s="466"/>
      <c r="V31" s="159">
        <f t="shared" si="8"/>
        <v>0</v>
      </c>
      <c r="W31" s="135">
        <f t="shared" si="9"/>
        <v>0</v>
      </c>
      <c r="X31" s="135">
        <f t="shared" si="10"/>
        <v>0</v>
      </c>
    </row>
    <row r="32" spans="1:24" ht="13.8" customHeight="1">
      <c r="A32" s="136" t="s">
        <v>5</v>
      </c>
      <c r="B32" s="137" t="s">
        <v>142</v>
      </c>
      <c r="C32" s="138">
        <v>4</v>
      </c>
      <c r="D32" s="139" t="s">
        <v>135</v>
      </c>
      <c r="E32" s="140"/>
      <c r="F32" s="141"/>
      <c r="G32" s="141"/>
      <c r="H32" s="417">
        <v>94</v>
      </c>
      <c r="I32" s="417">
        <f t="shared" si="1"/>
        <v>0</v>
      </c>
      <c r="J32" s="141"/>
      <c r="K32" s="429">
        <v>2</v>
      </c>
      <c r="L32" s="429">
        <f t="shared" si="2"/>
        <v>0</v>
      </c>
      <c r="M32" s="441">
        <f t="shared" si="3"/>
        <v>0</v>
      </c>
      <c r="N32" s="142">
        <f t="shared" si="4"/>
        <v>92</v>
      </c>
      <c r="O32" s="286"/>
      <c r="P32" s="143">
        <f t="shared" si="5"/>
        <v>0</v>
      </c>
      <c r="Q32" s="144">
        <f t="shared" si="6"/>
        <v>0</v>
      </c>
      <c r="R32" s="324">
        <f t="shared" si="7"/>
        <v>0</v>
      </c>
      <c r="S32" s="455"/>
      <c r="T32" s="146">
        <f t="shared" si="0"/>
        <v>0</v>
      </c>
      <c r="U32" s="467"/>
      <c r="V32" s="147">
        <f t="shared" si="8"/>
        <v>0</v>
      </c>
      <c r="W32" s="133">
        <f t="shared" si="9"/>
        <v>0</v>
      </c>
      <c r="X32" s="133">
        <f t="shared" si="10"/>
        <v>0</v>
      </c>
    </row>
    <row r="33" spans="1:24" ht="13.8" customHeight="1">
      <c r="A33" s="148" t="s">
        <v>5</v>
      </c>
      <c r="B33" s="61" t="s">
        <v>143</v>
      </c>
      <c r="C33" s="92">
        <v>4</v>
      </c>
      <c r="D33" s="62" t="s">
        <v>135</v>
      </c>
      <c r="E33" s="27"/>
      <c r="F33" s="28"/>
      <c r="G33" s="28"/>
      <c r="H33" s="418">
        <v>57</v>
      </c>
      <c r="I33" s="418">
        <f t="shared" si="1"/>
        <v>0</v>
      </c>
      <c r="J33" s="28"/>
      <c r="K33" s="430">
        <v>1</v>
      </c>
      <c r="L33" s="430">
        <f t="shared" si="2"/>
        <v>0</v>
      </c>
      <c r="M33" s="442">
        <f t="shared" si="3"/>
        <v>0</v>
      </c>
      <c r="N33" s="29">
        <f t="shared" si="4"/>
        <v>56</v>
      </c>
      <c r="O33" s="278"/>
      <c r="P33" s="30">
        <f t="shared" si="5"/>
        <v>0</v>
      </c>
      <c r="Q33" s="31">
        <f t="shared" si="6"/>
        <v>0</v>
      </c>
      <c r="R33" s="325">
        <f t="shared" si="7"/>
        <v>0</v>
      </c>
      <c r="S33" s="453"/>
      <c r="T33" s="32">
        <f t="shared" si="0"/>
        <v>0</v>
      </c>
      <c r="U33" s="465"/>
      <c r="V33" s="33">
        <f t="shared" si="8"/>
        <v>0</v>
      </c>
      <c r="W33" s="134">
        <f t="shared" si="9"/>
        <v>0</v>
      </c>
      <c r="X33" s="134">
        <f t="shared" si="10"/>
        <v>0</v>
      </c>
    </row>
    <row r="34" spans="1:24" ht="13.8" customHeight="1">
      <c r="A34" s="148" t="s">
        <v>5</v>
      </c>
      <c r="B34" s="61" t="s">
        <v>144</v>
      </c>
      <c r="C34" s="92">
        <v>4</v>
      </c>
      <c r="D34" s="62" t="s">
        <v>135</v>
      </c>
      <c r="E34" s="27"/>
      <c r="F34" s="28"/>
      <c r="G34" s="28"/>
      <c r="H34" s="418">
        <v>83</v>
      </c>
      <c r="I34" s="418">
        <f t="shared" si="1"/>
        <v>0</v>
      </c>
      <c r="J34" s="28"/>
      <c r="K34" s="430">
        <v>2</v>
      </c>
      <c r="L34" s="430">
        <f t="shared" si="2"/>
        <v>0</v>
      </c>
      <c r="M34" s="442">
        <f t="shared" si="3"/>
        <v>0</v>
      </c>
      <c r="N34" s="29">
        <f t="shared" si="4"/>
        <v>81</v>
      </c>
      <c r="O34" s="278"/>
      <c r="P34" s="30">
        <f t="shared" si="5"/>
        <v>0</v>
      </c>
      <c r="Q34" s="31">
        <f t="shared" si="6"/>
        <v>0</v>
      </c>
      <c r="R34" s="325">
        <f t="shared" si="7"/>
        <v>0</v>
      </c>
      <c r="S34" s="453"/>
      <c r="T34" s="32">
        <f t="shared" si="0"/>
        <v>0</v>
      </c>
      <c r="U34" s="465"/>
      <c r="V34" s="33">
        <f t="shared" si="8"/>
        <v>0</v>
      </c>
      <c r="W34" s="134">
        <f t="shared" si="9"/>
        <v>0</v>
      </c>
      <c r="X34" s="134">
        <f t="shared" si="10"/>
        <v>0</v>
      </c>
    </row>
    <row r="35" spans="1:24" ht="13.8" customHeight="1">
      <c r="A35" s="148" t="s">
        <v>5</v>
      </c>
      <c r="B35" s="61" t="s">
        <v>145</v>
      </c>
      <c r="C35" s="92">
        <v>4</v>
      </c>
      <c r="D35" s="62" t="s">
        <v>135</v>
      </c>
      <c r="E35" s="27"/>
      <c r="F35" s="28"/>
      <c r="G35" s="28"/>
      <c r="H35" s="418">
        <v>115</v>
      </c>
      <c r="I35" s="418">
        <f t="shared" si="1"/>
        <v>0</v>
      </c>
      <c r="J35" s="28"/>
      <c r="K35" s="430">
        <v>3</v>
      </c>
      <c r="L35" s="430">
        <f t="shared" si="2"/>
        <v>0</v>
      </c>
      <c r="M35" s="442">
        <f t="shared" si="3"/>
        <v>0</v>
      </c>
      <c r="N35" s="29">
        <f t="shared" si="4"/>
        <v>112</v>
      </c>
      <c r="O35" s="278"/>
      <c r="P35" s="30">
        <f t="shared" si="5"/>
        <v>0</v>
      </c>
      <c r="Q35" s="31">
        <f t="shared" si="6"/>
        <v>0</v>
      </c>
      <c r="R35" s="325">
        <f t="shared" si="7"/>
        <v>0</v>
      </c>
      <c r="S35" s="453"/>
      <c r="T35" s="32">
        <f t="shared" si="0"/>
        <v>0</v>
      </c>
      <c r="U35" s="465"/>
      <c r="V35" s="33">
        <f t="shared" si="8"/>
        <v>0</v>
      </c>
      <c r="W35" s="134">
        <f t="shared" si="9"/>
        <v>0</v>
      </c>
      <c r="X35" s="134">
        <f t="shared" si="10"/>
        <v>0</v>
      </c>
    </row>
    <row r="36" spans="1:24" ht="13.8" customHeight="1">
      <c r="A36" s="148" t="s">
        <v>5</v>
      </c>
      <c r="B36" s="98" t="s">
        <v>148</v>
      </c>
      <c r="C36" s="99">
        <v>4</v>
      </c>
      <c r="D36" s="62" t="s">
        <v>135</v>
      </c>
      <c r="E36" s="27"/>
      <c r="F36" s="28"/>
      <c r="G36" s="28"/>
      <c r="H36" s="418">
        <v>77</v>
      </c>
      <c r="I36" s="418">
        <f t="shared" si="1"/>
        <v>0</v>
      </c>
      <c r="J36" s="28"/>
      <c r="K36" s="430">
        <v>2</v>
      </c>
      <c r="L36" s="430">
        <f t="shared" si="2"/>
        <v>0</v>
      </c>
      <c r="M36" s="442">
        <f t="shared" si="3"/>
        <v>0</v>
      </c>
      <c r="N36" s="295">
        <f t="shared" si="4"/>
        <v>75</v>
      </c>
      <c r="O36" s="296">
        <v>0</v>
      </c>
      <c r="P36" s="100">
        <f t="shared" si="5"/>
        <v>0</v>
      </c>
      <c r="Q36" s="100">
        <f t="shared" si="6"/>
        <v>0</v>
      </c>
      <c r="R36" s="327">
        <f t="shared" si="7"/>
        <v>0</v>
      </c>
      <c r="S36" s="453"/>
      <c r="T36" s="100">
        <f t="shared" si="0"/>
        <v>0</v>
      </c>
      <c r="U36" s="465"/>
      <c r="V36" s="106">
        <f t="shared" si="8"/>
        <v>0</v>
      </c>
      <c r="W36" s="306">
        <f t="shared" si="9"/>
        <v>0</v>
      </c>
      <c r="X36" s="306">
        <f t="shared" si="10"/>
        <v>0</v>
      </c>
    </row>
    <row r="37" spans="1:24" ht="13.8" customHeight="1">
      <c r="A37" s="148" t="s">
        <v>5</v>
      </c>
      <c r="B37" s="98" t="s">
        <v>149</v>
      </c>
      <c r="C37" s="99">
        <v>4</v>
      </c>
      <c r="D37" s="62" t="s">
        <v>133</v>
      </c>
      <c r="E37" s="27"/>
      <c r="F37" s="28"/>
      <c r="G37" s="28"/>
      <c r="H37" s="418">
        <v>49</v>
      </c>
      <c r="I37" s="418">
        <f t="shared" si="1"/>
        <v>0</v>
      </c>
      <c r="J37" s="28"/>
      <c r="K37" s="430">
        <v>1</v>
      </c>
      <c r="L37" s="430">
        <f t="shared" si="2"/>
        <v>0</v>
      </c>
      <c r="M37" s="442">
        <f t="shared" si="3"/>
        <v>0</v>
      </c>
      <c r="N37" s="295">
        <f t="shared" si="4"/>
        <v>48</v>
      </c>
      <c r="O37" s="296">
        <v>0</v>
      </c>
      <c r="P37" s="100">
        <f t="shared" si="5"/>
        <v>0</v>
      </c>
      <c r="Q37" s="100">
        <f t="shared" si="6"/>
        <v>0</v>
      </c>
      <c r="R37" s="327">
        <f t="shared" si="7"/>
        <v>0</v>
      </c>
      <c r="S37" s="453"/>
      <c r="T37" s="100">
        <f t="shared" ref="T37:T68" si="11">S37*H37</f>
        <v>0</v>
      </c>
      <c r="U37" s="465"/>
      <c r="V37" s="106">
        <f t="shared" si="8"/>
        <v>0</v>
      </c>
      <c r="W37" s="306">
        <f t="shared" si="9"/>
        <v>0</v>
      </c>
      <c r="X37" s="306">
        <f t="shared" si="10"/>
        <v>0</v>
      </c>
    </row>
    <row r="38" spans="1:24" ht="13.8" customHeight="1">
      <c r="A38" s="148" t="s">
        <v>5</v>
      </c>
      <c r="B38" s="61" t="s">
        <v>150</v>
      </c>
      <c r="C38" s="92">
        <v>4</v>
      </c>
      <c r="D38" s="62" t="s">
        <v>133</v>
      </c>
      <c r="E38" s="27"/>
      <c r="F38" s="28"/>
      <c r="G38" s="28"/>
      <c r="H38" s="418">
        <v>85</v>
      </c>
      <c r="I38" s="418">
        <f t="shared" si="1"/>
        <v>0</v>
      </c>
      <c r="J38" s="28"/>
      <c r="K38" s="430">
        <v>2</v>
      </c>
      <c r="L38" s="430">
        <f t="shared" si="2"/>
        <v>0</v>
      </c>
      <c r="M38" s="442">
        <f t="shared" si="3"/>
        <v>0</v>
      </c>
      <c r="N38" s="29">
        <f t="shared" si="4"/>
        <v>83</v>
      </c>
      <c r="O38" s="278"/>
      <c r="P38" s="30">
        <f t="shared" si="5"/>
        <v>0</v>
      </c>
      <c r="Q38" s="31">
        <f t="shared" si="6"/>
        <v>0</v>
      </c>
      <c r="R38" s="325">
        <f t="shared" si="7"/>
        <v>0</v>
      </c>
      <c r="S38" s="453"/>
      <c r="T38" s="32">
        <f t="shared" si="11"/>
        <v>0</v>
      </c>
      <c r="U38" s="465"/>
      <c r="V38" s="33">
        <f t="shared" si="8"/>
        <v>0</v>
      </c>
      <c r="W38" s="134">
        <f t="shared" si="9"/>
        <v>0</v>
      </c>
      <c r="X38" s="134">
        <f t="shared" si="10"/>
        <v>0</v>
      </c>
    </row>
    <row r="39" spans="1:24" ht="13.8" customHeight="1">
      <c r="A39" s="148" t="s">
        <v>5</v>
      </c>
      <c r="B39" s="61" t="s">
        <v>151</v>
      </c>
      <c r="C39" s="92">
        <v>4</v>
      </c>
      <c r="D39" s="62" t="s">
        <v>133</v>
      </c>
      <c r="E39" s="27"/>
      <c r="F39" s="28"/>
      <c r="G39" s="28"/>
      <c r="H39" s="418">
        <v>24</v>
      </c>
      <c r="I39" s="418">
        <f t="shared" si="1"/>
        <v>0</v>
      </c>
      <c r="J39" s="28"/>
      <c r="K39" s="430">
        <v>1</v>
      </c>
      <c r="L39" s="430">
        <f t="shared" si="2"/>
        <v>0</v>
      </c>
      <c r="M39" s="442">
        <f t="shared" si="3"/>
        <v>0</v>
      </c>
      <c r="N39" s="29">
        <f t="shared" si="4"/>
        <v>23</v>
      </c>
      <c r="O39" s="278"/>
      <c r="P39" s="30">
        <f t="shared" si="5"/>
        <v>0</v>
      </c>
      <c r="Q39" s="31">
        <f t="shared" si="6"/>
        <v>0</v>
      </c>
      <c r="R39" s="325">
        <f t="shared" si="7"/>
        <v>0</v>
      </c>
      <c r="S39" s="453"/>
      <c r="T39" s="32">
        <f t="shared" si="11"/>
        <v>0</v>
      </c>
      <c r="U39" s="465"/>
      <c r="V39" s="33">
        <f t="shared" si="8"/>
        <v>0</v>
      </c>
      <c r="W39" s="134">
        <f t="shared" si="9"/>
        <v>0</v>
      </c>
      <c r="X39" s="134">
        <f t="shared" si="10"/>
        <v>0</v>
      </c>
    </row>
    <row r="40" spans="1:24" ht="13.8" customHeight="1">
      <c r="A40" s="148" t="s">
        <v>5</v>
      </c>
      <c r="B40" s="61" t="s">
        <v>152</v>
      </c>
      <c r="C40" s="92">
        <v>4</v>
      </c>
      <c r="D40" s="62" t="s">
        <v>133</v>
      </c>
      <c r="E40" s="27"/>
      <c r="F40" s="28"/>
      <c r="G40" s="28"/>
      <c r="H40" s="418">
        <v>69</v>
      </c>
      <c r="I40" s="418">
        <f t="shared" si="1"/>
        <v>0</v>
      </c>
      <c r="J40" s="28"/>
      <c r="K40" s="430">
        <v>2</v>
      </c>
      <c r="L40" s="430">
        <f t="shared" si="2"/>
        <v>0</v>
      </c>
      <c r="M40" s="442">
        <f t="shared" si="3"/>
        <v>0</v>
      </c>
      <c r="N40" s="29">
        <f t="shared" si="4"/>
        <v>67</v>
      </c>
      <c r="O40" s="278"/>
      <c r="P40" s="30">
        <f t="shared" si="5"/>
        <v>0</v>
      </c>
      <c r="Q40" s="31">
        <f t="shared" si="6"/>
        <v>0</v>
      </c>
      <c r="R40" s="325">
        <f t="shared" si="7"/>
        <v>0</v>
      </c>
      <c r="S40" s="453"/>
      <c r="T40" s="32">
        <f t="shared" si="11"/>
        <v>0</v>
      </c>
      <c r="U40" s="465"/>
      <c r="V40" s="33">
        <f t="shared" si="8"/>
        <v>0</v>
      </c>
      <c r="W40" s="134">
        <f t="shared" si="9"/>
        <v>0</v>
      </c>
      <c r="X40" s="134">
        <f t="shared" si="10"/>
        <v>0</v>
      </c>
    </row>
    <row r="41" spans="1:24" ht="13.8" customHeight="1">
      <c r="A41" s="148" t="s">
        <v>5</v>
      </c>
      <c r="B41" s="61" t="s">
        <v>153</v>
      </c>
      <c r="C41" s="92">
        <v>4</v>
      </c>
      <c r="D41" s="62" t="s">
        <v>133</v>
      </c>
      <c r="E41" s="27"/>
      <c r="F41" s="28"/>
      <c r="G41" s="28"/>
      <c r="H41" s="418">
        <v>37</v>
      </c>
      <c r="I41" s="418">
        <f t="shared" si="1"/>
        <v>0</v>
      </c>
      <c r="J41" s="28"/>
      <c r="K41" s="430">
        <v>1</v>
      </c>
      <c r="L41" s="430">
        <f t="shared" si="2"/>
        <v>0</v>
      </c>
      <c r="M41" s="442">
        <f t="shared" si="3"/>
        <v>0</v>
      </c>
      <c r="N41" s="29">
        <f t="shared" si="4"/>
        <v>36</v>
      </c>
      <c r="O41" s="278"/>
      <c r="P41" s="30">
        <f t="shared" si="5"/>
        <v>0</v>
      </c>
      <c r="Q41" s="31">
        <f t="shared" si="6"/>
        <v>0</v>
      </c>
      <c r="R41" s="325">
        <f t="shared" si="7"/>
        <v>0</v>
      </c>
      <c r="S41" s="453"/>
      <c r="T41" s="32">
        <f t="shared" si="11"/>
        <v>0</v>
      </c>
      <c r="U41" s="465"/>
      <c r="V41" s="33">
        <f t="shared" si="8"/>
        <v>0</v>
      </c>
      <c r="W41" s="134">
        <f t="shared" si="9"/>
        <v>0</v>
      </c>
      <c r="X41" s="134">
        <f t="shared" si="10"/>
        <v>0</v>
      </c>
    </row>
    <row r="42" spans="1:24" ht="13.8" customHeight="1">
      <c r="A42" s="148" t="s">
        <v>5</v>
      </c>
      <c r="B42" s="98" t="s">
        <v>154</v>
      </c>
      <c r="C42" s="99">
        <v>4</v>
      </c>
      <c r="D42" s="62" t="s">
        <v>133</v>
      </c>
      <c r="E42" s="27"/>
      <c r="F42" s="28"/>
      <c r="G42" s="28"/>
      <c r="H42" s="418">
        <v>122</v>
      </c>
      <c r="I42" s="418">
        <f t="shared" si="1"/>
        <v>0</v>
      </c>
      <c r="J42" s="28"/>
      <c r="K42" s="430">
        <v>3</v>
      </c>
      <c r="L42" s="430">
        <f t="shared" si="2"/>
        <v>0</v>
      </c>
      <c r="M42" s="442">
        <f t="shared" si="3"/>
        <v>0</v>
      </c>
      <c r="N42" s="295">
        <f t="shared" si="4"/>
        <v>119</v>
      </c>
      <c r="O42" s="296">
        <v>0</v>
      </c>
      <c r="P42" s="100">
        <f t="shared" si="5"/>
        <v>0</v>
      </c>
      <c r="Q42" s="100">
        <f t="shared" si="6"/>
        <v>0</v>
      </c>
      <c r="R42" s="327">
        <f t="shared" si="7"/>
        <v>0</v>
      </c>
      <c r="S42" s="453"/>
      <c r="T42" s="100">
        <f t="shared" si="11"/>
        <v>0</v>
      </c>
      <c r="U42" s="465"/>
      <c r="V42" s="106">
        <f t="shared" si="8"/>
        <v>0</v>
      </c>
      <c r="W42" s="306">
        <f t="shared" si="9"/>
        <v>0</v>
      </c>
      <c r="X42" s="306">
        <f t="shared" si="10"/>
        <v>0</v>
      </c>
    </row>
    <row r="43" spans="1:24" ht="13.8" customHeight="1">
      <c r="A43" s="148" t="s">
        <v>5</v>
      </c>
      <c r="B43" s="61" t="s">
        <v>155</v>
      </c>
      <c r="C43" s="92">
        <v>4</v>
      </c>
      <c r="D43" s="62" t="s">
        <v>133</v>
      </c>
      <c r="E43" s="27"/>
      <c r="F43" s="28"/>
      <c r="G43" s="28"/>
      <c r="H43" s="418">
        <v>75</v>
      </c>
      <c r="I43" s="418">
        <f t="shared" si="1"/>
        <v>0</v>
      </c>
      <c r="J43" s="28"/>
      <c r="K43" s="430">
        <v>2</v>
      </c>
      <c r="L43" s="430">
        <f t="shared" si="2"/>
        <v>0</v>
      </c>
      <c r="M43" s="442">
        <f t="shared" si="3"/>
        <v>0</v>
      </c>
      <c r="N43" s="29">
        <f t="shared" si="4"/>
        <v>73</v>
      </c>
      <c r="O43" s="278"/>
      <c r="P43" s="30">
        <f t="shared" si="5"/>
        <v>0</v>
      </c>
      <c r="Q43" s="31">
        <f t="shared" si="6"/>
        <v>0</v>
      </c>
      <c r="R43" s="325">
        <f t="shared" si="7"/>
        <v>0</v>
      </c>
      <c r="S43" s="453"/>
      <c r="T43" s="32">
        <f t="shared" si="11"/>
        <v>0</v>
      </c>
      <c r="U43" s="465"/>
      <c r="V43" s="33">
        <f t="shared" si="8"/>
        <v>0</v>
      </c>
      <c r="W43" s="134">
        <f t="shared" si="9"/>
        <v>0</v>
      </c>
      <c r="X43" s="134">
        <f t="shared" si="10"/>
        <v>0</v>
      </c>
    </row>
    <row r="44" spans="1:24" ht="14.4" customHeight="1" thickBot="1">
      <c r="A44" s="149" t="s">
        <v>5</v>
      </c>
      <c r="B44" s="150" t="s">
        <v>156</v>
      </c>
      <c r="C44" s="151">
        <v>4</v>
      </c>
      <c r="D44" s="152" t="s">
        <v>133</v>
      </c>
      <c r="E44" s="153"/>
      <c r="F44" s="154"/>
      <c r="G44" s="154"/>
      <c r="H44" s="419">
        <v>28</v>
      </c>
      <c r="I44" s="419">
        <f t="shared" si="1"/>
        <v>0</v>
      </c>
      <c r="J44" s="154"/>
      <c r="K44" s="431">
        <v>1</v>
      </c>
      <c r="L44" s="431">
        <f t="shared" si="2"/>
        <v>0</v>
      </c>
      <c r="M44" s="443">
        <f t="shared" si="3"/>
        <v>0</v>
      </c>
      <c r="N44" s="155">
        <f t="shared" si="4"/>
        <v>27</v>
      </c>
      <c r="O44" s="287"/>
      <c r="P44" s="156">
        <f t="shared" si="5"/>
        <v>0</v>
      </c>
      <c r="Q44" s="157">
        <f t="shared" si="6"/>
        <v>0</v>
      </c>
      <c r="R44" s="328">
        <f t="shared" si="7"/>
        <v>0</v>
      </c>
      <c r="S44" s="454"/>
      <c r="T44" s="158">
        <f t="shared" si="11"/>
        <v>0</v>
      </c>
      <c r="U44" s="466"/>
      <c r="V44" s="159">
        <f t="shared" si="8"/>
        <v>0</v>
      </c>
      <c r="W44" s="135">
        <f t="shared" si="9"/>
        <v>0</v>
      </c>
      <c r="X44" s="135">
        <f t="shared" si="10"/>
        <v>0</v>
      </c>
    </row>
    <row r="45" spans="1:24" ht="13.8" customHeight="1">
      <c r="A45" s="136" t="s">
        <v>5</v>
      </c>
      <c r="B45" s="137" t="s">
        <v>142</v>
      </c>
      <c r="C45" s="138">
        <v>5</v>
      </c>
      <c r="D45" s="139" t="s">
        <v>136</v>
      </c>
      <c r="E45" s="140"/>
      <c r="F45" s="141"/>
      <c r="G45" s="141"/>
      <c r="H45" s="417">
        <v>59</v>
      </c>
      <c r="I45" s="417">
        <f t="shared" si="1"/>
        <v>0</v>
      </c>
      <c r="J45" s="141"/>
      <c r="K45" s="429">
        <v>0</v>
      </c>
      <c r="L45" s="429">
        <f t="shared" si="2"/>
        <v>0</v>
      </c>
      <c r="M45" s="441">
        <f t="shared" si="3"/>
        <v>0</v>
      </c>
      <c r="N45" s="142">
        <f t="shared" si="4"/>
        <v>59</v>
      </c>
      <c r="O45" s="286"/>
      <c r="P45" s="143">
        <f t="shared" si="5"/>
        <v>0</v>
      </c>
      <c r="Q45" s="144">
        <f t="shared" si="6"/>
        <v>0</v>
      </c>
      <c r="R45" s="324">
        <f t="shared" si="7"/>
        <v>0</v>
      </c>
      <c r="S45" s="455"/>
      <c r="T45" s="146">
        <f t="shared" si="11"/>
        <v>0</v>
      </c>
      <c r="U45" s="467"/>
      <c r="V45" s="147">
        <f t="shared" si="8"/>
        <v>0</v>
      </c>
      <c r="W45" s="133">
        <f t="shared" si="9"/>
        <v>0</v>
      </c>
      <c r="X45" s="133">
        <f t="shared" si="10"/>
        <v>0</v>
      </c>
    </row>
    <row r="46" spans="1:24" ht="13.8" customHeight="1">
      <c r="A46" s="148" t="s">
        <v>5</v>
      </c>
      <c r="B46" s="61" t="s">
        <v>143</v>
      </c>
      <c r="C46" s="92">
        <v>5</v>
      </c>
      <c r="D46" s="62" t="s">
        <v>136</v>
      </c>
      <c r="E46" s="27"/>
      <c r="F46" s="28"/>
      <c r="G46" s="28"/>
      <c r="H46" s="418">
        <v>47</v>
      </c>
      <c r="I46" s="418">
        <f t="shared" si="1"/>
        <v>0</v>
      </c>
      <c r="J46" s="28"/>
      <c r="K46" s="430">
        <v>0</v>
      </c>
      <c r="L46" s="430">
        <f t="shared" si="2"/>
        <v>0</v>
      </c>
      <c r="M46" s="442">
        <f t="shared" si="3"/>
        <v>0</v>
      </c>
      <c r="N46" s="29">
        <f t="shared" si="4"/>
        <v>47</v>
      </c>
      <c r="O46" s="278"/>
      <c r="P46" s="30">
        <f t="shared" si="5"/>
        <v>0</v>
      </c>
      <c r="Q46" s="31">
        <f t="shared" si="6"/>
        <v>0</v>
      </c>
      <c r="R46" s="325">
        <f t="shared" si="7"/>
        <v>0</v>
      </c>
      <c r="S46" s="453"/>
      <c r="T46" s="32">
        <f t="shared" si="11"/>
        <v>0</v>
      </c>
      <c r="U46" s="465"/>
      <c r="V46" s="33">
        <f t="shared" si="8"/>
        <v>0</v>
      </c>
      <c r="W46" s="134">
        <f t="shared" si="9"/>
        <v>0</v>
      </c>
      <c r="X46" s="134">
        <f t="shared" si="10"/>
        <v>0</v>
      </c>
    </row>
    <row r="47" spans="1:24" ht="13.8" customHeight="1">
      <c r="A47" s="148" t="s">
        <v>5</v>
      </c>
      <c r="B47" s="61" t="s">
        <v>144</v>
      </c>
      <c r="C47" s="92">
        <v>5</v>
      </c>
      <c r="D47" s="62" t="s">
        <v>136</v>
      </c>
      <c r="E47" s="27"/>
      <c r="F47" s="28"/>
      <c r="G47" s="28"/>
      <c r="H47" s="418">
        <v>68</v>
      </c>
      <c r="I47" s="418">
        <f t="shared" si="1"/>
        <v>0</v>
      </c>
      <c r="J47" s="28"/>
      <c r="K47" s="430">
        <v>0</v>
      </c>
      <c r="L47" s="430">
        <f t="shared" si="2"/>
        <v>0</v>
      </c>
      <c r="M47" s="442">
        <f t="shared" si="3"/>
        <v>0</v>
      </c>
      <c r="N47" s="29">
        <f t="shared" si="4"/>
        <v>68</v>
      </c>
      <c r="O47" s="278"/>
      <c r="P47" s="30">
        <f t="shared" si="5"/>
        <v>0</v>
      </c>
      <c r="Q47" s="31">
        <f t="shared" si="6"/>
        <v>0</v>
      </c>
      <c r="R47" s="325">
        <f t="shared" si="7"/>
        <v>0</v>
      </c>
      <c r="S47" s="453"/>
      <c r="T47" s="32">
        <f t="shared" si="11"/>
        <v>0</v>
      </c>
      <c r="U47" s="465"/>
      <c r="V47" s="33">
        <f t="shared" si="8"/>
        <v>0</v>
      </c>
      <c r="W47" s="134">
        <f t="shared" si="9"/>
        <v>0</v>
      </c>
      <c r="X47" s="134">
        <f t="shared" si="10"/>
        <v>0</v>
      </c>
    </row>
    <row r="48" spans="1:24" ht="13.8" customHeight="1">
      <c r="A48" s="148" t="s">
        <v>5</v>
      </c>
      <c r="B48" s="61" t="s">
        <v>145</v>
      </c>
      <c r="C48" s="92">
        <v>5</v>
      </c>
      <c r="D48" s="62" t="s">
        <v>136</v>
      </c>
      <c r="E48" s="27"/>
      <c r="F48" s="28"/>
      <c r="G48" s="28"/>
      <c r="H48" s="418">
        <v>103</v>
      </c>
      <c r="I48" s="418">
        <f t="shared" si="1"/>
        <v>0</v>
      </c>
      <c r="J48" s="28"/>
      <c r="K48" s="430">
        <v>0</v>
      </c>
      <c r="L48" s="430">
        <f t="shared" si="2"/>
        <v>0</v>
      </c>
      <c r="M48" s="442">
        <f t="shared" si="3"/>
        <v>0</v>
      </c>
      <c r="N48" s="29">
        <f t="shared" si="4"/>
        <v>103</v>
      </c>
      <c r="O48" s="278"/>
      <c r="P48" s="30">
        <f t="shared" si="5"/>
        <v>0</v>
      </c>
      <c r="Q48" s="31">
        <f t="shared" si="6"/>
        <v>0</v>
      </c>
      <c r="R48" s="325">
        <f t="shared" si="7"/>
        <v>0</v>
      </c>
      <c r="S48" s="453"/>
      <c r="T48" s="32">
        <f t="shared" si="11"/>
        <v>0</v>
      </c>
      <c r="U48" s="465"/>
      <c r="V48" s="33">
        <f t="shared" si="8"/>
        <v>0</v>
      </c>
      <c r="W48" s="134">
        <f t="shared" si="9"/>
        <v>0</v>
      </c>
      <c r="X48" s="134">
        <f t="shared" si="10"/>
        <v>0</v>
      </c>
    </row>
    <row r="49" spans="1:24" ht="13.8" customHeight="1">
      <c r="A49" s="148" t="s">
        <v>5</v>
      </c>
      <c r="B49" s="98" t="s">
        <v>148</v>
      </c>
      <c r="C49" s="99">
        <v>5</v>
      </c>
      <c r="D49" s="62" t="s">
        <v>136</v>
      </c>
      <c r="E49" s="27"/>
      <c r="F49" s="28"/>
      <c r="G49" s="28"/>
      <c r="H49" s="418">
        <v>64</v>
      </c>
      <c r="I49" s="418">
        <f t="shared" si="1"/>
        <v>0</v>
      </c>
      <c r="J49" s="28"/>
      <c r="K49" s="430">
        <v>0</v>
      </c>
      <c r="L49" s="430">
        <f t="shared" si="2"/>
        <v>0</v>
      </c>
      <c r="M49" s="442">
        <f t="shared" si="3"/>
        <v>0</v>
      </c>
      <c r="N49" s="295">
        <f t="shared" si="4"/>
        <v>64</v>
      </c>
      <c r="O49" s="296">
        <v>0</v>
      </c>
      <c r="P49" s="100">
        <f t="shared" si="5"/>
        <v>0</v>
      </c>
      <c r="Q49" s="100">
        <f t="shared" si="6"/>
        <v>0</v>
      </c>
      <c r="R49" s="327">
        <f t="shared" si="7"/>
        <v>0</v>
      </c>
      <c r="S49" s="453"/>
      <c r="T49" s="100">
        <f t="shared" si="11"/>
        <v>0</v>
      </c>
      <c r="U49" s="465"/>
      <c r="V49" s="106">
        <f t="shared" si="8"/>
        <v>0</v>
      </c>
      <c r="W49" s="306">
        <f t="shared" si="9"/>
        <v>0</v>
      </c>
      <c r="X49" s="306">
        <f t="shared" si="10"/>
        <v>0</v>
      </c>
    </row>
    <row r="50" spans="1:24" ht="13.8" customHeight="1">
      <c r="A50" s="148" t="s">
        <v>5</v>
      </c>
      <c r="B50" s="98" t="s">
        <v>149</v>
      </c>
      <c r="C50" s="99">
        <v>5</v>
      </c>
      <c r="D50" s="62" t="s">
        <v>136</v>
      </c>
      <c r="E50" s="27"/>
      <c r="F50" s="28"/>
      <c r="G50" s="28"/>
      <c r="H50" s="418">
        <v>38</v>
      </c>
      <c r="I50" s="418">
        <f t="shared" si="1"/>
        <v>0</v>
      </c>
      <c r="J50" s="28"/>
      <c r="K50" s="430">
        <v>0</v>
      </c>
      <c r="L50" s="430">
        <f t="shared" si="2"/>
        <v>0</v>
      </c>
      <c r="M50" s="442">
        <f t="shared" si="3"/>
        <v>0</v>
      </c>
      <c r="N50" s="295">
        <f t="shared" si="4"/>
        <v>38</v>
      </c>
      <c r="O50" s="296">
        <v>0</v>
      </c>
      <c r="P50" s="100">
        <f t="shared" si="5"/>
        <v>0</v>
      </c>
      <c r="Q50" s="100">
        <f t="shared" si="6"/>
        <v>0</v>
      </c>
      <c r="R50" s="327">
        <f t="shared" si="7"/>
        <v>0</v>
      </c>
      <c r="S50" s="453"/>
      <c r="T50" s="100">
        <f t="shared" si="11"/>
        <v>0</v>
      </c>
      <c r="U50" s="465"/>
      <c r="V50" s="106">
        <f t="shared" si="8"/>
        <v>0</v>
      </c>
      <c r="W50" s="306">
        <f t="shared" si="9"/>
        <v>0</v>
      </c>
      <c r="X50" s="306">
        <f t="shared" si="10"/>
        <v>0</v>
      </c>
    </row>
    <row r="51" spans="1:24" ht="13.8" customHeight="1">
      <c r="A51" s="148" t="s">
        <v>5</v>
      </c>
      <c r="B51" s="96" t="s">
        <v>150</v>
      </c>
      <c r="C51" s="97">
        <v>5</v>
      </c>
      <c r="D51" s="62" t="s">
        <v>134</v>
      </c>
      <c r="E51" s="27"/>
      <c r="F51" s="28"/>
      <c r="G51" s="28"/>
      <c r="H51" s="418">
        <v>65</v>
      </c>
      <c r="I51" s="418">
        <f t="shared" si="1"/>
        <v>0</v>
      </c>
      <c r="J51" s="28"/>
      <c r="K51" s="430">
        <v>0</v>
      </c>
      <c r="L51" s="430">
        <f t="shared" si="2"/>
        <v>0</v>
      </c>
      <c r="M51" s="442">
        <f t="shared" si="3"/>
        <v>0</v>
      </c>
      <c r="N51" s="29">
        <f t="shared" si="4"/>
        <v>65</v>
      </c>
      <c r="O51" s="278"/>
      <c r="P51" s="30">
        <f t="shared" si="5"/>
        <v>0</v>
      </c>
      <c r="Q51" s="31">
        <f t="shared" si="6"/>
        <v>0</v>
      </c>
      <c r="R51" s="325">
        <f t="shared" si="7"/>
        <v>0</v>
      </c>
      <c r="S51" s="453"/>
      <c r="T51" s="32">
        <f t="shared" si="11"/>
        <v>0</v>
      </c>
      <c r="U51" s="465"/>
      <c r="V51" s="33">
        <f t="shared" si="8"/>
        <v>0</v>
      </c>
      <c r="W51" s="134">
        <f t="shared" si="9"/>
        <v>0</v>
      </c>
      <c r="X51" s="134">
        <f t="shared" si="10"/>
        <v>0</v>
      </c>
    </row>
    <row r="52" spans="1:24" ht="13.8" customHeight="1">
      <c r="A52" s="148" t="s">
        <v>5</v>
      </c>
      <c r="B52" s="96" t="s">
        <v>151</v>
      </c>
      <c r="C52" s="97">
        <v>5</v>
      </c>
      <c r="D52" s="62" t="s">
        <v>134</v>
      </c>
      <c r="E52" s="27"/>
      <c r="F52" s="28"/>
      <c r="G52" s="28"/>
      <c r="H52" s="418">
        <v>17</v>
      </c>
      <c r="I52" s="418">
        <f t="shared" si="1"/>
        <v>0</v>
      </c>
      <c r="J52" s="28"/>
      <c r="K52" s="430">
        <v>0</v>
      </c>
      <c r="L52" s="430">
        <f t="shared" si="2"/>
        <v>0</v>
      </c>
      <c r="M52" s="442">
        <f t="shared" si="3"/>
        <v>0</v>
      </c>
      <c r="N52" s="29">
        <f t="shared" si="4"/>
        <v>17</v>
      </c>
      <c r="O52" s="278"/>
      <c r="P52" s="30">
        <f t="shared" si="5"/>
        <v>0</v>
      </c>
      <c r="Q52" s="31">
        <f t="shared" si="6"/>
        <v>0</v>
      </c>
      <c r="R52" s="325">
        <f t="shared" si="7"/>
        <v>0</v>
      </c>
      <c r="S52" s="453"/>
      <c r="T52" s="32">
        <f t="shared" si="11"/>
        <v>0</v>
      </c>
      <c r="U52" s="465"/>
      <c r="V52" s="33">
        <f t="shared" si="8"/>
        <v>0</v>
      </c>
      <c r="W52" s="134">
        <f t="shared" si="9"/>
        <v>0</v>
      </c>
      <c r="X52" s="134">
        <f t="shared" si="10"/>
        <v>0</v>
      </c>
    </row>
    <row r="53" spans="1:24" ht="13.8" customHeight="1">
      <c r="A53" s="148" t="s">
        <v>5</v>
      </c>
      <c r="B53" s="61" t="s">
        <v>157</v>
      </c>
      <c r="C53" s="92">
        <v>5</v>
      </c>
      <c r="D53" s="62" t="s">
        <v>134</v>
      </c>
      <c r="E53" s="27"/>
      <c r="F53" s="28"/>
      <c r="G53" s="28"/>
      <c r="H53" s="418">
        <v>52</v>
      </c>
      <c r="I53" s="418">
        <f t="shared" si="1"/>
        <v>0</v>
      </c>
      <c r="J53" s="28"/>
      <c r="K53" s="430">
        <v>0</v>
      </c>
      <c r="L53" s="430">
        <f t="shared" si="2"/>
        <v>0</v>
      </c>
      <c r="M53" s="442">
        <f t="shared" si="3"/>
        <v>0</v>
      </c>
      <c r="N53" s="29">
        <f t="shared" si="4"/>
        <v>52</v>
      </c>
      <c r="O53" s="278"/>
      <c r="P53" s="30">
        <f t="shared" si="5"/>
        <v>0</v>
      </c>
      <c r="Q53" s="31">
        <f t="shared" si="6"/>
        <v>0</v>
      </c>
      <c r="R53" s="325">
        <f t="shared" si="7"/>
        <v>0</v>
      </c>
      <c r="S53" s="453"/>
      <c r="T53" s="32">
        <f t="shared" si="11"/>
        <v>0</v>
      </c>
      <c r="U53" s="465"/>
      <c r="V53" s="33">
        <f t="shared" si="8"/>
        <v>0</v>
      </c>
      <c r="W53" s="134">
        <f t="shared" si="9"/>
        <v>0</v>
      </c>
      <c r="X53" s="134">
        <f t="shared" si="10"/>
        <v>0</v>
      </c>
    </row>
    <row r="54" spans="1:24" ht="13.8" customHeight="1">
      <c r="A54" s="148" t="s">
        <v>5</v>
      </c>
      <c r="B54" s="61" t="s">
        <v>158</v>
      </c>
      <c r="C54" s="92">
        <v>5</v>
      </c>
      <c r="D54" s="62" t="s">
        <v>134</v>
      </c>
      <c r="E54" s="27"/>
      <c r="F54" s="28"/>
      <c r="G54" s="28"/>
      <c r="H54" s="418">
        <v>28</v>
      </c>
      <c r="I54" s="418">
        <f t="shared" si="1"/>
        <v>0</v>
      </c>
      <c r="J54" s="28"/>
      <c r="K54" s="430">
        <v>0</v>
      </c>
      <c r="L54" s="430">
        <f t="shared" si="2"/>
        <v>0</v>
      </c>
      <c r="M54" s="442">
        <f t="shared" si="3"/>
        <v>0</v>
      </c>
      <c r="N54" s="29">
        <f t="shared" si="4"/>
        <v>28</v>
      </c>
      <c r="O54" s="278"/>
      <c r="P54" s="30">
        <f t="shared" si="5"/>
        <v>0</v>
      </c>
      <c r="Q54" s="31">
        <f t="shared" si="6"/>
        <v>0</v>
      </c>
      <c r="R54" s="325">
        <f t="shared" si="7"/>
        <v>0</v>
      </c>
      <c r="S54" s="453"/>
      <c r="T54" s="32">
        <f t="shared" si="11"/>
        <v>0</v>
      </c>
      <c r="U54" s="465"/>
      <c r="V54" s="33">
        <f t="shared" si="8"/>
        <v>0</v>
      </c>
      <c r="W54" s="134">
        <f t="shared" si="9"/>
        <v>0</v>
      </c>
      <c r="X54" s="134">
        <f t="shared" si="10"/>
        <v>0</v>
      </c>
    </row>
    <row r="55" spans="1:24" ht="13.8" customHeight="1">
      <c r="A55" s="148" t="s">
        <v>5</v>
      </c>
      <c r="B55" s="98" t="s">
        <v>159</v>
      </c>
      <c r="C55" s="99">
        <v>5</v>
      </c>
      <c r="D55" s="62" t="s">
        <v>134</v>
      </c>
      <c r="E55" s="27"/>
      <c r="F55" s="28"/>
      <c r="G55" s="28"/>
      <c r="H55" s="418">
        <v>75</v>
      </c>
      <c r="I55" s="418">
        <f t="shared" si="1"/>
        <v>0</v>
      </c>
      <c r="J55" s="28"/>
      <c r="K55" s="430">
        <v>0</v>
      </c>
      <c r="L55" s="430">
        <f t="shared" si="2"/>
        <v>0</v>
      </c>
      <c r="M55" s="442">
        <f t="shared" si="3"/>
        <v>0</v>
      </c>
      <c r="N55" s="295">
        <f t="shared" si="4"/>
        <v>75</v>
      </c>
      <c r="O55" s="296">
        <v>0</v>
      </c>
      <c r="P55" s="100">
        <f t="shared" si="5"/>
        <v>0</v>
      </c>
      <c r="Q55" s="100">
        <f t="shared" si="6"/>
        <v>0</v>
      </c>
      <c r="R55" s="327">
        <f t="shared" si="7"/>
        <v>0</v>
      </c>
      <c r="S55" s="453"/>
      <c r="T55" s="100">
        <f t="shared" si="11"/>
        <v>0</v>
      </c>
      <c r="U55" s="465"/>
      <c r="V55" s="106">
        <f t="shared" si="8"/>
        <v>0</v>
      </c>
      <c r="W55" s="306">
        <f t="shared" si="9"/>
        <v>0</v>
      </c>
      <c r="X55" s="306">
        <f t="shared" si="10"/>
        <v>0</v>
      </c>
    </row>
    <row r="56" spans="1:24" ht="13.8" customHeight="1">
      <c r="A56" s="148" t="s">
        <v>5</v>
      </c>
      <c r="B56" s="61" t="s">
        <v>160</v>
      </c>
      <c r="C56" s="92">
        <v>5</v>
      </c>
      <c r="D56" s="62" t="s">
        <v>134</v>
      </c>
      <c r="E56" s="27"/>
      <c r="F56" s="28"/>
      <c r="G56" s="28"/>
      <c r="H56" s="418">
        <v>63</v>
      </c>
      <c r="I56" s="418">
        <f t="shared" si="1"/>
        <v>0</v>
      </c>
      <c r="J56" s="28"/>
      <c r="K56" s="430">
        <v>0</v>
      </c>
      <c r="L56" s="430">
        <f t="shared" si="2"/>
        <v>0</v>
      </c>
      <c r="M56" s="442">
        <f t="shared" si="3"/>
        <v>0</v>
      </c>
      <c r="N56" s="29">
        <f t="shared" si="4"/>
        <v>63</v>
      </c>
      <c r="O56" s="278"/>
      <c r="P56" s="30">
        <f t="shared" si="5"/>
        <v>0</v>
      </c>
      <c r="Q56" s="31">
        <f t="shared" si="6"/>
        <v>0</v>
      </c>
      <c r="R56" s="325">
        <f t="shared" si="7"/>
        <v>0</v>
      </c>
      <c r="S56" s="453"/>
      <c r="T56" s="32">
        <f t="shared" si="11"/>
        <v>0</v>
      </c>
      <c r="U56" s="465"/>
      <c r="V56" s="33">
        <f t="shared" si="8"/>
        <v>0</v>
      </c>
      <c r="W56" s="134">
        <f t="shared" si="9"/>
        <v>0</v>
      </c>
      <c r="X56" s="134">
        <f t="shared" si="10"/>
        <v>0</v>
      </c>
    </row>
    <row r="57" spans="1:24" ht="13.8" customHeight="1">
      <c r="A57" s="148" t="s">
        <v>5</v>
      </c>
      <c r="B57" s="96" t="s">
        <v>161</v>
      </c>
      <c r="C57" s="97">
        <v>5</v>
      </c>
      <c r="D57" s="62" t="s">
        <v>134</v>
      </c>
      <c r="E57" s="27"/>
      <c r="F57" s="28"/>
      <c r="G57" s="28"/>
      <c r="H57" s="418">
        <v>34</v>
      </c>
      <c r="I57" s="418">
        <f t="shared" si="1"/>
        <v>0</v>
      </c>
      <c r="J57" s="28"/>
      <c r="K57" s="430">
        <v>0</v>
      </c>
      <c r="L57" s="430">
        <f t="shared" si="2"/>
        <v>0</v>
      </c>
      <c r="M57" s="442">
        <f t="shared" si="3"/>
        <v>0</v>
      </c>
      <c r="N57" s="29">
        <f t="shared" si="4"/>
        <v>34</v>
      </c>
      <c r="O57" s="278"/>
      <c r="P57" s="30">
        <f t="shared" si="5"/>
        <v>0</v>
      </c>
      <c r="Q57" s="31">
        <f t="shared" si="6"/>
        <v>0</v>
      </c>
      <c r="R57" s="325">
        <f t="shared" si="7"/>
        <v>0</v>
      </c>
      <c r="S57" s="453"/>
      <c r="T57" s="32">
        <f t="shared" si="11"/>
        <v>0</v>
      </c>
      <c r="U57" s="465"/>
      <c r="V57" s="33">
        <f t="shared" si="8"/>
        <v>0</v>
      </c>
      <c r="W57" s="134">
        <f t="shared" si="9"/>
        <v>0</v>
      </c>
      <c r="X57" s="134">
        <f t="shared" si="10"/>
        <v>0</v>
      </c>
    </row>
    <row r="58" spans="1:24" ht="13.8" customHeight="1">
      <c r="A58" s="148" t="s">
        <v>5</v>
      </c>
      <c r="B58" s="61" t="s">
        <v>162</v>
      </c>
      <c r="C58" s="92">
        <v>5</v>
      </c>
      <c r="D58" s="62" t="s">
        <v>134</v>
      </c>
      <c r="E58" s="27"/>
      <c r="F58" s="28"/>
      <c r="G58" s="28"/>
      <c r="H58" s="418">
        <v>52</v>
      </c>
      <c r="I58" s="418">
        <f t="shared" si="1"/>
        <v>0</v>
      </c>
      <c r="J58" s="28"/>
      <c r="K58" s="430">
        <v>0</v>
      </c>
      <c r="L58" s="430">
        <f t="shared" si="2"/>
        <v>0</v>
      </c>
      <c r="M58" s="442">
        <f t="shared" si="3"/>
        <v>0</v>
      </c>
      <c r="N58" s="29">
        <f t="shared" si="4"/>
        <v>52</v>
      </c>
      <c r="O58" s="278"/>
      <c r="P58" s="30">
        <f t="shared" si="5"/>
        <v>0</v>
      </c>
      <c r="Q58" s="31">
        <f t="shared" si="6"/>
        <v>0</v>
      </c>
      <c r="R58" s="325">
        <f t="shared" si="7"/>
        <v>0</v>
      </c>
      <c r="S58" s="453"/>
      <c r="T58" s="32">
        <f t="shared" si="11"/>
        <v>0</v>
      </c>
      <c r="U58" s="465"/>
      <c r="V58" s="33">
        <f t="shared" si="8"/>
        <v>0</v>
      </c>
      <c r="W58" s="134">
        <f t="shared" si="9"/>
        <v>0</v>
      </c>
      <c r="X58" s="134">
        <f t="shared" si="10"/>
        <v>0</v>
      </c>
    </row>
    <row r="59" spans="1:24" ht="14.4" customHeight="1" thickBot="1">
      <c r="A59" s="149" t="s">
        <v>5</v>
      </c>
      <c r="B59" s="150" t="s">
        <v>163</v>
      </c>
      <c r="C59" s="151">
        <v>5</v>
      </c>
      <c r="D59" s="152" t="s">
        <v>134</v>
      </c>
      <c r="E59" s="153"/>
      <c r="F59" s="154"/>
      <c r="G59" s="154"/>
      <c r="H59" s="419">
        <v>28</v>
      </c>
      <c r="I59" s="419">
        <f t="shared" si="1"/>
        <v>0</v>
      </c>
      <c r="J59" s="154"/>
      <c r="K59" s="431">
        <v>0</v>
      </c>
      <c r="L59" s="431">
        <f t="shared" si="2"/>
        <v>0</v>
      </c>
      <c r="M59" s="443">
        <f t="shared" si="3"/>
        <v>0</v>
      </c>
      <c r="N59" s="155">
        <f t="shared" si="4"/>
        <v>28</v>
      </c>
      <c r="O59" s="287"/>
      <c r="P59" s="156">
        <f t="shared" si="5"/>
        <v>0</v>
      </c>
      <c r="Q59" s="157">
        <f t="shared" si="6"/>
        <v>0</v>
      </c>
      <c r="R59" s="328">
        <f t="shared" si="7"/>
        <v>0</v>
      </c>
      <c r="S59" s="454"/>
      <c r="T59" s="158">
        <f t="shared" si="11"/>
        <v>0</v>
      </c>
      <c r="U59" s="466"/>
      <c r="V59" s="159">
        <f t="shared" si="8"/>
        <v>0</v>
      </c>
      <c r="W59" s="135">
        <f t="shared" si="9"/>
        <v>0</v>
      </c>
      <c r="X59" s="135">
        <f t="shared" si="10"/>
        <v>0</v>
      </c>
    </row>
    <row r="60" spans="1:24" ht="13.8" customHeight="1">
      <c r="A60" s="136" t="s">
        <v>5</v>
      </c>
      <c r="B60" s="137" t="s">
        <v>142</v>
      </c>
      <c r="C60" s="138">
        <v>6</v>
      </c>
      <c r="D60" s="139" t="s">
        <v>137</v>
      </c>
      <c r="E60" s="140"/>
      <c r="F60" s="141"/>
      <c r="G60" s="141"/>
      <c r="H60" s="417">
        <v>64</v>
      </c>
      <c r="I60" s="417">
        <f t="shared" si="1"/>
        <v>0</v>
      </c>
      <c r="J60" s="141"/>
      <c r="K60" s="429">
        <v>0</v>
      </c>
      <c r="L60" s="429">
        <f t="shared" si="2"/>
        <v>0</v>
      </c>
      <c r="M60" s="441">
        <f t="shared" si="3"/>
        <v>0</v>
      </c>
      <c r="N60" s="142">
        <f t="shared" si="4"/>
        <v>64</v>
      </c>
      <c r="O60" s="286"/>
      <c r="P60" s="143">
        <f t="shared" si="5"/>
        <v>0</v>
      </c>
      <c r="Q60" s="144">
        <f t="shared" si="6"/>
        <v>0</v>
      </c>
      <c r="R60" s="324">
        <f t="shared" si="7"/>
        <v>0</v>
      </c>
      <c r="S60" s="455"/>
      <c r="T60" s="146">
        <f t="shared" si="11"/>
        <v>0</v>
      </c>
      <c r="U60" s="467"/>
      <c r="V60" s="147">
        <f t="shared" si="8"/>
        <v>0</v>
      </c>
      <c r="W60" s="133">
        <f t="shared" si="9"/>
        <v>0</v>
      </c>
      <c r="X60" s="133">
        <f t="shared" si="10"/>
        <v>0</v>
      </c>
    </row>
    <row r="61" spans="1:24" ht="13.8" customHeight="1">
      <c r="A61" s="148" t="s">
        <v>5</v>
      </c>
      <c r="B61" s="61" t="s">
        <v>143</v>
      </c>
      <c r="C61" s="92">
        <v>6</v>
      </c>
      <c r="D61" s="62" t="s">
        <v>137</v>
      </c>
      <c r="E61" s="27"/>
      <c r="F61" s="28"/>
      <c r="G61" s="28"/>
      <c r="H61" s="418">
        <v>49</v>
      </c>
      <c r="I61" s="418">
        <f t="shared" si="1"/>
        <v>0</v>
      </c>
      <c r="J61" s="28"/>
      <c r="K61" s="430">
        <v>0</v>
      </c>
      <c r="L61" s="430">
        <f t="shared" si="2"/>
        <v>0</v>
      </c>
      <c r="M61" s="442">
        <f t="shared" si="3"/>
        <v>0</v>
      </c>
      <c r="N61" s="29">
        <f t="shared" si="4"/>
        <v>49</v>
      </c>
      <c r="O61" s="278"/>
      <c r="P61" s="30">
        <f t="shared" si="5"/>
        <v>0</v>
      </c>
      <c r="Q61" s="31">
        <f t="shared" si="6"/>
        <v>0</v>
      </c>
      <c r="R61" s="325">
        <f t="shared" si="7"/>
        <v>0</v>
      </c>
      <c r="S61" s="453"/>
      <c r="T61" s="32">
        <f t="shared" si="11"/>
        <v>0</v>
      </c>
      <c r="U61" s="465"/>
      <c r="V61" s="33">
        <f t="shared" si="8"/>
        <v>0</v>
      </c>
      <c r="W61" s="134">
        <f t="shared" si="9"/>
        <v>0</v>
      </c>
      <c r="X61" s="134">
        <f t="shared" si="10"/>
        <v>0</v>
      </c>
    </row>
    <row r="62" spans="1:24" ht="13.8" customHeight="1">
      <c r="A62" s="148" t="s">
        <v>5</v>
      </c>
      <c r="B62" s="61" t="s">
        <v>144</v>
      </c>
      <c r="C62" s="92">
        <v>6</v>
      </c>
      <c r="D62" s="62" t="s">
        <v>137</v>
      </c>
      <c r="E62" s="27"/>
      <c r="F62" s="28"/>
      <c r="G62" s="28"/>
      <c r="H62" s="418">
        <v>66</v>
      </c>
      <c r="I62" s="418">
        <f t="shared" si="1"/>
        <v>0</v>
      </c>
      <c r="J62" s="28"/>
      <c r="K62" s="430">
        <v>0</v>
      </c>
      <c r="L62" s="430">
        <f t="shared" si="2"/>
        <v>0</v>
      </c>
      <c r="M62" s="442">
        <f t="shared" si="3"/>
        <v>0</v>
      </c>
      <c r="N62" s="29">
        <f t="shared" si="4"/>
        <v>66</v>
      </c>
      <c r="O62" s="278"/>
      <c r="P62" s="30">
        <f t="shared" si="5"/>
        <v>0</v>
      </c>
      <c r="Q62" s="31">
        <f t="shared" si="6"/>
        <v>0</v>
      </c>
      <c r="R62" s="325">
        <f t="shared" si="7"/>
        <v>0</v>
      </c>
      <c r="S62" s="453"/>
      <c r="T62" s="32">
        <f t="shared" si="11"/>
        <v>0</v>
      </c>
      <c r="U62" s="465"/>
      <c r="V62" s="33">
        <f t="shared" si="8"/>
        <v>0</v>
      </c>
      <c r="W62" s="134">
        <f t="shared" si="9"/>
        <v>0</v>
      </c>
      <c r="X62" s="134">
        <f t="shared" si="10"/>
        <v>0</v>
      </c>
    </row>
    <row r="63" spans="1:24" ht="13.8" customHeight="1">
      <c r="A63" s="148" t="s">
        <v>5</v>
      </c>
      <c r="B63" s="61" t="s">
        <v>145</v>
      </c>
      <c r="C63" s="92">
        <v>6</v>
      </c>
      <c r="D63" s="62" t="s">
        <v>137</v>
      </c>
      <c r="E63" s="27"/>
      <c r="F63" s="28"/>
      <c r="G63" s="28"/>
      <c r="H63" s="418">
        <v>83</v>
      </c>
      <c r="I63" s="418">
        <f t="shared" si="1"/>
        <v>0</v>
      </c>
      <c r="J63" s="28"/>
      <c r="K63" s="430">
        <v>0</v>
      </c>
      <c r="L63" s="430">
        <f t="shared" si="2"/>
        <v>0</v>
      </c>
      <c r="M63" s="442">
        <f t="shared" si="3"/>
        <v>0</v>
      </c>
      <c r="N63" s="29">
        <f t="shared" si="4"/>
        <v>83</v>
      </c>
      <c r="O63" s="278"/>
      <c r="P63" s="30">
        <f t="shared" si="5"/>
        <v>0</v>
      </c>
      <c r="Q63" s="31">
        <f t="shared" si="6"/>
        <v>0</v>
      </c>
      <c r="R63" s="325">
        <f t="shared" si="7"/>
        <v>0</v>
      </c>
      <c r="S63" s="453"/>
      <c r="T63" s="32">
        <f t="shared" si="11"/>
        <v>0</v>
      </c>
      <c r="U63" s="465"/>
      <c r="V63" s="33">
        <f t="shared" si="8"/>
        <v>0</v>
      </c>
      <c r="W63" s="134">
        <f t="shared" si="9"/>
        <v>0</v>
      </c>
      <c r="X63" s="134">
        <f t="shared" si="10"/>
        <v>0</v>
      </c>
    </row>
    <row r="64" spans="1:24" ht="13.8" customHeight="1">
      <c r="A64" s="148" t="s">
        <v>5</v>
      </c>
      <c r="B64" s="98" t="s">
        <v>148</v>
      </c>
      <c r="C64" s="99">
        <v>6</v>
      </c>
      <c r="D64" s="62" t="s">
        <v>137</v>
      </c>
      <c r="E64" s="27"/>
      <c r="F64" s="28"/>
      <c r="G64" s="28"/>
      <c r="H64" s="418">
        <v>75</v>
      </c>
      <c r="I64" s="418">
        <f t="shared" si="1"/>
        <v>0</v>
      </c>
      <c r="J64" s="28"/>
      <c r="K64" s="430">
        <v>0</v>
      </c>
      <c r="L64" s="430">
        <f t="shared" si="2"/>
        <v>0</v>
      </c>
      <c r="M64" s="442">
        <f t="shared" si="3"/>
        <v>0</v>
      </c>
      <c r="N64" s="295">
        <f t="shared" si="4"/>
        <v>75</v>
      </c>
      <c r="O64" s="296">
        <v>0</v>
      </c>
      <c r="P64" s="100">
        <f t="shared" si="5"/>
        <v>0</v>
      </c>
      <c r="Q64" s="100">
        <f t="shared" si="6"/>
        <v>0</v>
      </c>
      <c r="R64" s="327">
        <f t="shared" si="7"/>
        <v>0</v>
      </c>
      <c r="S64" s="453"/>
      <c r="T64" s="100">
        <f t="shared" si="11"/>
        <v>0</v>
      </c>
      <c r="U64" s="465"/>
      <c r="V64" s="106">
        <f t="shared" si="8"/>
        <v>0</v>
      </c>
      <c r="W64" s="306">
        <f t="shared" si="9"/>
        <v>0</v>
      </c>
      <c r="X64" s="306">
        <f t="shared" si="10"/>
        <v>0</v>
      </c>
    </row>
    <row r="65" spans="1:24" ht="13.8" customHeight="1">
      <c r="A65" s="148" t="s">
        <v>5</v>
      </c>
      <c r="B65" s="98" t="s">
        <v>149</v>
      </c>
      <c r="C65" s="99">
        <v>6</v>
      </c>
      <c r="D65" s="62" t="s">
        <v>137</v>
      </c>
      <c r="E65" s="27"/>
      <c r="F65" s="28"/>
      <c r="G65" s="28"/>
      <c r="H65" s="418">
        <v>42</v>
      </c>
      <c r="I65" s="418">
        <f t="shared" si="1"/>
        <v>0</v>
      </c>
      <c r="J65" s="28"/>
      <c r="K65" s="430">
        <v>0</v>
      </c>
      <c r="L65" s="430">
        <f t="shared" si="2"/>
        <v>0</v>
      </c>
      <c r="M65" s="442">
        <f t="shared" si="3"/>
        <v>0</v>
      </c>
      <c r="N65" s="295">
        <f t="shared" si="4"/>
        <v>42</v>
      </c>
      <c r="O65" s="296">
        <v>0</v>
      </c>
      <c r="P65" s="100">
        <f t="shared" si="5"/>
        <v>0</v>
      </c>
      <c r="Q65" s="100">
        <f t="shared" si="6"/>
        <v>0</v>
      </c>
      <c r="R65" s="327">
        <f t="shared" si="7"/>
        <v>0</v>
      </c>
      <c r="S65" s="453"/>
      <c r="T65" s="100">
        <f t="shared" si="11"/>
        <v>0</v>
      </c>
      <c r="U65" s="465"/>
      <c r="V65" s="106">
        <f t="shared" si="8"/>
        <v>0</v>
      </c>
      <c r="W65" s="306">
        <f t="shared" si="9"/>
        <v>0</v>
      </c>
      <c r="X65" s="306">
        <f t="shared" si="10"/>
        <v>0</v>
      </c>
    </row>
    <row r="66" spans="1:24" ht="13.8" customHeight="1">
      <c r="A66" s="148" t="s">
        <v>5</v>
      </c>
      <c r="B66" s="96" t="s">
        <v>150</v>
      </c>
      <c r="C66" s="97">
        <v>6</v>
      </c>
      <c r="D66" s="62" t="s">
        <v>135</v>
      </c>
      <c r="E66" s="27"/>
      <c r="F66" s="28"/>
      <c r="G66" s="28"/>
      <c r="H66" s="418">
        <v>62</v>
      </c>
      <c r="I66" s="418">
        <f t="shared" si="1"/>
        <v>0</v>
      </c>
      <c r="J66" s="28"/>
      <c r="K66" s="430">
        <v>0</v>
      </c>
      <c r="L66" s="430">
        <f t="shared" si="2"/>
        <v>0</v>
      </c>
      <c r="M66" s="442">
        <f t="shared" si="3"/>
        <v>0</v>
      </c>
      <c r="N66" s="29">
        <f t="shared" si="4"/>
        <v>62</v>
      </c>
      <c r="O66" s="278"/>
      <c r="P66" s="30">
        <f t="shared" si="5"/>
        <v>0</v>
      </c>
      <c r="Q66" s="31">
        <f t="shared" si="6"/>
        <v>0</v>
      </c>
      <c r="R66" s="325">
        <f t="shared" si="7"/>
        <v>0</v>
      </c>
      <c r="S66" s="453"/>
      <c r="T66" s="32">
        <f t="shared" si="11"/>
        <v>0</v>
      </c>
      <c r="U66" s="465"/>
      <c r="V66" s="33">
        <f t="shared" si="8"/>
        <v>0</v>
      </c>
      <c r="W66" s="134">
        <f t="shared" si="9"/>
        <v>0</v>
      </c>
      <c r="X66" s="134">
        <f t="shared" si="10"/>
        <v>0</v>
      </c>
    </row>
    <row r="67" spans="1:24" ht="13.8" customHeight="1">
      <c r="A67" s="148" t="s">
        <v>5</v>
      </c>
      <c r="B67" s="96" t="s">
        <v>151</v>
      </c>
      <c r="C67" s="97">
        <v>6</v>
      </c>
      <c r="D67" s="62" t="s">
        <v>135</v>
      </c>
      <c r="E67" s="27"/>
      <c r="F67" s="28"/>
      <c r="G67" s="28"/>
      <c r="H67" s="418">
        <v>28</v>
      </c>
      <c r="I67" s="418">
        <f t="shared" si="1"/>
        <v>0</v>
      </c>
      <c r="J67" s="28"/>
      <c r="K67" s="430">
        <v>0</v>
      </c>
      <c r="L67" s="430">
        <f t="shared" si="2"/>
        <v>0</v>
      </c>
      <c r="M67" s="442">
        <f t="shared" si="3"/>
        <v>0</v>
      </c>
      <c r="N67" s="29">
        <f t="shared" si="4"/>
        <v>28</v>
      </c>
      <c r="O67" s="278"/>
      <c r="P67" s="30">
        <f t="shared" si="5"/>
        <v>0</v>
      </c>
      <c r="Q67" s="31">
        <f t="shared" si="6"/>
        <v>0</v>
      </c>
      <c r="R67" s="325">
        <f t="shared" si="7"/>
        <v>0</v>
      </c>
      <c r="S67" s="453"/>
      <c r="T67" s="32">
        <f t="shared" si="11"/>
        <v>0</v>
      </c>
      <c r="U67" s="465"/>
      <c r="V67" s="33">
        <f t="shared" si="8"/>
        <v>0</v>
      </c>
      <c r="W67" s="134">
        <f t="shared" si="9"/>
        <v>0</v>
      </c>
      <c r="X67" s="134">
        <f t="shared" si="10"/>
        <v>0</v>
      </c>
    </row>
    <row r="68" spans="1:24" ht="13.8" customHeight="1">
      <c r="A68" s="148" t="s">
        <v>5</v>
      </c>
      <c r="B68" s="61" t="s">
        <v>157</v>
      </c>
      <c r="C68" s="92">
        <v>6</v>
      </c>
      <c r="D68" s="62" t="s">
        <v>135</v>
      </c>
      <c r="E68" s="27"/>
      <c r="F68" s="28"/>
      <c r="G68" s="28"/>
      <c r="H68" s="418">
        <v>60</v>
      </c>
      <c r="I68" s="418">
        <f t="shared" si="1"/>
        <v>0</v>
      </c>
      <c r="J68" s="28"/>
      <c r="K68" s="430">
        <v>0</v>
      </c>
      <c r="L68" s="430">
        <f t="shared" si="2"/>
        <v>0</v>
      </c>
      <c r="M68" s="442">
        <f t="shared" si="3"/>
        <v>0</v>
      </c>
      <c r="N68" s="29">
        <f t="shared" si="4"/>
        <v>60</v>
      </c>
      <c r="O68" s="278"/>
      <c r="P68" s="30">
        <f t="shared" si="5"/>
        <v>0</v>
      </c>
      <c r="Q68" s="31">
        <f t="shared" si="6"/>
        <v>0</v>
      </c>
      <c r="R68" s="325">
        <f t="shared" si="7"/>
        <v>0</v>
      </c>
      <c r="S68" s="453"/>
      <c r="T68" s="32">
        <f t="shared" si="11"/>
        <v>0</v>
      </c>
      <c r="U68" s="465"/>
      <c r="V68" s="33">
        <f t="shared" si="8"/>
        <v>0</v>
      </c>
      <c r="W68" s="134">
        <f t="shared" si="9"/>
        <v>0</v>
      </c>
      <c r="X68" s="134">
        <f t="shared" si="10"/>
        <v>0</v>
      </c>
    </row>
    <row r="69" spans="1:24" ht="13.8" customHeight="1">
      <c r="A69" s="148" t="s">
        <v>5</v>
      </c>
      <c r="B69" s="61" t="s">
        <v>158</v>
      </c>
      <c r="C69" s="92">
        <v>6</v>
      </c>
      <c r="D69" s="62" t="s">
        <v>135</v>
      </c>
      <c r="E69" s="27"/>
      <c r="F69" s="28"/>
      <c r="G69" s="28"/>
      <c r="H69" s="418">
        <v>33</v>
      </c>
      <c r="I69" s="418">
        <f t="shared" si="1"/>
        <v>0</v>
      </c>
      <c r="J69" s="28"/>
      <c r="K69" s="430">
        <v>0</v>
      </c>
      <c r="L69" s="430">
        <f t="shared" si="2"/>
        <v>0</v>
      </c>
      <c r="M69" s="442">
        <f t="shared" si="3"/>
        <v>0</v>
      </c>
      <c r="N69" s="29">
        <f t="shared" si="4"/>
        <v>33</v>
      </c>
      <c r="O69" s="278"/>
      <c r="P69" s="30">
        <f t="shared" si="5"/>
        <v>0</v>
      </c>
      <c r="Q69" s="31">
        <f t="shared" si="6"/>
        <v>0</v>
      </c>
      <c r="R69" s="325">
        <f t="shared" si="7"/>
        <v>0</v>
      </c>
      <c r="S69" s="453"/>
      <c r="T69" s="32">
        <f t="shared" ref="T69:T83" si="12">S69*H69</f>
        <v>0</v>
      </c>
      <c r="U69" s="465"/>
      <c r="V69" s="33">
        <f t="shared" si="8"/>
        <v>0</v>
      </c>
      <c r="W69" s="134">
        <f t="shared" si="9"/>
        <v>0</v>
      </c>
      <c r="X69" s="134">
        <f t="shared" si="10"/>
        <v>0</v>
      </c>
    </row>
    <row r="70" spans="1:24" ht="13.8" customHeight="1">
      <c r="A70" s="148" t="s">
        <v>5</v>
      </c>
      <c r="B70" s="98" t="s">
        <v>159</v>
      </c>
      <c r="C70" s="99">
        <v>6</v>
      </c>
      <c r="D70" s="62" t="s">
        <v>135</v>
      </c>
      <c r="E70" s="27"/>
      <c r="F70" s="28"/>
      <c r="G70" s="28"/>
      <c r="H70" s="418">
        <v>82</v>
      </c>
      <c r="I70" s="418">
        <f t="shared" ref="I70:I133" si="13">G70*H70</f>
        <v>0</v>
      </c>
      <c r="J70" s="28"/>
      <c r="K70" s="430">
        <v>0</v>
      </c>
      <c r="L70" s="430">
        <f t="shared" ref="L70:L133" si="14">J70*K70</f>
        <v>0</v>
      </c>
      <c r="M70" s="442">
        <f t="shared" ref="M70:M133" si="15">I70+L70</f>
        <v>0</v>
      </c>
      <c r="N70" s="295">
        <f t="shared" ref="N70:N206" si="16">H70-K70</f>
        <v>82</v>
      </c>
      <c r="O70" s="296">
        <v>0</v>
      </c>
      <c r="P70" s="100">
        <f t="shared" ref="P70:P133" si="17">N70*O70</f>
        <v>0</v>
      </c>
      <c r="Q70" s="100">
        <f t="shared" ref="Q70:Q133" si="18">J70-O70</f>
        <v>0</v>
      </c>
      <c r="R70" s="327">
        <f t="shared" ref="R70:R195" si="19">N70*Q70</f>
        <v>0</v>
      </c>
      <c r="S70" s="453"/>
      <c r="T70" s="100">
        <f t="shared" si="12"/>
        <v>0</v>
      </c>
      <c r="U70" s="465"/>
      <c r="V70" s="106">
        <f t="shared" ref="V70:V206" si="20">H70*U70</f>
        <v>0</v>
      </c>
      <c r="W70" s="306">
        <f t="shared" ref="W70:W133" si="21">K70*O70</f>
        <v>0</v>
      </c>
      <c r="X70" s="306">
        <f t="shared" ref="X70:X195" si="22">K70*Q70</f>
        <v>0</v>
      </c>
    </row>
    <row r="71" spans="1:24" ht="13.8" customHeight="1">
      <c r="A71" s="148" t="s">
        <v>5</v>
      </c>
      <c r="B71" s="61" t="s">
        <v>160</v>
      </c>
      <c r="C71" s="92">
        <v>6</v>
      </c>
      <c r="D71" s="62" t="s">
        <v>135</v>
      </c>
      <c r="E71" s="27"/>
      <c r="F71" s="28"/>
      <c r="G71" s="28"/>
      <c r="H71" s="418">
        <v>63</v>
      </c>
      <c r="I71" s="418">
        <f t="shared" si="13"/>
        <v>0</v>
      </c>
      <c r="J71" s="28"/>
      <c r="K71" s="430">
        <v>0</v>
      </c>
      <c r="L71" s="430">
        <f t="shared" si="14"/>
        <v>0</v>
      </c>
      <c r="M71" s="442">
        <f t="shared" si="15"/>
        <v>0</v>
      </c>
      <c r="N71" s="29">
        <f t="shared" si="16"/>
        <v>63</v>
      </c>
      <c r="O71" s="278"/>
      <c r="P71" s="30">
        <f t="shared" si="17"/>
        <v>0</v>
      </c>
      <c r="Q71" s="31">
        <f t="shared" si="18"/>
        <v>0</v>
      </c>
      <c r="R71" s="325">
        <f t="shared" si="19"/>
        <v>0</v>
      </c>
      <c r="S71" s="453"/>
      <c r="T71" s="32">
        <f t="shared" si="12"/>
        <v>0</v>
      </c>
      <c r="U71" s="465"/>
      <c r="V71" s="33">
        <f t="shared" si="20"/>
        <v>0</v>
      </c>
      <c r="W71" s="134">
        <f t="shared" si="21"/>
        <v>0</v>
      </c>
      <c r="X71" s="134">
        <f t="shared" si="22"/>
        <v>0</v>
      </c>
    </row>
    <row r="72" spans="1:24" ht="13.8" customHeight="1">
      <c r="A72" s="148" t="s">
        <v>5</v>
      </c>
      <c r="B72" s="101" t="s">
        <v>161</v>
      </c>
      <c r="C72" s="102">
        <v>6</v>
      </c>
      <c r="D72" s="62" t="s">
        <v>135</v>
      </c>
      <c r="E72" s="27"/>
      <c r="F72" s="28"/>
      <c r="G72" s="28"/>
      <c r="H72" s="418">
        <v>36</v>
      </c>
      <c r="I72" s="418">
        <f t="shared" si="13"/>
        <v>0</v>
      </c>
      <c r="J72" s="28"/>
      <c r="K72" s="430">
        <v>0</v>
      </c>
      <c r="L72" s="430">
        <f t="shared" si="14"/>
        <v>0</v>
      </c>
      <c r="M72" s="442">
        <f t="shared" si="15"/>
        <v>0</v>
      </c>
      <c r="N72" s="29">
        <f t="shared" si="16"/>
        <v>36</v>
      </c>
      <c r="O72" s="278"/>
      <c r="P72" s="30">
        <f t="shared" si="17"/>
        <v>0</v>
      </c>
      <c r="Q72" s="31">
        <f t="shared" si="18"/>
        <v>0</v>
      </c>
      <c r="R72" s="325">
        <f t="shared" si="19"/>
        <v>0</v>
      </c>
      <c r="S72" s="453"/>
      <c r="T72" s="32">
        <f t="shared" si="12"/>
        <v>0</v>
      </c>
      <c r="U72" s="465"/>
      <c r="V72" s="33">
        <f t="shared" si="20"/>
        <v>0</v>
      </c>
      <c r="W72" s="134">
        <f t="shared" si="21"/>
        <v>0</v>
      </c>
      <c r="X72" s="134">
        <f t="shared" si="22"/>
        <v>0</v>
      </c>
    </row>
    <row r="73" spans="1:24" ht="13.8" customHeight="1">
      <c r="A73" s="148" t="s">
        <v>5</v>
      </c>
      <c r="B73" s="61" t="s">
        <v>162</v>
      </c>
      <c r="C73" s="92">
        <v>6</v>
      </c>
      <c r="D73" s="62" t="s">
        <v>135</v>
      </c>
      <c r="E73" s="27"/>
      <c r="F73" s="28"/>
      <c r="G73" s="28"/>
      <c r="H73" s="418">
        <v>52</v>
      </c>
      <c r="I73" s="418">
        <f t="shared" si="13"/>
        <v>0</v>
      </c>
      <c r="J73" s="28"/>
      <c r="K73" s="430">
        <v>0</v>
      </c>
      <c r="L73" s="430">
        <f t="shared" si="14"/>
        <v>0</v>
      </c>
      <c r="M73" s="442">
        <f t="shared" si="15"/>
        <v>0</v>
      </c>
      <c r="N73" s="29">
        <f t="shared" si="16"/>
        <v>52</v>
      </c>
      <c r="O73" s="278"/>
      <c r="P73" s="30">
        <f t="shared" si="17"/>
        <v>0</v>
      </c>
      <c r="Q73" s="31">
        <f t="shared" si="18"/>
        <v>0</v>
      </c>
      <c r="R73" s="325">
        <f t="shared" si="19"/>
        <v>0</v>
      </c>
      <c r="S73" s="453"/>
      <c r="T73" s="32">
        <f t="shared" si="12"/>
        <v>0</v>
      </c>
      <c r="U73" s="465"/>
      <c r="V73" s="33">
        <f t="shared" si="20"/>
        <v>0</v>
      </c>
      <c r="W73" s="134">
        <f t="shared" si="21"/>
        <v>0</v>
      </c>
      <c r="X73" s="134">
        <f t="shared" si="22"/>
        <v>0</v>
      </c>
    </row>
    <row r="74" spans="1:24" ht="14.4" customHeight="1" thickBot="1">
      <c r="A74" s="149" t="s">
        <v>5</v>
      </c>
      <c r="B74" s="150" t="s">
        <v>163</v>
      </c>
      <c r="C74" s="151">
        <v>6</v>
      </c>
      <c r="D74" s="152" t="s">
        <v>135</v>
      </c>
      <c r="E74" s="153"/>
      <c r="F74" s="154"/>
      <c r="G74" s="154"/>
      <c r="H74" s="419">
        <v>30</v>
      </c>
      <c r="I74" s="419">
        <f t="shared" si="13"/>
        <v>0</v>
      </c>
      <c r="J74" s="154"/>
      <c r="K74" s="431">
        <v>0</v>
      </c>
      <c r="L74" s="431">
        <f t="shared" si="14"/>
        <v>0</v>
      </c>
      <c r="M74" s="443">
        <f t="shared" si="15"/>
        <v>0</v>
      </c>
      <c r="N74" s="155">
        <f t="shared" si="16"/>
        <v>30</v>
      </c>
      <c r="O74" s="287"/>
      <c r="P74" s="156">
        <f t="shared" si="17"/>
        <v>0</v>
      </c>
      <c r="Q74" s="157">
        <f t="shared" si="18"/>
        <v>0</v>
      </c>
      <c r="R74" s="328">
        <f t="shared" si="19"/>
        <v>0</v>
      </c>
      <c r="S74" s="454"/>
      <c r="T74" s="158">
        <f t="shared" si="12"/>
        <v>0</v>
      </c>
      <c r="U74" s="466"/>
      <c r="V74" s="159">
        <f t="shared" si="20"/>
        <v>0</v>
      </c>
      <c r="W74" s="135">
        <f t="shared" si="21"/>
        <v>0</v>
      </c>
      <c r="X74" s="135">
        <f t="shared" si="22"/>
        <v>0</v>
      </c>
    </row>
    <row r="75" spans="1:24" ht="13.8" customHeight="1">
      <c r="A75" s="160" t="s">
        <v>6</v>
      </c>
      <c r="B75" s="161" t="s">
        <v>142</v>
      </c>
      <c r="C75" s="162">
        <v>1</v>
      </c>
      <c r="D75" s="163" t="s">
        <v>131</v>
      </c>
      <c r="E75" s="164"/>
      <c r="F75" s="165"/>
      <c r="G75" s="165"/>
      <c r="H75" s="420">
        <v>105</v>
      </c>
      <c r="I75" s="420">
        <f t="shared" si="13"/>
        <v>0</v>
      </c>
      <c r="J75" s="165"/>
      <c r="K75" s="432">
        <v>2</v>
      </c>
      <c r="L75" s="432">
        <f t="shared" si="14"/>
        <v>0</v>
      </c>
      <c r="M75" s="444">
        <f t="shared" si="15"/>
        <v>0</v>
      </c>
      <c r="N75" s="166">
        <f t="shared" si="16"/>
        <v>103</v>
      </c>
      <c r="O75" s="288"/>
      <c r="P75" s="167">
        <f t="shared" si="17"/>
        <v>0</v>
      </c>
      <c r="Q75" s="168">
        <f t="shared" si="18"/>
        <v>0</v>
      </c>
      <c r="R75" s="329">
        <f t="shared" si="19"/>
        <v>0</v>
      </c>
      <c r="S75" s="456"/>
      <c r="T75" s="169">
        <f t="shared" si="12"/>
        <v>0</v>
      </c>
      <c r="U75" s="468"/>
      <c r="V75" s="170">
        <f t="shared" si="20"/>
        <v>0</v>
      </c>
      <c r="W75" s="133">
        <f t="shared" si="21"/>
        <v>0</v>
      </c>
      <c r="X75" s="133">
        <f t="shared" si="22"/>
        <v>0</v>
      </c>
    </row>
    <row r="76" spans="1:24" ht="13.8" customHeight="1">
      <c r="A76" s="171" t="s">
        <v>6</v>
      </c>
      <c r="B76" s="108" t="s">
        <v>143</v>
      </c>
      <c r="C76" s="109">
        <v>1</v>
      </c>
      <c r="D76" s="110" t="s">
        <v>131</v>
      </c>
      <c r="E76" s="111"/>
      <c r="F76" s="112"/>
      <c r="G76" s="112"/>
      <c r="H76" s="421">
        <v>78</v>
      </c>
      <c r="I76" s="421">
        <f t="shared" si="13"/>
        <v>0</v>
      </c>
      <c r="J76" s="112"/>
      <c r="K76" s="433">
        <v>2</v>
      </c>
      <c r="L76" s="433">
        <f t="shared" si="14"/>
        <v>0</v>
      </c>
      <c r="M76" s="445">
        <f t="shared" si="15"/>
        <v>0</v>
      </c>
      <c r="N76" s="113">
        <f t="shared" si="16"/>
        <v>76</v>
      </c>
      <c r="O76" s="279"/>
      <c r="P76" s="114">
        <f t="shared" si="17"/>
        <v>0</v>
      </c>
      <c r="Q76" s="115">
        <f t="shared" si="18"/>
        <v>0</v>
      </c>
      <c r="R76" s="330">
        <f t="shared" si="19"/>
        <v>0</v>
      </c>
      <c r="S76" s="457"/>
      <c r="T76" s="116">
        <f t="shared" si="12"/>
        <v>0</v>
      </c>
      <c r="U76" s="469"/>
      <c r="V76" s="117">
        <f t="shared" si="20"/>
        <v>0</v>
      </c>
      <c r="W76" s="134">
        <f t="shared" si="21"/>
        <v>0</v>
      </c>
      <c r="X76" s="134">
        <f t="shared" si="22"/>
        <v>0</v>
      </c>
    </row>
    <row r="77" spans="1:24" ht="13.8" customHeight="1">
      <c r="A77" s="171" t="s">
        <v>6</v>
      </c>
      <c r="B77" s="108" t="s">
        <v>144</v>
      </c>
      <c r="C77" s="109">
        <v>1</v>
      </c>
      <c r="D77" s="110" t="s">
        <v>132</v>
      </c>
      <c r="E77" s="111"/>
      <c r="F77" s="112"/>
      <c r="G77" s="112"/>
      <c r="H77" s="421">
        <v>73</v>
      </c>
      <c r="I77" s="421">
        <f t="shared" si="13"/>
        <v>0</v>
      </c>
      <c r="J77" s="112"/>
      <c r="K77" s="433">
        <v>2</v>
      </c>
      <c r="L77" s="433">
        <f t="shared" si="14"/>
        <v>0</v>
      </c>
      <c r="M77" s="445">
        <f t="shared" si="15"/>
        <v>0</v>
      </c>
      <c r="N77" s="113">
        <f t="shared" si="16"/>
        <v>71</v>
      </c>
      <c r="O77" s="279"/>
      <c r="P77" s="114">
        <f t="shared" si="17"/>
        <v>0</v>
      </c>
      <c r="Q77" s="115">
        <f t="shared" si="18"/>
        <v>0</v>
      </c>
      <c r="R77" s="330">
        <f t="shared" si="19"/>
        <v>0</v>
      </c>
      <c r="S77" s="457"/>
      <c r="T77" s="116">
        <f t="shared" si="12"/>
        <v>0</v>
      </c>
      <c r="U77" s="469"/>
      <c r="V77" s="117">
        <f t="shared" si="20"/>
        <v>0</v>
      </c>
      <c r="W77" s="134">
        <f t="shared" si="21"/>
        <v>0</v>
      </c>
      <c r="X77" s="134">
        <f t="shared" si="22"/>
        <v>0</v>
      </c>
    </row>
    <row r="78" spans="1:24" ht="13.8" customHeight="1">
      <c r="A78" s="171" t="s">
        <v>6</v>
      </c>
      <c r="B78" s="108" t="s">
        <v>145</v>
      </c>
      <c r="C78" s="109">
        <v>1</v>
      </c>
      <c r="D78" s="110" t="s">
        <v>132</v>
      </c>
      <c r="E78" s="111"/>
      <c r="F78" s="112"/>
      <c r="G78" s="112"/>
      <c r="H78" s="421">
        <v>137</v>
      </c>
      <c r="I78" s="421">
        <f t="shared" si="13"/>
        <v>0</v>
      </c>
      <c r="J78" s="112"/>
      <c r="K78" s="433">
        <v>3</v>
      </c>
      <c r="L78" s="433">
        <f t="shared" si="14"/>
        <v>0</v>
      </c>
      <c r="M78" s="445">
        <f t="shared" si="15"/>
        <v>0</v>
      </c>
      <c r="N78" s="113">
        <f t="shared" si="16"/>
        <v>134</v>
      </c>
      <c r="O78" s="279"/>
      <c r="P78" s="114">
        <f t="shared" si="17"/>
        <v>0</v>
      </c>
      <c r="Q78" s="115">
        <f t="shared" si="18"/>
        <v>0</v>
      </c>
      <c r="R78" s="330">
        <f t="shared" si="19"/>
        <v>0</v>
      </c>
      <c r="S78" s="457"/>
      <c r="T78" s="116">
        <f t="shared" si="12"/>
        <v>0</v>
      </c>
      <c r="U78" s="469"/>
      <c r="V78" s="117">
        <f t="shared" si="20"/>
        <v>0</v>
      </c>
      <c r="W78" s="134">
        <f t="shared" si="21"/>
        <v>0</v>
      </c>
      <c r="X78" s="134">
        <f t="shared" si="22"/>
        <v>0</v>
      </c>
    </row>
    <row r="79" spans="1:24" ht="13.8" customHeight="1">
      <c r="A79" s="171" t="s">
        <v>6</v>
      </c>
      <c r="B79" s="108" t="s">
        <v>146</v>
      </c>
      <c r="C79" s="109">
        <v>1</v>
      </c>
      <c r="D79" s="110" t="s">
        <v>132</v>
      </c>
      <c r="E79" s="111"/>
      <c r="F79" s="112"/>
      <c r="G79" s="112"/>
      <c r="H79" s="421">
        <v>87</v>
      </c>
      <c r="I79" s="421">
        <f t="shared" si="13"/>
        <v>0</v>
      </c>
      <c r="J79" s="112"/>
      <c r="K79" s="433">
        <v>2</v>
      </c>
      <c r="L79" s="433">
        <f t="shared" si="14"/>
        <v>0</v>
      </c>
      <c r="M79" s="445">
        <f t="shared" si="15"/>
        <v>0</v>
      </c>
      <c r="N79" s="113">
        <f t="shared" si="16"/>
        <v>85</v>
      </c>
      <c r="O79" s="279"/>
      <c r="P79" s="114">
        <f t="shared" si="17"/>
        <v>0</v>
      </c>
      <c r="Q79" s="115">
        <f t="shared" si="18"/>
        <v>0</v>
      </c>
      <c r="R79" s="330">
        <f t="shared" si="19"/>
        <v>0</v>
      </c>
      <c r="S79" s="457"/>
      <c r="T79" s="116">
        <f t="shared" si="12"/>
        <v>0</v>
      </c>
      <c r="U79" s="469"/>
      <c r="V79" s="117">
        <f t="shared" si="20"/>
        <v>0</v>
      </c>
      <c r="W79" s="134">
        <f t="shared" si="21"/>
        <v>0</v>
      </c>
      <c r="X79" s="134">
        <f t="shared" si="22"/>
        <v>0</v>
      </c>
    </row>
    <row r="80" spans="1:24" ht="13.8" customHeight="1">
      <c r="A80" s="171" t="s">
        <v>6</v>
      </c>
      <c r="B80" s="108" t="s">
        <v>147</v>
      </c>
      <c r="C80" s="109">
        <v>1</v>
      </c>
      <c r="D80" s="110" t="s">
        <v>132</v>
      </c>
      <c r="E80" s="111"/>
      <c r="F80" s="112"/>
      <c r="G80" s="112"/>
      <c r="H80" s="421">
        <v>34</v>
      </c>
      <c r="I80" s="421">
        <f t="shared" si="13"/>
        <v>0</v>
      </c>
      <c r="J80" s="112"/>
      <c r="K80" s="433">
        <v>1</v>
      </c>
      <c r="L80" s="433">
        <f t="shared" si="14"/>
        <v>0</v>
      </c>
      <c r="M80" s="445">
        <f t="shared" si="15"/>
        <v>0</v>
      </c>
      <c r="N80" s="113">
        <f t="shared" si="16"/>
        <v>33</v>
      </c>
      <c r="O80" s="279"/>
      <c r="P80" s="114">
        <f t="shared" si="17"/>
        <v>0</v>
      </c>
      <c r="Q80" s="115">
        <f t="shared" si="18"/>
        <v>0</v>
      </c>
      <c r="R80" s="330">
        <f t="shared" si="19"/>
        <v>0</v>
      </c>
      <c r="S80" s="457"/>
      <c r="T80" s="116">
        <f t="shared" si="12"/>
        <v>0</v>
      </c>
      <c r="U80" s="469"/>
      <c r="V80" s="117">
        <f t="shared" si="20"/>
        <v>0</v>
      </c>
      <c r="W80" s="134">
        <f t="shared" si="21"/>
        <v>0</v>
      </c>
      <c r="X80" s="134">
        <f t="shared" si="22"/>
        <v>0</v>
      </c>
    </row>
    <row r="81" spans="1:24" ht="14.4" customHeight="1" thickBot="1">
      <c r="A81" s="172" t="s">
        <v>6</v>
      </c>
      <c r="B81" s="269" t="s">
        <v>148</v>
      </c>
      <c r="C81" s="270">
        <v>1</v>
      </c>
      <c r="D81" s="175" t="s">
        <v>132</v>
      </c>
      <c r="E81" s="176"/>
      <c r="F81" s="177"/>
      <c r="G81" s="177"/>
      <c r="H81" s="422">
        <v>61</v>
      </c>
      <c r="I81" s="422">
        <f t="shared" si="13"/>
        <v>0</v>
      </c>
      <c r="J81" s="177"/>
      <c r="K81" s="434">
        <v>1</v>
      </c>
      <c r="L81" s="434">
        <f t="shared" si="14"/>
        <v>0</v>
      </c>
      <c r="M81" s="446">
        <f t="shared" si="15"/>
        <v>0</v>
      </c>
      <c r="N81" s="297">
        <f t="shared" si="16"/>
        <v>60</v>
      </c>
      <c r="O81" s="298">
        <v>0</v>
      </c>
      <c r="P81" s="271">
        <f t="shared" si="17"/>
        <v>0</v>
      </c>
      <c r="Q81" s="271">
        <f t="shared" si="18"/>
        <v>0</v>
      </c>
      <c r="R81" s="331">
        <f t="shared" si="19"/>
        <v>0</v>
      </c>
      <c r="S81" s="458"/>
      <c r="T81" s="271">
        <f t="shared" si="12"/>
        <v>0</v>
      </c>
      <c r="U81" s="470"/>
      <c r="V81" s="272">
        <f t="shared" si="20"/>
        <v>0</v>
      </c>
      <c r="W81" s="305">
        <f t="shared" si="21"/>
        <v>0</v>
      </c>
      <c r="X81" s="305">
        <f t="shared" si="22"/>
        <v>0</v>
      </c>
    </row>
    <row r="82" spans="1:24" ht="13.8" customHeight="1">
      <c r="A82" s="160" t="s">
        <v>6</v>
      </c>
      <c r="B82" s="161" t="s">
        <v>142</v>
      </c>
      <c r="C82" s="162">
        <v>2</v>
      </c>
      <c r="D82" s="163" t="s">
        <v>133</v>
      </c>
      <c r="E82" s="164"/>
      <c r="F82" s="165"/>
      <c r="G82" s="165"/>
      <c r="H82" s="420">
        <v>77</v>
      </c>
      <c r="I82" s="420">
        <f t="shared" si="13"/>
        <v>0</v>
      </c>
      <c r="J82" s="165"/>
      <c r="K82" s="432">
        <v>2</v>
      </c>
      <c r="L82" s="432">
        <f t="shared" si="14"/>
        <v>0</v>
      </c>
      <c r="M82" s="444">
        <f t="shared" si="15"/>
        <v>0</v>
      </c>
      <c r="N82" s="166">
        <f t="shared" si="16"/>
        <v>75</v>
      </c>
      <c r="O82" s="288"/>
      <c r="P82" s="167">
        <f t="shared" si="17"/>
        <v>0</v>
      </c>
      <c r="Q82" s="168">
        <f t="shared" si="18"/>
        <v>0</v>
      </c>
      <c r="R82" s="329">
        <f t="shared" si="19"/>
        <v>0</v>
      </c>
      <c r="S82" s="456"/>
      <c r="T82" s="169">
        <f t="shared" si="12"/>
        <v>0</v>
      </c>
      <c r="U82" s="468"/>
      <c r="V82" s="170">
        <f t="shared" si="20"/>
        <v>0</v>
      </c>
      <c r="W82" s="133">
        <f t="shared" si="21"/>
        <v>0</v>
      </c>
      <c r="X82" s="133">
        <f t="shared" si="22"/>
        <v>0</v>
      </c>
    </row>
    <row r="83" spans="1:24" ht="13.8" customHeight="1">
      <c r="A83" s="171" t="s">
        <v>6</v>
      </c>
      <c r="B83" s="108" t="s">
        <v>143</v>
      </c>
      <c r="C83" s="109">
        <v>2</v>
      </c>
      <c r="D83" s="110" t="s">
        <v>133</v>
      </c>
      <c r="E83" s="111"/>
      <c r="F83" s="112"/>
      <c r="G83" s="112"/>
      <c r="H83" s="421">
        <v>53</v>
      </c>
      <c r="I83" s="421">
        <f t="shared" si="13"/>
        <v>0</v>
      </c>
      <c r="J83" s="112"/>
      <c r="K83" s="433">
        <v>1</v>
      </c>
      <c r="L83" s="433">
        <f t="shared" si="14"/>
        <v>0</v>
      </c>
      <c r="M83" s="445">
        <f t="shared" si="15"/>
        <v>0</v>
      </c>
      <c r="N83" s="113">
        <f t="shared" si="16"/>
        <v>52</v>
      </c>
      <c r="O83" s="279"/>
      <c r="P83" s="114">
        <f t="shared" si="17"/>
        <v>0</v>
      </c>
      <c r="Q83" s="115">
        <f t="shared" si="18"/>
        <v>0</v>
      </c>
      <c r="R83" s="330">
        <f t="shared" si="19"/>
        <v>0</v>
      </c>
      <c r="S83" s="457"/>
      <c r="T83" s="116">
        <f t="shared" si="12"/>
        <v>0</v>
      </c>
      <c r="U83" s="469"/>
      <c r="V83" s="117">
        <f t="shared" si="20"/>
        <v>0</v>
      </c>
      <c r="W83" s="134">
        <f t="shared" si="21"/>
        <v>0</v>
      </c>
      <c r="X83" s="134">
        <f t="shared" si="22"/>
        <v>0</v>
      </c>
    </row>
    <row r="84" spans="1:24" ht="13.8" customHeight="1">
      <c r="A84" s="171" t="s">
        <v>6</v>
      </c>
      <c r="B84" s="108" t="s">
        <v>144</v>
      </c>
      <c r="C84" s="109">
        <v>2</v>
      </c>
      <c r="D84" s="110" t="s">
        <v>133</v>
      </c>
      <c r="E84" s="111"/>
      <c r="F84" s="112"/>
      <c r="G84" s="112"/>
      <c r="H84" s="421">
        <v>85</v>
      </c>
      <c r="I84" s="421">
        <f t="shared" si="13"/>
        <v>0</v>
      </c>
      <c r="J84" s="112"/>
      <c r="K84" s="433">
        <v>2</v>
      </c>
      <c r="L84" s="433">
        <f t="shared" si="14"/>
        <v>0</v>
      </c>
      <c r="M84" s="445">
        <f t="shared" si="15"/>
        <v>0</v>
      </c>
      <c r="N84" s="113">
        <f t="shared" ref="N84:N147" si="23">H84-K84</f>
        <v>83</v>
      </c>
      <c r="O84" s="279"/>
      <c r="P84" s="114">
        <f t="shared" si="17"/>
        <v>0</v>
      </c>
      <c r="Q84" s="115">
        <f t="shared" si="18"/>
        <v>0</v>
      </c>
      <c r="R84" s="330">
        <f t="shared" ref="R84:R147" si="24">N84*Q84</f>
        <v>0</v>
      </c>
      <c r="S84" s="457"/>
      <c r="T84" s="116">
        <f t="shared" ref="T84:T147" si="25">S84*H84</f>
        <v>0</v>
      </c>
      <c r="U84" s="469"/>
      <c r="V84" s="117">
        <f t="shared" ref="V84:V147" si="26">H84*U84</f>
        <v>0</v>
      </c>
      <c r="W84" s="134">
        <f t="shared" si="21"/>
        <v>0</v>
      </c>
      <c r="X84" s="134">
        <f t="shared" ref="X84:X147" si="27">K84*Q84</f>
        <v>0</v>
      </c>
    </row>
    <row r="85" spans="1:24" ht="13.8" customHeight="1">
      <c r="A85" s="171" t="s">
        <v>6</v>
      </c>
      <c r="B85" s="108" t="s">
        <v>145</v>
      </c>
      <c r="C85" s="109">
        <v>2</v>
      </c>
      <c r="D85" s="110" t="s">
        <v>133</v>
      </c>
      <c r="E85" s="111"/>
      <c r="F85" s="112"/>
      <c r="G85" s="112"/>
      <c r="H85" s="421">
        <v>110</v>
      </c>
      <c r="I85" s="421">
        <f t="shared" si="13"/>
        <v>0</v>
      </c>
      <c r="J85" s="112"/>
      <c r="K85" s="433">
        <v>3</v>
      </c>
      <c r="L85" s="433">
        <f t="shared" si="14"/>
        <v>0</v>
      </c>
      <c r="M85" s="445">
        <f t="shared" si="15"/>
        <v>0</v>
      </c>
      <c r="N85" s="113">
        <f t="shared" si="23"/>
        <v>107</v>
      </c>
      <c r="O85" s="279"/>
      <c r="P85" s="114">
        <f t="shared" si="17"/>
        <v>0</v>
      </c>
      <c r="Q85" s="115">
        <f t="shared" si="18"/>
        <v>0</v>
      </c>
      <c r="R85" s="330">
        <f t="shared" si="24"/>
        <v>0</v>
      </c>
      <c r="S85" s="457"/>
      <c r="T85" s="116">
        <f t="shared" si="25"/>
        <v>0</v>
      </c>
      <c r="U85" s="469"/>
      <c r="V85" s="117">
        <f t="shared" si="26"/>
        <v>0</v>
      </c>
      <c r="W85" s="134">
        <f t="shared" si="21"/>
        <v>0</v>
      </c>
      <c r="X85" s="134">
        <f t="shared" si="27"/>
        <v>0</v>
      </c>
    </row>
    <row r="86" spans="1:24" ht="13.8" customHeight="1">
      <c r="A86" s="171" t="s">
        <v>6</v>
      </c>
      <c r="B86" s="108" t="s">
        <v>146</v>
      </c>
      <c r="C86" s="109">
        <v>2</v>
      </c>
      <c r="D86" s="110" t="s">
        <v>133</v>
      </c>
      <c r="E86" s="111"/>
      <c r="F86" s="112"/>
      <c r="G86" s="112"/>
      <c r="H86" s="421">
        <v>85</v>
      </c>
      <c r="I86" s="421">
        <f t="shared" si="13"/>
        <v>0</v>
      </c>
      <c r="J86" s="112"/>
      <c r="K86" s="433">
        <v>2</v>
      </c>
      <c r="L86" s="433">
        <f t="shared" si="14"/>
        <v>0</v>
      </c>
      <c r="M86" s="445">
        <f t="shared" si="15"/>
        <v>0</v>
      </c>
      <c r="N86" s="113">
        <f t="shared" si="23"/>
        <v>83</v>
      </c>
      <c r="O86" s="279"/>
      <c r="P86" s="114">
        <f t="shared" si="17"/>
        <v>0</v>
      </c>
      <c r="Q86" s="115">
        <f t="shared" si="18"/>
        <v>0</v>
      </c>
      <c r="R86" s="330">
        <f t="shared" si="24"/>
        <v>0</v>
      </c>
      <c r="S86" s="457"/>
      <c r="T86" s="116">
        <f t="shared" si="25"/>
        <v>0</v>
      </c>
      <c r="U86" s="469"/>
      <c r="V86" s="117">
        <f t="shared" si="26"/>
        <v>0</v>
      </c>
      <c r="W86" s="134">
        <f t="shared" si="21"/>
        <v>0</v>
      </c>
      <c r="X86" s="134">
        <f t="shared" si="27"/>
        <v>0</v>
      </c>
    </row>
    <row r="87" spans="1:24" ht="13.8" customHeight="1">
      <c r="A87" s="171" t="s">
        <v>6</v>
      </c>
      <c r="B87" s="108" t="s">
        <v>147</v>
      </c>
      <c r="C87" s="109">
        <v>2</v>
      </c>
      <c r="D87" s="110" t="s">
        <v>133</v>
      </c>
      <c r="E87" s="111"/>
      <c r="F87" s="112"/>
      <c r="G87" s="112"/>
      <c r="H87" s="421">
        <v>26</v>
      </c>
      <c r="I87" s="421">
        <f t="shared" si="13"/>
        <v>0</v>
      </c>
      <c r="J87" s="112"/>
      <c r="K87" s="433">
        <v>1</v>
      </c>
      <c r="L87" s="433">
        <f t="shared" si="14"/>
        <v>0</v>
      </c>
      <c r="M87" s="445">
        <f t="shared" si="15"/>
        <v>0</v>
      </c>
      <c r="N87" s="113">
        <f t="shared" si="23"/>
        <v>25</v>
      </c>
      <c r="O87" s="279"/>
      <c r="P87" s="114">
        <f t="shared" si="17"/>
        <v>0</v>
      </c>
      <c r="Q87" s="115">
        <f t="shared" si="18"/>
        <v>0</v>
      </c>
      <c r="R87" s="330">
        <f t="shared" si="24"/>
        <v>0</v>
      </c>
      <c r="S87" s="457"/>
      <c r="T87" s="116">
        <f t="shared" si="25"/>
        <v>0</v>
      </c>
      <c r="U87" s="469"/>
      <c r="V87" s="117">
        <f t="shared" si="26"/>
        <v>0</v>
      </c>
      <c r="W87" s="134">
        <f t="shared" si="21"/>
        <v>0</v>
      </c>
      <c r="X87" s="134">
        <f t="shared" si="27"/>
        <v>0</v>
      </c>
    </row>
    <row r="88" spans="1:24" ht="14.4" customHeight="1" thickBot="1">
      <c r="A88" s="172" t="s">
        <v>6</v>
      </c>
      <c r="B88" s="269" t="s">
        <v>148</v>
      </c>
      <c r="C88" s="270">
        <v>2</v>
      </c>
      <c r="D88" s="175" t="s">
        <v>133</v>
      </c>
      <c r="E88" s="176"/>
      <c r="F88" s="177"/>
      <c r="G88" s="177"/>
      <c r="H88" s="422">
        <v>94</v>
      </c>
      <c r="I88" s="422">
        <f t="shared" si="13"/>
        <v>0</v>
      </c>
      <c r="J88" s="177"/>
      <c r="K88" s="434">
        <v>2</v>
      </c>
      <c r="L88" s="434">
        <f t="shared" si="14"/>
        <v>0</v>
      </c>
      <c r="M88" s="446">
        <f t="shared" si="15"/>
        <v>0</v>
      </c>
      <c r="N88" s="297">
        <f t="shared" si="23"/>
        <v>92</v>
      </c>
      <c r="O88" s="298">
        <v>0</v>
      </c>
      <c r="P88" s="271">
        <f t="shared" si="17"/>
        <v>0</v>
      </c>
      <c r="Q88" s="271">
        <f t="shared" si="18"/>
        <v>0</v>
      </c>
      <c r="R88" s="331">
        <f t="shared" si="24"/>
        <v>0</v>
      </c>
      <c r="S88" s="458"/>
      <c r="T88" s="271">
        <f t="shared" si="25"/>
        <v>0</v>
      </c>
      <c r="U88" s="470"/>
      <c r="V88" s="272">
        <f t="shared" si="26"/>
        <v>0</v>
      </c>
      <c r="W88" s="305">
        <f t="shared" si="21"/>
        <v>0</v>
      </c>
      <c r="X88" s="305">
        <f t="shared" si="27"/>
        <v>0</v>
      </c>
    </row>
    <row r="89" spans="1:24" ht="13.8" customHeight="1">
      <c r="A89" s="160" t="s">
        <v>6</v>
      </c>
      <c r="B89" s="161" t="s">
        <v>142</v>
      </c>
      <c r="C89" s="162">
        <v>3</v>
      </c>
      <c r="D89" s="163" t="s">
        <v>134</v>
      </c>
      <c r="E89" s="164"/>
      <c r="F89" s="165"/>
      <c r="G89" s="165"/>
      <c r="H89" s="420">
        <v>92</v>
      </c>
      <c r="I89" s="420">
        <f t="shared" si="13"/>
        <v>0</v>
      </c>
      <c r="J89" s="165"/>
      <c r="K89" s="432">
        <v>2</v>
      </c>
      <c r="L89" s="432">
        <f t="shared" si="14"/>
        <v>0</v>
      </c>
      <c r="M89" s="444">
        <f t="shared" si="15"/>
        <v>0</v>
      </c>
      <c r="N89" s="166">
        <f t="shared" si="23"/>
        <v>90</v>
      </c>
      <c r="O89" s="288"/>
      <c r="P89" s="167">
        <f t="shared" si="17"/>
        <v>0</v>
      </c>
      <c r="Q89" s="168">
        <f t="shared" si="18"/>
        <v>0</v>
      </c>
      <c r="R89" s="329">
        <f t="shared" si="24"/>
        <v>0</v>
      </c>
      <c r="S89" s="456"/>
      <c r="T89" s="169">
        <f t="shared" si="25"/>
        <v>0</v>
      </c>
      <c r="U89" s="468"/>
      <c r="V89" s="170">
        <f t="shared" si="26"/>
        <v>0</v>
      </c>
      <c r="W89" s="133">
        <f t="shared" si="21"/>
        <v>0</v>
      </c>
      <c r="X89" s="133">
        <f t="shared" si="27"/>
        <v>0</v>
      </c>
    </row>
    <row r="90" spans="1:24" ht="13.8" customHeight="1">
      <c r="A90" s="171" t="s">
        <v>6</v>
      </c>
      <c r="B90" s="108" t="s">
        <v>143</v>
      </c>
      <c r="C90" s="109">
        <v>3</v>
      </c>
      <c r="D90" s="110" t="s">
        <v>134</v>
      </c>
      <c r="E90" s="111"/>
      <c r="F90" s="112"/>
      <c r="G90" s="112"/>
      <c r="H90" s="421">
        <v>49</v>
      </c>
      <c r="I90" s="421">
        <f t="shared" si="13"/>
        <v>0</v>
      </c>
      <c r="J90" s="112"/>
      <c r="K90" s="433">
        <v>1</v>
      </c>
      <c r="L90" s="433">
        <f t="shared" si="14"/>
        <v>0</v>
      </c>
      <c r="M90" s="445">
        <f t="shared" si="15"/>
        <v>0</v>
      </c>
      <c r="N90" s="113">
        <f t="shared" si="23"/>
        <v>48</v>
      </c>
      <c r="O90" s="279"/>
      <c r="P90" s="114">
        <f t="shared" si="17"/>
        <v>0</v>
      </c>
      <c r="Q90" s="115">
        <f t="shared" si="18"/>
        <v>0</v>
      </c>
      <c r="R90" s="330">
        <f t="shared" si="24"/>
        <v>0</v>
      </c>
      <c r="S90" s="457"/>
      <c r="T90" s="116">
        <f t="shared" si="25"/>
        <v>0</v>
      </c>
      <c r="U90" s="469"/>
      <c r="V90" s="117">
        <f t="shared" si="26"/>
        <v>0</v>
      </c>
      <c r="W90" s="134">
        <f t="shared" si="21"/>
        <v>0</v>
      </c>
      <c r="X90" s="134">
        <f t="shared" si="27"/>
        <v>0</v>
      </c>
    </row>
    <row r="91" spans="1:24" ht="13.8" customHeight="1">
      <c r="A91" s="171" t="s">
        <v>6</v>
      </c>
      <c r="B91" s="108" t="s">
        <v>144</v>
      </c>
      <c r="C91" s="109">
        <v>3</v>
      </c>
      <c r="D91" s="110" t="s">
        <v>134</v>
      </c>
      <c r="E91" s="111"/>
      <c r="F91" s="112"/>
      <c r="G91" s="112"/>
      <c r="H91" s="421">
        <v>92</v>
      </c>
      <c r="I91" s="421">
        <f t="shared" si="13"/>
        <v>0</v>
      </c>
      <c r="J91" s="112"/>
      <c r="K91" s="433">
        <v>2</v>
      </c>
      <c r="L91" s="433">
        <f t="shared" si="14"/>
        <v>0</v>
      </c>
      <c r="M91" s="445">
        <f t="shared" si="15"/>
        <v>0</v>
      </c>
      <c r="N91" s="113">
        <f t="shared" si="23"/>
        <v>90</v>
      </c>
      <c r="O91" s="279"/>
      <c r="P91" s="114">
        <f t="shared" si="17"/>
        <v>0</v>
      </c>
      <c r="Q91" s="115">
        <f t="shared" si="18"/>
        <v>0</v>
      </c>
      <c r="R91" s="330">
        <f t="shared" si="24"/>
        <v>0</v>
      </c>
      <c r="S91" s="457"/>
      <c r="T91" s="116">
        <f t="shared" si="25"/>
        <v>0</v>
      </c>
      <c r="U91" s="469"/>
      <c r="V91" s="117">
        <f t="shared" si="26"/>
        <v>0</v>
      </c>
      <c r="W91" s="134">
        <f t="shared" si="21"/>
        <v>0</v>
      </c>
      <c r="X91" s="134">
        <f t="shared" si="27"/>
        <v>0</v>
      </c>
    </row>
    <row r="92" spans="1:24" ht="13.8" customHeight="1">
      <c r="A92" s="171" t="s">
        <v>6</v>
      </c>
      <c r="B92" s="108" t="s">
        <v>145</v>
      </c>
      <c r="C92" s="109">
        <v>3</v>
      </c>
      <c r="D92" s="110" t="s">
        <v>134</v>
      </c>
      <c r="E92" s="111"/>
      <c r="F92" s="112"/>
      <c r="G92" s="112"/>
      <c r="H92" s="421">
        <v>142</v>
      </c>
      <c r="I92" s="421">
        <f t="shared" si="13"/>
        <v>0</v>
      </c>
      <c r="J92" s="112"/>
      <c r="K92" s="433">
        <v>3</v>
      </c>
      <c r="L92" s="433">
        <f t="shared" si="14"/>
        <v>0</v>
      </c>
      <c r="M92" s="445">
        <f t="shared" si="15"/>
        <v>0</v>
      </c>
      <c r="N92" s="113">
        <f t="shared" si="23"/>
        <v>139</v>
      </c>
      <c r="O92" s="279"/>
      <c r="P92" s="114">
        <f t="shared" si="17"/>
        <v>0</v>
      </c>
      <c r="Q92" s="115">
        <f t="shared" si="18"/>
        <v>0</v>
      </c>
      <c r="R92" s="330">
        <f t="shared" si="24"/>
        <v>0</v>
      </c>
      <c r="S92" s="457"/>
      <c r="T92" s="116">
        <f t="shared" si="25"/>
        <v>0</v>
      </c>
      <c r="U92" s="469"/>
      <c r="V92" s="117">
        <f t="shared" si="26"/>
        <v>0</v>
      </c>
      <c r="W92" s="134">
        <f t="shared" si="21"/>
        <v>0</v>
      </c>
      <c r="X92" s="134">
        <f t="shared" si="27"/>
        <v>0</v>
      </c>
    </row>
    <row r="93" spans="1:24" ht="13.8" customHeight="1">
      <c r="A93" s="171" t="s">
        <v>6</v>
      </c>
      <c r="B93" s="118" t="s">
        <v>148</v>
      </c>
      <c r="C93" s="119">
        <v>3</v>
      </c>
      <c r="D93" s="110" t="s">
        <v>134</v>
      </c>
      <c r="E93" s="111"/>
      <c r="F93" s="112"/>
      <c r="G93" s="112"/>
      <c r="H93" s="421">
        <v>92</v>
      </c>
      <c r="I93" s="421">
        <f t="shared" si="13"/>
        <v>0</v>
      </c>
      <c r="J93" s="112"/>
      <c r="K93" s="433">
        <v>2</v>
      </c>
      <c r="L93" s="433">
        <f t="shared" si="14"/>
        <v>0</v>
      </c>
      <c r="M93" s="445">
        <f t="shared" si="15"/>
        <v>0</v>
      </c>
      <c r="N93" s="299">
        <f t="shared" si="23"/>
        <v>90</v>
      </c>
      <c r="O93" s="300">
        <v>0</v>
      </c>
      <c r="P93" s="120">
        <f t="shared" si="17"/>
        <v>0</v>
      </c>
      <c r="Q93" s="120">
        <f t="shared" si="18"/>
        <v>0</v>
      </c>
      <c r="R93" s="332">
        <f t="shared" si="24"/>
        <v>0</v>
      </c>
      <c r="S93" s="457"/>
      <c r="T93" s="120">
        <f t="shared" si="25"/>
        <v>0</v>
      </c>
      <c r="U93" s="469"/>
      <c r="V93" s="121">
        <f t="shared" si="26"/>
        <v>0</v>
      </c>
      <c r="W93" s="306">
        <f t="shared" si="21"/>
        <v>0</v>
      </c>
      <c r="X93" s="306">
        <f t="shared" si="27"/>
        <v>0</v>
      </c>
    </row>
    <row r="94" spans="1:24" ht="13.8" customHeight="1">
      <c r="A94" s="171" t="s">
        <v>6</v>
      </c>
      <c r="B94" s="118" t="s">
        <v>149</v>
      </c>
      <c r="C94" s="119">
        <v>3</v>
      </c>
      <c r="D94" s="110" t="s">
        <v>132</v>
      </c>
      <c r="E94" s="111"/>
      <c r="F94" s="112"/>
      <c r="G94" s="112"/>
      <c r="H94" s="421">
        <v>53</v>
      </c>
      <c r="I94" s="421">
        <f t="shared" si="13"/>
        <v>0</v>
      </c>
      <c r="J94" s="112"/>
      <c r="K94" s="433">
        <v>1</v>
      </c>
      <c r="L94" s="433">
        <f t="shared" si="14"/>
        <v>0</v>
      </c>
      <c r="M94" s="445">
        <f t="shared" si="15"/>
        <v>0</v>
      </c>
      <c r="N94" s="299">
        <f t="shared" si="23"/>
        <v>52</v>
      </c>
      <c r="O94" s="300">
        <v>0</v>
      </c>
      <c r="P94" s="120">
        <f t="shared" si="17"/>
        <v>0</v>
      </c>
      <c r="Q94" s="120">
        <f t="shared" si="18"/>
        <v>0</v>
      </c>
      <c r="R94" s="332">
        <f t="shared" si="24"/>
        <v>0</v>
      </c>
      <c r="S94" s="457"/>
      <c r="T94" s="120">
        <f t="shared" si="25"/>
        <v>0</v>
      </c>
      <c r="U94" s="469"/>
      <c r="V94" s="121">
        <f t="shared" si="26"/>
        <v>0</v>
      </c>
      <c r="W94" s="306">
        <f t="shared" si="21"/>
        <v>0</v>
      </c>
      <c r="X94" s="306">
        <f t="shared" si="27"/>
        <v>0</v>
      </c>
    </row>
    <row r="95" spans="1:24" ht="13.8" customHeight="1">
      <c r="A95" s="171" t="s">
        <v>6</v>
      </c>
      <c r="B95" s="108" t="s">
        <v>150</v>
      </c>
      <c r="C95" s="109">
        <v>3</v>
      </c>
      <c r="D95" s="110" t="s">
        <v>132</v>
      </c>
      <c r="E95" s="111"/>
      <c r="F95" s="112"/>
      <c r="G95" s="112"/>
      <c r="H95" s="421">
        <v>66</v>
      </c>
      <c r="I95" s="421">
        <f t="shared" si="13"/>
        <v>0</v>
      </c>
      <c r="J95" s="112"/>
      <c r="K95" s="433">
        <v>2</v>
      </c>
      <c r="L95" s="433">
        <f t="shared" si="14"/>
        <v>0</v>
      </c>
      <c r="M95" s="445">
        <f t="shared" si="15"/>
        <v>0</v>
      </c>
      <c r="N95" s="113">
        <f t="shared" si="23"/>
        <v>64</v>
      </c>
      <c r="O95" s="279"/>
      <c r="P95" s="114">
        <f t="shared" si="17"/>
        <v>0</v>
      </c>
      <c r="Q95" s="115">
        <f t="shared" si="18"/>
        <v>0</v>
      </c>
      <c r="R95" s="330">
        <f t="shared" si="24"/>
        <v>0</v>
      </c>
      <c r="S95" s="457"/>
      <c r="T95" s="116">
        <f t="shared" si="25"/>
        <v>0</v>
      </c>
      <c r="U95" s="469"/>
      <c r="V95" s="117">
        <f t="shared" si="26"/>
        <v>0</v>
      </c>
      <c r="W95" s="134">
        <f t="shared" si="21"/>
        <v>0</v>
      </c>
      <c r="X95" s="134">
        <f t="shared" si="27"/>
        <v>0</v>
      </c>
    </row>
    <row r="96" spans="1:24" ht="13.8" customHeight="1">
      <c r="A96" s="171" t="s">
        <v>6</v>
      </c>
      <c r="B96" s="108" t="s">
        <v>151</v>
      </c>
      <c r="C96" s="109">
        <v>3</v>
      </c>
      <c r="D96" s="110" t="s">
        <v>132</v>
      </c>
      <c r="E96" s="111"/>
      <c r="F96" s="112"/>
      <c r="G96" s="112"/>
      <c r="H96" s="421">
        <v>20</v>
      </c>
      <c r="I96" s="421">
        <f t="shared" si="13"/>
        <v>0</v>
      </c>
      <c r="J96" s="112"/>
      <c r="K96" s="433">
        <v>0</v>
      </c>
      <c r="L96" s="433">
        <f t="shared" si="14"/>
        <v>0</v>
      </c>
      <c r="M96" s="445">
        <f t="shared" si="15"/>
        <v>0</v>
      </c>
      <c r="N96" s="113">
        <f t="shared" si="23"/>
        <v>20</v>
      </c>
      <c r="O96" s="279"/>
      <c r="P96" s="114">
        <f t="shared" si="17"/>
        <v>0</v>
      </c>
      <c r="Q96" s="115">
        <f t="shared" si="18"/>
        <v>0</v>
      </c>
      <c r="R96" s="330">
        <f t="shared" si="24"/>
        <v>0</v>
      </c>
      <c r="S96" s="457"/>
      <c r="T96" s="116">
        <f t="shared" si="25"/>
        <v>0</v>
      </c>
      <c r="U96" s="469"/>
      <c r="V96" s="117">
        <f t="shared" si="26"/>
        <v>0</v>
      </c>
      <c r="W96" s="134">
        <f t="shared" si="21"/>
        <v>0</v>
      </c>
      <c r="X96" s="134">
        <f t="shared" si="27"/>
        <v>0</v>
      </c>
    </row>
    <row r="97" spans="1:24" ht="13.8" customHeight="1">
      <c r="A97" s="171" t="s">
        <v>6</v>
      </c>
      <c r="B97" s="108" t="s">
        <v>152</v>
      </c>
      <c r="C97" s="109">
        <v>3</v>
      </c>
      <c r="D97" s="110" t="s">
        <v>132</v>
      </c>
      <c r="E97" s="111"/>
      <c r="F97" s="112"/>
      <c r="G97" s="112"/>
      <c r="H97" s="421">
        <v>69</v>
      </c>
      <c r="I97" s="421">
        <f t="shared" si="13"/>
        <v>0</v>
      </c>
      <c r="J97" s="112"/>
      <c r="K97" s="433">
        <v>2</v>
      </c>
      <c r="L97" s="433">
        <f t="shared" si="14"/>
        <v>0</v>
      </c>
      <c r="M97" s="445">
        <f t="shared" si="15"/>
        <v>0</v>
      </c>
      <c r="N97" s="113">
        <f t="shared" si="23"/>
        <v>67</v>
      </c>
      <c r="O97" s="279"/>
      <c r="P97" s="114">
        <f t="shared" si="17"/>
        <v>0</v>
      </c>
      <c r="Q97" s="115">
        <f t="shared" si="18"/>
        <v>0</v>
      </c>
      <c r="R97" s="330">
        <f t="shared" si="24"/>
        <v>0</v>
      </c>
      <c r="S97" s="457"/>
      <c r="T97" s="116">
        <f t="shared" si="25"/>
        <v>0</v>
      </c>
      <c r="U97" s="469"/>
      <c r="V97" s="117">
        <f t="shared" si="26"/>
        <v>0</v>
      </c>
      <c r="W97" s="134">
        <f t="shared" si="21"/>
        <v>0</v>
      </c>
      <c r="X97" s="134">
        <f t="shared" si="27"/>
        <v>0</v>
      </c>
    </row>
    <row r="98" spans="1:24" ht="13.8" customHeight="1">
      <c r="A98" s="171" t="s">
        <v>6</v>
      </c>
      <c r="B98" s="108" t="s">
        <v>153</v>
      </c>
      <c r="C98" s="109">
        <v>3</v>
      </c>
      <c r="D98" s="110" t="s">
        <v>132</v>
      </c>
      <c r="E98" s="111"/>
      <c r="F98" s="112"/>
      <c r="G98" s="112"/>
      <c r="H98" s="421">
        <v>29</v>
      </c>
      <c r="I98" s="421">
        <f t="shared" si="13"/>
        <v>0</v>
      </c>
      <c r="J98" s="112"/>
      <c r="K98" s="433">
        <v>1</v>
      </c>
      <c r="L98" s="433">
        <f t="shared" si="14"/>
        <v>0</v>
      </c>
      <c r="M98" s="445">
        <f t="shared" si="15"/>
        <v>0</v>
      </c>
      <c r="N98" s="113">
        <f t="shared" si="23"/>
        <v>28</v>
      </c>
      <c r="O98" s="279"/>
      <c r="P98" s="114">
        <f t="shared" si="17"/>
        <v>0</v>
      </c>
      <c r="Q98" s="115">
        <f t="shared" si="18"/>
        <v>0</v>
      </c>
      <c r="R98" s="330">
        <f t="shared" si="24"/>
        <v>0</v>
      </c>
      <c r="S98" s="457"/>
      <c r="T98" s="116">
        <f t="shared" si="25"/>
        <v>0</v>
      </c>
      <c r="U98" s="469"/>
      <c r="V98" s="117">
        <f t="shared" si="26"/>
        <v>0</v>
      </c>
      <c r="W98" s="134">
        <f t="shared" si="21"/>
        <v>0</v>
      </c>
      <c r="X98" s="134">
        <f t="shared" si="27"/>
        <v>0</v>
      </c>
    </row>
    <row r="99" spans="1:24" ht="13.8" customHeight="1">
      <c r="A99" s="171" t="s">
        <v>6</v>
      </c>
      <c r="B99" s="118" t="s">
        <v>154</v>
      </c>
      <c r="C99" s="119">
        <v>3</v>
      </c>
      <c r="D99" s="110" t="s">
        <v>132</v>
      </c>
      <c r="E99" s="111"/>
      <c r="F99" s="112"/>
      <c r="G99" s="112"/>
      <c r="H99" s="421">
        <v>105</v>
      </c>
      <c r="I99" s="421">
        <f t="shared" si="13"/>
        <v>0</v>
      </c>
      <c r="J99" s="112"/>
      <c r="K99" s="433">
        <v>2</v>
      </c>
      <c r="L99" s="433">
        <f t="shared" si="14"/>
        <v>0</v>
      </c>
      <c r="M99" s="445">
        <f t="shared" si="15"/>
        <v>0</v>
      </c>
      <c r="N99" s="299">
        <f t="shared" si="23"/>
        <v>103</v>
      </c>
      <c r="O99" s="300">
        <v>0</v>
      </c>
      <c r="P99" s="120">
        <f t="shared" si="17"/>
        <v>0</v>
      </c>
      <c r="Q99" s="120">
        <f t="shared" si="18"/>
        <v>0</v>
      </c>
      <c r="R99" s="332">
        <f t="shared" si="24"/>
        <v>0</v>
      </c>
      <c r="S99" s="457"/>
      <c r="T99" s="120">
        <f t="shared" si="25"/>
        <v>0</v>
      </c>
      <c r="U99" s="469"/>
      <c r="V99" s="121">
        <f t="shared" si="26"/>
        <v>0</v>
      </c>
      <c r="W99" s="306">
        <f t="shared" si="21"/>
        <v>0</v>
      </c>
      <c r="X99" s="306">
        <f t="shared" si="27"/>
        <v>0</v>
      </c>
    </row>
    <row r="100" spans="1:24" ht="13.8" customHeight="1">
      <c r="A100" s="171" t="s">
        <v>6</v>
      </c>
      <c r="B100" s="108" t="s">
        <v>180</v>
      </c>
      <c r="C100" s="109">
        <v>3</v>
      </c>
      <c r="D100" s="110" t="s">
        <v>132</v>
      </c>
      <c r="E100" s="111"/>
      <c r="F100" s="112"/>
      <c r="G100" s="112"/>
      <c r="H100" s="421">
        <v>74</v>
      </c>
      <c r="I100" s="421">
        <f t="shared" si="13"/>
        <v>0</v>
      </c>
      <c r="J100" s="112"/>
      <c r="K100" s="433">
        <v>2</v>
      </c>
      <c r="L100" s="433">
        <f t="shared" si="14"/>
        <v>0</v>
      </c>
      <c r="M100" s="445">
        <f t="shared" si="15"/>
        <v>0</v>
      </c>
      <c r="N100" s="113">
        <f t="shared" si="23"/>
        <v>72</v>
      </c>
      <c r="O100" s="279"/>
      <c r="P100" s="114">
        <f t="shared" si="17"/>
        <v>0</v>
      </c>
      <c r="Q100" s="115">
        <f t="shared" si="18"/>
        <v>0</v>
      </c>
      <c r="R100" s="330">
        <f t="shared" si="24"/>
        <v>0</v>
      </c>
      <c r="S100" s="457"/>
      <c r="T100" s="116">
        <f t="shared" si="25"/>
        <v>0</v>
      </c>
      <c r="U100" s="469"/>
      <c r="V100" s="117">
        <f t="shared" si="26"/>
        <v>0</v>
      </c>
      <c r="W100" s="134">
        <f t="shared" si="21"/>
        <v>0</v>
      </c>
      <c r="X100" s="134">
        <f t="shared" si="27"/>
        <v>0</v>
      </c>
    </row>
    <row r="101" spans="1:24" ht="14.4" customHeight="1" thickBot="1">
      <c r="A101" s="172" t="s">
        <v>6</v>
      </c>
      <c r="B101" s="173" t="s">
        <v>181</v>
      </c>
      <c r="C101" s="174">
        <v>3</v>
      </c>
      <c r="D101" s="175" t="s">
        <v>132</v>
      </c>
      <c r="E101" s="176"/>
      <c r="F101" s="177"/>
      <c r="G101" s="177"/>
      <c r="H101" s="422">
        <v>28</v>
      </c>
      <c r="I101" s="422">
        <f t="shared" si="13"/>
        <v>0</v>
      </c>
      <c r="J101" s="177"/>
      <c r="K101" s="434">
        <v>1</v>
      </c>
      <c r="L101" s="434">
        <f t="shared" si="14"/>
        <v>0</v>
      </c>
      <c r="M101" s="446">
        <f t="shared" si="15"/>
        <v>0</v>
      </c>
      <c r="N101" s="178">
        <f t="shared" si="23"/>
        <v>27</v>
      </c>
      <c r="O101" s="289"/>
      <c r="P101" s="179">
        <f t="shared" si="17"/>
        <v>0</v>
      </c>
      <c r="Q101" s="180">
        <f t="shared" si="18"/>
        <v>0</v>
      </c>
      <c r="R101" s="333">
        <f t="shared" si="24"/>
        <v>0</v>
      </c>
      <c r="S101" s="458"/>
      <c r="T101" s="181">
        <f t="shared" si="25"/>
        <v>0</v>
      </c>
      <c r="U101" s="470"/>
      <c r="V101" s="182">
        <f t="shared" si="26"/>
        <v>0</v>
      </c>
      <c r="W101" s="135">
        <f t="shared" si="21"/>
        <v>0</v>
      </c>
      <c r="X101" s="135">
        <f t="shared" si="27"/>
        <v>0</v>
      </c>
    </row>
    <row r="102" spans="1:24" ht="13.8" customHeight="1">
      <c r="A102" s="160" t="s">
        <v>6</v>
      </c>
      <c r="B102" s="161" t="s">
        <v>142</v>
      </c>
      <c r="C102" s="162">
        <v>4</v>
      </c>
      <c r="D102" s="163" t="s">
        <v>135</v>
      </c>
      <c r="E102" s="164"/>
      <c r="F102" s="165"/>
      <c r="G102" s="165"/>
      <c r="H102" s="420">
        <v>94</v>
      </c>
      <c r="I102" s="420">
        <f t="shared" si="13"/>
        <v>0</v>
      </c>
      <c r="J102" s="165"/>
      <c r="K102" s="432">
        <v>2</v>
      </c>
      <c r="L102" s="432">
        <f t="shared" si="14"/>
        <v>0</v>
      </c>
      <c r="M102" s="444">
        <f t="shared" si="15"/>
        <v>0</v>
      </c>
      <c r="N102" s="166">
        <f t="shared" si="23"/>
        <v>92</v>
      </c>
      <c r="O102" s="288"/>
      <c r="P102" s="167">
        <f t="shared" si="17"/>
        <v>0</v>
      </c>
      <c r="Q102" s="168">
        <f t="shared" si="18"/>
        <v>0</v>
      </c>
      <c r="R102" s="329">
        <f t="shared" si="24"/>
        <v>0</v>
      </c>
      <c r="S102" s="456"/>
      <c r="T102" s="169">
        <f t="shared" si="25"/>
        <v>0</v>
      </c>
      <c r="U102" s="468"/>
      <c r="V102" s="170">
        <f t="shared" si="26"/>
        <v>0</v>
      </c>
      <c r="W102" s="133">
        <f t="shared" si="21"/>
        <v>0</v>
      </c>
      <c r="X102" s="133">
        <f t="shared" si="27"/>
        <v>0</v>
      </c>
    </row>
    <row r="103" spans="1:24" ht="13.8" customHeight="1">
      <c r="A103" s="171" t="s">
        <v>6</v>
      </c>
      <c r="B103" s="108" t="s">
        <v>143</v>
      </c>
      <c r="C103" s="109">
        <v>4</v>
      </c>
      <c r="D103" s="110" t="s">
        <v>135</v>
      </c>
      <c r="E103" s="111"/>
      <c r="F103" s="112"/>
      <c r="G103" s="112"/>
      <c r="H103" s="421">
        <v>49</v>
      </c>
      <c r="I103" s="421">
        <f t="shared" si="13"/>
        <v>0</v>
      </c>
      <c r="J103" s="112"/>
      <c r="K103" s="433">
        <v>1</v>
      </c>
      <c r="L103" s="433">
        <f t="shared" si="14"/>
        <v>0</v>
      </c>
      <c r="M103" s="445">
        <f t="shared" si="15"/>
        <v>0</v>
      </c>
      <c r="N103" s="113">
        <f t="shared" si="23"/>
        <v>48</v>
      </c>
      <c r="O103" s="279"/>
      <c r="P103" s="114">
        <f t="shared" si="17"/>
        <v>0</v>
      </c>
      <c r="Q103" s="115">
        <f t="shared" si="18"/>
        <v>0</v>
      </c>
      <c r="R103" s="330">
        <f t="shared" si="24"/>
        <v>0</v>
      </c>
      <c r="S103" s="457"/>
      <c r="T103" s="116">
        <f t="shared" si="25"/>
        <v>0</v>
      </c>
      <c r="U103" s="469"/>
      <c r="V103" s="117">
        <f t="shared" si="26"/>
        <v>0</v>
      </c>
      <c r="W103" s="134">
        <f t="shared" si="21"/>
        <v>0</v>
      </c>
      <c r="X103" s="134">
        <f t="shared" si="27"/>
        <v>0</v>
      </c>
    </row>
    <row r="104" spans="1:24" ht="13.8" customHeight="1">
      <c r="A104" s="171" t="s">
        <v>6</v>
      </c>
      <c r="B104" s="108" t="s">
        <v>144</v>
      </c>
      <c r="C104" s="109">
        <v>4</v>
      </c>
      <c r="D104" s="110" t="s">
        <v>135</v>
      </c>
      <c r="E104" s="111"/>
      <c r="F104" s="112"/>
      <c r="G104" s="112"/>
      <c r="H104" s="421">
        <v>94</v>
      </c>
      <c r="I104" s="421">
        <f t="shared" si="13"/>
        <v>0</v>
      </c>
      <c r="J104" s="112"/>
      <c r="K104" s="433">
        <v>2</v>
      </c>
      <c r="L104" s="433">
        <f t="shared" si="14"/>
        <v>0</v>
      </c>
      <c r="M104" s="445">
        <f t="shared" si="15"/>
        <v>0</v>
      </c>
      <c r="N104" s="113">
        <f t="shared" si="23"/>
        <v>92</v>
      </c>
      <c r="O104" s="279"/>
      <c r="P104" s="114">
        <f t="shared" si="17"/>
        <v>0</v>
      </c>
      <c r="Q104" s="115">
        <f t="shared" si="18"/>
        <v>0</v>
      </c>
      <c r="R104" s="330">
        <f t="shared" si="24"/>
        <v>0</v>
      </c>
      <c r="S104" s="457"/>
      <c r="T104" s="116">
        <f t="shared" si="25"/>
        <v>0</v>
      </c>
      <c r="U104" s="469"/>
      <c r="V104" s="117">
        <f t="shared" si="26"/>
        <v>0</v>
      </c>
      <c r="W104" s="134">
        <f t="shared" si="21"/>
        <v>0</v>
      </c>
      <c r="X104" s="134">
        <f t="shared" si="27"/>
        <v>0</v>
      </c>
    </row>
    <row r="105" spans="1:24" ht="13.8" customHeight="1">
      <c r="A105" s="171" t="s">
        <v>6</v>
      </c>
      <c r="B105" s="108" t="s">
        <v>145</v>
      </c>
      <c r="C105" s="109">
        <v>4</v>
      </c>
      <c r="D105" s="110" t="s">
        <v>135</v>
      </c>
      <c r="E105" s="111"/>
      <c r="F105" s="112"/>
      <c r="G105" s="112"/>
      <c r="H105" s="421">
        <v>118</v>
      </c>
      <c r="I105" s="421">
        <f t="shared" si="13"/>
        <v>0</v>
      </c>
      <c r="J105" s="112"/>
      <c r="K105" s="433">
        <v>3</v>
      </c>
      <c r="L105" s="433">
        <f t="shared" si="14"/>
        <v>0</v>
      </c>
      <c r="M105" s="445">
        <f t="shared" si="15"/>
        <v>0</v>
      </c>
      <c r="N105" s="113">
        <f t="shared" si="23"/>
        <v>115</v>
      </c>
      <c r="O105" s="279"/>
      <c r="P105" s="114">
        <f t="shared" si="17"/>
        <v>0</v>
      </c>
      <c r="Q105" s="115">
        <f t="shared" si="18"/>
        <v>0</v>
      </c>
      <c r="R105" s="330">
        <f t="shared" si="24"/>
        <v>0</v>
      </c>
      <c r="S105" s="457"/>
      <c r="T105" s="116">
        <f t="shared" si="25"/>
        <v>0</v>
      </c>
      <c r="U105" s="469"/>
      <c r="V105" s="117">
        <f t="shared" si="26"/>
        <v>0</v>
      </c>
      <c r="W105" s="134">
        <f t="shared" si="21"/>
        <v>0</v>
      </c>
      <c r="X105" s="134">
        <f t="shared" si="27"/>
        <v>0</v>
      </c>
    </row>
    <row r="106" spans="1:24" ht="13.8" customHeight="1">
      <c r="A106" s="171" t="s">
        <v>6</v>
      </c>
      <c r="B106" s="118" t="s">
        <v>148</v>
      </c>
      <c r="C106" s="119">
        <v>4</v>
      </c>
      <c r="D106" s="110" t="s">
        <v>135</v>
      </c>
      <c r="E106" s="111"/>
      <c r="F106" s="112"/>
      <c r="G106" s="112"/>
      <c r="H106" s="421">
        <v>116</v>
      </c>
      <c r="I106" s="421">
        <f t="shared" si="13"/>
        <v>0</v>
      </c>
      <c r="J106" s="112"/>
      <c r="K106" s="433">
        <v>3</v>
      </c>
      <c r="L106" s="433">
        <f t="shared" si="14"/>
        <v>0</v>
      </c>
      <c r="M106" s="445">
        <f t="shared" si="15"/>
        <v>0</v>
      </c>
      <c r="N106" s="299">
        <f t="shared" si="23"/>
        <v>113</v>
      </c>
      <c r="O106" s="300">
        <v>0</v>
      </c>
      <c r="P106" s="120">
        <f t="shared" si="17"/>
        <v>0</v>
      </c>
      <c r="Q106" s="120">
        <f t="shared" si="18"/>
        <v>0</v>
      </c>
      <c r="R106" s="332">
        <f t="shared" si="24"/>
        <v>0</v>
      </c>
      <c r="S106" s="457"/>
      <c r="T106" s="120">
        <f t="shared" si="25"/>
        <v>0</v>
      </c>
      <c r="U106" s="469"/>
      <c r="V106" s="121">
        <f t="shared" si="26"/>
        <v>0</v>
      </c>
      <c r="W106" s="306">
        <f t="shared" si="21"/>
        <v>0</v>
      </c>
      <c r="X106" s="306">
        <f t="shared" si="27"/>
        <v>0</v>
      </c>
    </row>
    <row r="107" spans="1:24" ht="13.8" customHeight="1">
      <c r="A107" s="171" t="s">
        <v>6</v>
      </c>
      <c r="B107" s="118" t="s">
        <v>149</v>
      </c>
      <c r="C107" s="119">
        <v>4</v>
      </c>
      <c r="D107" s="110" t="s">
        <v>133</v>
      </c>
      <c r="E107" s="111"/>
      <c r="F107" s="112"/>
      <c r="G107" s="112"/>
      <c r="H107" s="421">
        <v>49</v>
      </c>
      <c r="I107" s="421">
        <f t="shared" si="13"/>
        <v>0</v>
      </c>
      <c r="J107" s="112"/>
      <c r="K107" s="433">
        <v>1</v>
      </c>
      <c r="L107" s="433">
        <f t="shared" si="14"/>
        <v>0</v>
      </c>
      <c r="M107" s="445">
        <f t="shared" si="15"/>
        <v>0</v>
      </c>
      <c r="N107" s="299">
        <f t="shared" si="23"/>
        <v>48</v>
      </c>
      <c r="O107" s="300">
        <v>0</v>
      </c>
      <c r="P107" s="120">
        <f t="shared" si="17"/>
        <v>0</v>
      </c>
      <c r="Q107" s="120">
        <f t="shared" si="18"/>
        <v>0</v>
      </c>
      <c r="R107" s="332">
        <f t="shared" si="24"/>
        <v>0</v>
      </c>
      <c r="S107" s="457"/>
      <c r="T107" s="120">
        <f t="shared" si="25"/>
        <v>0</v>
      </c>
      <c r="U107" s="469"/>
      <c r="V107" s="121">
        <f t="shared" si="26"/>
        <v>0</v>
      </c>
      <c r="W107" s="306">
        <f t="shared" si="21"/>
        <v>0</v>
      </c>
      <c r="X107" s="306">
        <f t="shared" si="27"/>
        <v>0</v>
      </c>
    </row>
    <row r="108" spans="1:24" ht="13.8" customHeight="1">
      <c r="A108" s="171" t="s">
        <v>6</v>
      </c>
      <c r="B108" s="108" t="s">
        <v>150</v>
      </c>
      <c r="C108" s="109">
        <v>4</v>
      </c>
      <c r="D108" s="110" t="s">
        <v>133</v>
      </c>
      <c r="E108" s="111"/>
      <c r="F108" s="112"/>
      <c r="G108" s="112"/>
      <c r="H108" s="421">
        <v>73</v>
      </c>
      <c r="I108" s="421">
        <f t="shared" si="13"/>
        <v>0</v>
      </c>
      <c r="J108" s="112"/>
      <c r="K108" s="433">
        <v>2</v>
      </c>
      <c r="L108" s="433">
        <f t="shared" si="14"/>
        <v>0</v>
      </c>
      <c r="M108" s="445">
        <f t="shared" si="15"/>
        <v>0</v>
      </c>
      <c r="N108" s="113">
        <f t="shared" si="23"/>
        <v>71</v>
      </c>
      <c r="O108" s="279"/>
      <c r="P108" s="114">
        <f t="shared" si="17"/>
        <v>0</v>
      </c>
      <c r="Q108" s="115">
        <f t="shared" si="18"/>
        <v>0</v>
      </c>
      <c r="R108" s="330">
        <f t="shared" si="24"/>
        <v>0</v>
      </c>
      <c r="S108" s="457"/>
      <c r="T108" s="116">
        <f t="shared" si="25"/>
        <v>0</v>
      </c>
      <c r="U108" s="469"/>
      <c r="V108" s="117">
        <f t="shared" si="26"/>
        <v>0</v>
      </c>
      <c r="W108" s="134">
        <f t="shared" si="21"/>
        <v>0</v>
      </c>
      <c r="X108" s="134">
        <f t="shared" si="27"/>
        <v>0</v>
      </c>
    </row>
    <row r="109" spans="1:24" ht="13.8" customHeight="1">
      <c r="A109" s="171" t="s">
        <v>6</v>
      </c>
      <c r="B109" s="108" t="s">
        <v>151</v>
      </c>
      <c r="C109" s="109">
        <v>4</v>
      </c>
      <c r="D109" s="110" t="s">
        <v>133</v>
      </c>
      <c r="E109" s="111"/>
      <c r="F109" s="112"/>
      <c r="G109" s="112"/>
      <c r="H109" s="421">
        <v>21</v>
      </c>
      <c r="I109" s="421">
        <f t="shared" si="13"/>
        <v>0</v>
      </c>
      <c r="J109" s="112"/>
      <c r="K109" s="433">
        <v>0</v>
      </c>
      <c r="L109" s="433">
        <f t="shared" si="14"/>
        <v>0</v>
      </c>
      <c r="M109" s="445">
        <f t="shared" si="15"/>
        <v>0</v>
      </c>
      <c r="N109" s="113">
        <f t="shared" si="23"/>
        <v>21</v>
      </c>
      <c r="O109" s="279"/>
      <c r="P109" s="114">
        <f t="shared" si="17"/>
        <v>0</v>
      </c>
      <c r="Q109" s="115">
        <f t="shared" si="18"/>
        <v>0</v>
      </c>
      <c r="R109" s="330">
        <f t="shared" si="24"/>
        <v>0</v>
      </c>
      <c r="S109" s="457"/>
      <c r="T109" s="116">
        <f t="shared" si="25"/>
        <v>0</v>
      </c>
      <c r="U109" s="469"/>
      <c r="V109" s="117">
        <f t="shared" si="26"/>
        <v>0</v>
      </c>
      <c r="W109" s="134">
        <f t="shared" si="21"/>
        <v>0</v>
      </c>
      <c r="X109" s="134">
        <f t="shared" si="27"/>
        <v>0</v>
      </c>
    </row>
    <row r="110" spans="1:24" ht="13.8" customHeight="1">
      <c r="A110" s="171" t="s">
        <v>6</v>
      </c>
      <c r="B110" s="108" t="s">
        <v>152</v>
      </c>
      <c r="C110" s="109">
        <v>4</v>
      </c>
      <c r="D110" s="110" t="s">
        <v>133</v>
      </c>
      <c r="E110" s="111"/>
      <c r="F110" s="112"/>
      <c r="G110" s="112"/>
      <c r="H110" s="421">
        <v>70</v>
      </c>
      <c r="I110" s="421">
        <f t="shared" si="13"/>
        <v>0</v>
      </c>
      <c r="J110" s="112"/>
      <c r="K110" s="433">
        <v>2</v>
      </c>
      <c r="L110" s="433">
        <f t="shared" si="14"/>
        <v>0</v>
      </c>
      <c r="M110" s="445">
        <f t="shared" si="15"/>
        <v>0</v>
      </c>
      <c r="N110" s="113">
        <f t="shared" si="23"/>
        <v>68</v>
      </c>
      <c r="O110" s="279"/>
      <c r="P110" s="114">
        <f t="shared" si="17"/>
        <v>0</v>
      </c>
      <c r="Q110" s="115">
        <f t="shared" si="18"/>
        <v>0</v>
      </c>
      <c r="R110" s="330">
        <f t="shared" si="24"/>
        <v>0</v>
      </c>
      <c r="S110" s="457"/>
      <c r="T110" s="116">
        <f t="shared" si="25"/>
        <v>0</v>
      </c>
      <c r="U110" s="469"/>
      <c r="V110" s="117">
        <f t="shared" si="26"/>
        <v>0</v>
      </c>
      <c r="W110" s="134">
        <f t="shared" si="21"/>
        <v>0</v>
      </c>
      <c r="X110" s="134">
        <f t="shared" si="27"/>
        <v>0</v>
      </c>
    </row>
    <row r="111" spans="1:24" ht="13.8" customHeight="1">
      <c r="A111" s="171" t="s">
        <v>6</v>
      </c>
      <c r="B111" s="108" t="s">
        <v>153</v>
      </c>
      <c r="C111" s="109">
        <v>4</v>
      </c>
      <c r="D111" s="110" t="s">
        <v>133</v>
      </c>
      <c r="E111" s="111"/>
      <c r="F111" s="112"/>
      <c r="G111" s="112"/>
      <c r="H111" s="421">
        <v>33</v>
      </c>
      <c r="I111" s="421">
        <f t="shared" si="13"/>
        <v>0</v>
      </c>
      <c r="J111" s="112"/>
      <c r="K111" s="433">
        <v>1</v>
      </c>
      <c r="L111" s="433">
        <f t="shared" si="14"/>
        <v>0</v>
      </c>
      <c r="M111" s="445">
        <f t="shared" si="15"/>
        <v>0</v>
      </c>
      <c r="N111" s="113">
        <f t="shared" si="23"/>
        <v>32</v>
      </c>
      <c r="O111" s="279"/>
      <c r="P111" s="114">
        <f t="shared" si="17"/>
        <v>0</v>
      </c>
      <c r="Q111" s="115">
        <f t="shared" si="18"/>
        <v>0</v>
      </c>
      <c r="R111" s="330">
        <f t="shared" si="24"/>
        <v>0</v>
      </c>
      <c r="S111" s="457"/>
      <c r="T111" s="116">
        <f t="shared" si="25"/>
        <v>0</v>
      </c>
      <c r="U111" s="469"/>
      <c r="V111" s="117">
        <f t="shared" si="26"/>
        <v>0</v>
      </c>
      <c r="W111" s="134">
        <f t="shared" si="21"/>
        <v>0</v>
      </c>
      <c r="X111" s="134">
        <f t="shared" si="27"/>
        <v>0</v>
      </c>
    </row>
    <row r="112" spans="1:24" ht="13.8" customHeight="1">
      <c r="A112" s="171" t="s">
        <v>6</v>
      </c>
      <c r="B112" s="118" t="s">
        <v>154</v>
      </c>
      <c r="C112" s="119">
        <v>4</v>
      </c>
      <c r="D112" s="110" t="s">
        <v>133</v>
      </c>
      <c r="E112" s="111"/>
      <c r="F112" s="112"/>
      <c r="G112" s="112"/>
      <c r="H112" s="421">
        <v>115</v>
      </c>
      <c r="I112" s="421">
        <f t="shared" si="13"/>
        <v>0</v>
      </c>
      <c r="J112" s="112"/>
      <c r="K112" s="433">
        <v>3</v>
      </c>
      <c r="L112" s="433">
        <f t="shared" si="14"/>
        <v>0</v>
      </c>
      <c r="M112" s="445">
        <f t="shared" si="15"/>
        <v>0</v>
      </c>
      <c r="N112" s="299">
        <f t="shared" si="23"/>
        <v>112</v>
      </c>
      <c r="O112" s="300">
        <v>0</v>
      </c>
      <c r="P112" s="120">
        <f t="shared" si="17"/>
        <v>0</v>
      </c>
      <c r="Q112" s="120">
        <f t="shared" si="18"/>
        <v>0</v>
      </c>
      <c r="R112" s="332">
        <f t="shared" si="24"/>
        <v>0</v>
      </c>
      <c r="S112" s="457"/>
      <c r="T112" s="120">
        <f t="shared" si="25"/>
        <v>0</v>
      </c>
      <c r="U112" s="469"/>
      <c r="V112" s="121">
        <f t="shared" si="26"/>
        <v>0</v>
      </c>
      <c r="W112" s="306">
        <f t="shared" si="21"/>
        <v>0</v>
      </c>
      <c r="X112" s="306">
        <f t="shared" si="27"/>
        <v>0</v>
      </c>
    </row>
    <row r="113" spans="1:24" ht="13.8" customHeight="1">
      <c r="A113" s="171" t="s">
        <v>6</v>
      </c>
      <c r="B113" s="108" t="s">
        <v>168</v>
      </c>
      <c r="C113" s="109">
        <v>4</v>
      </c>
      <c r="D113" s="110" t="s">
        <v>133</v>
      </c>
      <c r="E113" s="111"/>
      <c r="F113" s="112"/>
      <c r="G113" s="112"/>
      <c r="H113" s="421">
        <v>86</v>
      </c>
      <c r="I113" s="421">
        <f t="shared" si="13"/>
        <v>0</v>
      </c>
      <c r="J113" s="112"/>
      <c r="K113" s="433">
        <v>2</v>
      </c>
      <c r="L113" s="433">
        <f t="shared" si="14"/>
        <v>0</v>
      </c>
      <c r="M113" s="445">
        <f t="shared" si="15"/>
        <v>0</v>
      </c>
      <c r="N113" s="113">
        <f t="shared" si="23"/>
        <v>84</v>
      </c>
      <c r="O113" s="279"/>
      <c r="P113" s="114">
        <f t="shared" si="17"/>
        <v>0</v>
      </c>
      <c r="Q113" s="115">
        <f t="shared" si="18"/>
        <v>0</v>
      </c>
      <c r="R113" s="330">
        <f t="shared" si="24"/>
        <v>0</v>
      </c>
      <c r="S113" s="457"/>
      <c r="T113" s="116">
        <f t="shared" si="25"/>
        <v>0</v>
      </c>
      <c r="U113" s="469"/>
      <c r="V113" s="117">
        <f t="shared" si="26"/>
        <v>0</v>
      </c>
      <c r="W113" s="134">
        <f t="shared" si="21"/>
        <v>0</v>
      </c>
      <c r="X113" s="134">
        <f t="shared" si="27"/>
        <v>0</v>
      </c>
    </row>
    <row r="114" spans="1:24" ht="14.4" customHeight="1" thickBot="1">
      <c r="A114" s="172" t="s">
        <v>6</v>
      </c>
      <c r="B114" s="173" t="s">
        <v>169</v>
      </c>
      <c r="C114" s="174">
        <v>4</v>
      </c>
      <c r="D114" s="175" t="s">
        <v>133</v>
      </c>
      <c r="E114" s="176"/>
      <c r="F114" s="177"/>
      <c r="G114" s="177"/>
      <c r="H114" s="422">
        <v>31</v>
      </c>
      <c r="I114" s="422">
        <f t="shared" si="13"/>
        <v>0</v>
      </c>
      <c r="J114" s="177"/>
      <c r="K114" s="434">
        <v>1</v>
      </c>
      <c r="L114" s="434">
        <f t="shared" si="14"/>
        <v>0</v>
      </c>
      <c r="M114" s="446">
        <f t="shared" si="15"/>
        <v>0</v>
      </c>
      <c r="N114" s="178">
        <f t="shared" si="23"/>
        <v>30</v>
      </c>
      <c r="O114" s="289"/>
      <c r="P114" s="179">
        <f t="shared" si="17"/>
        <v>0</v>
      </c>
      <c r="Q114" s="180">
        <f t="shared" si="18"/>
        <v>0</v>
      </c>
      <c r="R114" s="333">
        <f t="shared" si="24"/>
        <v>0</v>
      </c>
      <c r="S114" s="458"/>
      <c r="T114" s="181">
        <f t="shared" si="25"/>
        <v>0</v>
      </c>
      <c r="U114" s="470"/>
      <c r="V114" s="182">
        <f t="shared" si="26"/>
        <v>0</v>
      </c>
      <c r="W114" s="135">
        <f t="shared" si="21"/>
        <v>0</v>
      </c>
      <c r="X114" s="135">
        <f t="shared" si="27"/>
        <v>0</v>
      </c>
    </row>
    <row r="115" spans="1:24" ht="13.8" customHeight="1">
      <c r="A115" s="160" t="s">
        <v>6</v>
      </c>
      <c r="B115" s="161" t="s">
        <v>142</v>
      </c>
      <c r="C115" s="162">
        <v>5</v>
      </c>
      <c r="D115" s="163" t="s">
        <v>136</v>
      </c>
      <c r="E115" s="164"/>
      <c r="F115" s="165"/>
      <c r="G115" s="165"/>
      <c r="H115" s="420">
        <v>57</v>
      </c>
      <c r="I115" s="420">
        <f t="shared" si="13"/>
        <v>0</v>
      </c>
      <c r="J115" s="165"/>
      <c r="K115" s="432">
        <v>0</v>
      </c>
      <c r="L115" s="432">
        <f t="shared" si="14"/>
        <v>0</v>
      </c>
      <c r="M115" s="444">
        <f t="shared" si="15"/>
        <v>0</v>
      </c>
      <c r="N115" s="166">
        <f t="shared" si="23"/>
        <v>57</v>
      </c>
      <c r="O115" s="288"/>
      <c r="P115" s="167">
        <f t="shared" si="17"/>
        <v>0</v>
      </c>
      <c r="Q115" s="168">
        <f t="shared" si="18"/>
        <v>0</v>
      </c>
      <c r="R115" s="329">
        <f t="shared" si="24"/>
        <v>0</v>
      </c>
      <c r="S115" s="456"/>
      <c r="T115" s="169">
        <f t="shared" si="25"/>
        <v>0</v>
      </c>
      <c r="U115" s="468"/>
      <c r="V115" s="170">
        <f t="shared" si="26"/>
        <v>0</v>
      </c>
      <c r="W115" s="133">
        <f t="shared" si="21"/>
        <v>0</v>
      </c>
      <c r="X115" s="133">
        <f t="shared" si="27"/>
        <v>0</v>
      </c>
    </row>
    <row r="116" spans="1:24" ht="13.8" customHeight="1">
      <c r="A116" s="171" t="s">
        <v>6</v>
      </c>
      <c r="B116" s="108" t="s">
        <v>143</v>
      </c>
      <c r="C116" s="109">
        <v>5</v>
      </c>
      <c r="D116" s="110" t="s">
        <v>136</v>
      </c>
      <c r="E116" s="111"/>
      <c r="F116" s="112"/>
      <c r="G116" s="112"/>
      <c r="H116" s="421">
        <v>46</v>
      </c>
      <c r="I116" s="421">
        <f t="shared" si="13"/>
        <v>0</v>
      </c>
      <c r="J116" s="112"/>
      <c r="K116" s="433">
        <v>0</v>
      </c>
      <c r="L116" s="433">
        <f t="shared" si="14"/>
        <v>0</v>
      </c>
      <c r="M116" s="445">
        <f t="shared" si="15"/>
        <v>0</v>
      </c>
      <c r="N116" s="113">
        <f t="shared" si="23"/>
        <v>46</v>
      </c>
      <c r="O116" s="279"/>
      <c r="P116" s="114">
        <f t="shared" si="17"/>
        <v>0</v>
      </c>
      <c r="Q116" s="115">
        <f t="shared" si="18"/>
        <v>0</v>
      </c>
      <c r="R116" s="330">
        <f t="shared" si="24"/>
        <v>0</v>
      </c>
      <c r="S116" s="457"/>
      <c r="T116" s="116">
        <f t="shared" si="25"/>
        <v>0</v>
      </c>
      <c r="U116" s="469"/>
      <c r="V116" s="117">
        <f t="shared" si="26"/>
        <v>0</v>
      </c>
      <c r="W116" s="134">
        <f t="shared" si="21"/>
        <v>0</v>
      </c>
      <c r="X116" s="134">
        <f t="shared" si="27"/>
        <v>0</v>
      </c>
    </row>
    <row r="117" spans="1:24" ht="13.8" customHeight="1">
      <c r="A117" s="171" t="s">
        <v>6</v>
      </c>
      <c r="B117" s="108" t="s">
        <v>164</v>
      </c>
      <c r="C117" s="109">
        <v>5</v>
      </c>
      <c r="D117" s="110" t="s">
        <v>136</v>
      </c>
      <c r="E117" s="111"/>
      <c r="F117" s="112"/>
      <c r="G117" s="112"/>
      <c r="H117" s="421">
        <v>66</v>
      </c>
      <c r="I117" s="421">
        <f t="shared" si="13"/>
        <v>0</v>
      </c>
      <c r="J117" s="112"/>
      <c r="K117" s="433">
        <v>0</v>
      </c>
      <c r="L117" s="433">
        <f t="shared" si="14"/>
        <v>0</v>
      </c>
      <c r="M117" s="445">
        <f t="shared" si="15"/>
        <v>0</v>
      </c>
      <c r="N117" s="113">
        <f t="shared" si="23"/>
        <v>66</v>
      </c>
      <c r="O117" s="279"/>
      <c r="P117" s="114">
        <f t="shared" si="17"/>
        <v>0</v>
      </c>
      <c r="Q117" s="115">
        <f t="shared" si="18"/>
        <v>0</v>
      </c>
      <c r="R117" s="330">
        <f t="shared" si="24"/>
        <v>0</v>
      </c>
      <c r="S117" s="457"/>
      <c r="T117" s="116">
        <f t="shared" si="25"/>
        <v>0</v>
      </c>
      <c r="U117" s="469"/>
      <c r="V117" s="117">
        <f t="shared" si="26"/>
        <v>0</v>
      </c>
      <c r="W117" s="134">
        <f t="shared" si="21"/>
        <v>0</v>
      </c>
      <c r="X117" s="134">
        <f t="shared" si="27"/>
        <v>0</v>
      </c>
    </row>
    <row r="118" spans="1:24" ht="13.8" customHeight="1">
      <c r="A118" s="171" t="s">
        <v>6</v>
      </c>
      <c r="B118" s="108" t="s">
        <v>165</v>
      </c>
      <c r="C118" s="109">
        <v>5</v>
      </c>
      <c r="D118" s="110" t="s">
        <v>136</v>
      </c>
      <c r="E118" s="111"/>
      <c r="F118" s="112"/>
      <c r="G118" s="112"/>
      <c r="H118" s="421">
        <v>104</v>
      </c>
      <c r="I118" s="421">
        <f t="shared" si="13"/>
        <v>0</v>
      </c>
      <c r="J118" s="112"/>
      <c r="K118" s="433">
        <v>0</v>
      </c>
      <c r="L118" s="433">
        <f t="shared" si="14"/>
        <v>0</v>
      </c>
      <c r="M118" s="445">
        <f t="shared" si="15"/>
        <v>0</v>
      </c>
      <c r="N118" s="113">
        <f t="shared" si="23"/>
        <v>104</v>
      </c>
      <c r="O118" s="279"/>
      <c r="P118" s="114">
        <f t="shared" si="17"/>
        <v>0</v>
      </c>
      <c r="Q118" s="115">
        <f t="shared" si="18"/>
        <v>0</v>
      </c>
      <c r="R118" s="330">
        <f t="shared" si="24"/>
        <v>0</v>
      </c>
      <c r="S118" s="457"/>
      <c r="T118" s="116">
        <f t="shared" si="25"/>
        <v>0</v>
      </c>
      <c r="U118" s="469"/>
      <c r="V118" s="117">
        <f t="shared" si="26"/>
        <v>0</v>
      </c>
      <c r="W118" s="134">
        <f t="shared" si="21"/>
        <v>0</v>
      </c>
      <c r="X118" s="134">
        <f t="shared" si="27"/>
        <v>0</v>
      </c>
    </row>
    <row r="119" spans="1:24" ht="13.8" customHeight="1">
      <c r="A119" s="171" t="s">
        <v>6</v>
      </c>
      <c r="B119" s="118" t="s">
        <v>148</v>
      </c>
      <c r="C119" s="119">
        <v>5</v>
      </c>
      <c r="D119" s="110" t="s">
        <v>136</v>
      </c>
      <c r="E119" s="111"/>
      <c r="F119" s="112"/>
      <c r="G119" s="112"/>
      <c r="H119" s="421">
        <v>55</v>
      </c>
      <c r="I119" s="421">
        <f t="shared" si="13"/>
        <v>0</v>
      </c>
      <c r="J119" s="112"/>
      <c r="K119" s="433">
        <v>0</v>
      </c>
      <c r="L119" s="433">
        <f t="shared" si="14"/>
        <v>0</v>
      </c>
      <c r="M119" s="445">
        <f t="shared" si="15"/>
        <v>0</v>
      </c>
      <c r="N119" s="299">
        <f t="shared" si="23"/>
        <v>55</v>
      </c>
      <c r="O119" s="300">
        <v>0</v>
      </c>
      <c r="P119" s="120">
        <f t="shared" si="17"/>
        <v>0</v>
      </c>
      <c r="Q119" s="120">
        <f t="shared" si="18"/>
        <v>0</v>
      </c>
      <c r="R119" s="332">
        <f t="shared" si="24"/>
        <v>0</v>
      </c>
      <c r="S119" s="457"/>
      <c r="T119" s="120">
        <f t="shared" si="25"/>
        <v>0</v>
      </c>
      <c r="U119" s="469"/>
      <c r="V119" s="121">
        <f t="shared" si="26"/>
        <v>0</v>
      </c>
      <c r="W119" s="306">
        <f t="shared" si="21"/>
        <v>0</v>
      </c>
      <c r="X119" s="306">
        <f t="shared" si="27"/>
        <v>0</v>
      </c>
    </row>
    <row r="120" spans="1:24" ht="13.8" customHeight="1">
      <c r="A120" s="171" t="s">
        <v>6</v>
      </c>
      <c r="B120" s="118" t="s">
        <v>149</v>
      </c>
      <c r="C120" s="119">
        <v>5</v>
      </c>
      <c r="D120" s="110" t="s">
        <v>136</v>
      </c>
      <c r="E120" s="111"/>
      <c r="F120" s="112"/>
      <c r="G120" s="112"/>
      <c r="H120" s="421">
        <v>33</v>
      </c>
      <c r="I120" s="421">
        <f t="shared" si="13"/>
        <v>0</v>
      </c>
      <c r="J120" s="112"/>
      <c r="K120" s="433">
        <v>0</v>
      </c>
      <c r="L120" s="433">
        <f t="shared" si="14"/>
        <v>0</v>
      </c>
      <c r="M120" s="445">
        <f t="shared" si="15"/>
        <v>0</v>
      </c>
      <c r="N120" s="299">
        <f t="shared" si="23"/>
        <v>33</v>
      </c>
      <c r="O120" s="300">
        <v>0</v>
      </c>
      <c r="P120" s="120">
        <f t="shared" si="17"/>
        <v>0</v>
      </c>
      <c r="Q120" s="120">
        <f t="shared" si="18"/>
        <v>0</v>
      </c>
      <c r="R120" s="332">
        <f t="shared" si="24"/>
        <v>0</v>
      </c>
      <c r="S120" s="457"/>
      <c r="T120" s="120">
        <f t="shared" si="25"/>
        <v>0</v>
      </c>
      <c r="U120" s="469"/>
      <c r="V120" s="121">
        <f t="shared" si="26"/>
        <v>0</v>
      </c>
      <c r="W120" s="306">
        <f t="shared" si="21"/>
        <v>0</v>
      </c>
      <c r="X120" s="306">
        <f t="shared" si="27"/>
        <v>0</v>
      </c>
    </row>
    <row r="121" spans="1:24" ht="13.8" customHeight="1">
      <c r="A121" s="171" t="s">
        <v>6</v>
      </c>
      <c r="B121" s="108" t="s">
        <v>150</v>
      </c>
      <c r="C121" s="109">
        <v>5</v>
      </c>
      <c r="D121" s="110" t="s">
        <v>134</v>
      </c>
      <c r="E121" s="111"/>
      <c r="F121" s="112"/>
      <c r="G121" s="112"/>
      <c r="H121" s="421">
        <v>52</v>
      </c>
      <c r="I121" s="421">
        <f t="shared" si="13"/>
        <v>0</v>
      </c>
      <c r="J121" s="112"/>
      <c r="K121" s="433">
        <v>0</v>
      </c>
      <c r="L121" s="433">
        <f t="shared" si="14"/>
        <v>0</v>
      </c>
      <c r="M121" s="445">
        <f t="shared" si="15"/>
        <v>0</v>
      </c>
      <c r="N121" s="113">
        <f t="shared" si="23"/>
        <v>52</v>
      </c>
      <c r="O121" s="279"/>
      <c r="P121" s="114">
        <f t="shared" si="17"/>
        <v>0</v>
      </c>
      <c r="Q121" s="115">
        <f t="shared" si="18"/>
        <v>0</v>
      </c>
      <c r="R121" s="330">
        <f t="shared" si="24"/>
        <v>0</v>
      </c>
      <c r="S121" s="457"/>
      <c r="T121" s="116">
        <f t="shared" si="25"/>
        <v>0</v>
      </c>
      <c r="U121" s="469"/>
      <c r="V121" s="117">
        <f t="shared" si="26"/>
        <v>0</v>
      </c>
      <c r="W121" s="134">
        <f t="shared" si="21"/>
        <v>0</v>
      </c>
      <c r="X121" s="134">
        <f t="shared" si="27"/>
        <v>0</v>
      </c>
    </row>
    <row r="122" spans="1:24" ht="13.8" customHeight="1">
      <c r="A122" s="171" t="s">
        <v>6</v>
      </c>
      <c r="B122" s="108" t="s">
        <v>151</v>
      </c>
      <c r="C122" s="109">
        <v>5</v>
      </c>
      <c r="D122" s="110" t="s">
        <v>134</v>
      </c>
      <c r="E122" s="111"/>
      <c r="F122" s="112"/>
      <c r="G122" s="112"/>
      <c r="H122" s="421">
        <v>17</v>
      </c>
      <c r="I122" s="421">
        <f t="shared" si="13"/>
        <v>0</v>
      </c>
      <c r="J122" s="112"/>
      <c r="K122" s="433">
        <v>0</v>
      </c>
      <c r="L122" s="433">
        <f t="shared" si="14"/>
        <v>0</v>
      </c>
      <c r="M122" s="445">
        <f t="shared" si="15"/>
        <v>0</v>
      </c>
      <c r="N122" s="113">
        <f t="shared" si="23"/>
        <v>17</v>
      </c>
      <c r="O122" s="279"/>
      <c r="P122" s="114">
        <f t="shared" si="17"/>
        <v>0</v>
      </c>
      <c r="Q122" s="115">
        <f t="shared" si="18"/>
        <v>0</v>
      </c>
      <c r="R122" s="330">
        <f t="shared" si="24"/>
        <v>0</v>
      </c>
      <c r="S122" s="457"/>
      <c r="T122" s="116">
        <f t="shared" si="25"/>
        <v>0</v>
      </c>
      <c r="U122" s="469"/>
      <c r="V122" s="117">
        <f t="shared" si="26"/>
        <v>0</v>
      </c>
      <c r="W122" s="134">
        <f t="shared" si="21"/>
        <v>0</v>
      </c>
      <c r="X122" s="134">
        <f t="shared" si="27"/>
        <v>0</v>
      </c>
    </row>
    <row r="123" spans="1:24" ht="13.8" customHeight="1">
      <c r="A123" s="171" t="s">
        <v>6</v>
      </c>
      <c r="B123" s="108" t="s">
        <v>157</v>
      </c>
      <c r="C123" s="109">
        <v>5</v>
      </c>
      <c r="D123" s="110" t="s">
        <v>134</v>
      </c>
      <c r="E123" s="111"/>
      <c r="F123" s="112"/>
      <c r="G123" s="112"/>
      <c r="H123" s="421">
        <v>52</v>
      </c>
      <c r="I123" s="421">
        <f t="shared" si="13"/>
        <v>0</v>
      </c>
      <c r="J123" s="112"/>
      <c r="K123" s="433">
        <v>0</v>
      </c>
      <c r="L123" s="433">
        <f t="shared" si="14"/>
        <v>0</v>
      </c>
      <c r="M123" s="445">
        <f t="shared" si="15"/>
        <v>0</v>
      </c>
      <c r="N123" s="113">
        <f t="shared" si="23"/>
        <v>52</v>
      </c>
      <c r="O123" s="279"/>
      <c r="P123" s="114">
        <f t="shared" si="17"/>
        <v>0</v>
      </c>
      <c r="Q123" s="115">
        <f t="shared" si="18"/>
        <v>0</v>
      </c>
      <c r="R123" s="330">
        <f t="shared" si="24"/>
        <v>0</v>
      </c>
      <c r="S123" s="457"/>
      <c r="T123" s="116">
        <f t="shared" si="25"/>
        <v>0</v>
      </c>
      <c r="U123" s="469"/>
      <c r="V123" s="117">
        <f t="shared" si="26"/>
        <v>0</v>
      </c>
      <c r="W123" s="134">
        <f t="shared" si="21"/>
        <v>0</v>
      </c>
      <c r="X123" s="134">
        <f t="shared" si="27"/>
        <v>0</v>
      </c>
    </row>
    <row r="124" spans="1:24" ht="13.8" customHeight="1">
      <c r="A124" s="171" t="s">
        <v>6</v>
      </c>
      <c r="B124" s="108" t="s">
        <v>158</v>
      </c>
      <c r="C124" s="109">
        <v>5</v>
      </c>
      <c r="D124" s="110" t="s">
        <v>134</v>
      </c>
      <c r="E124" s="111"/>
      <c r="F124" s="112"/>
      <c r="G124" s="112"/>
      <c r="H124" s="421">
        <v>28</v>
      </c>
      <c r="I124" s="421">
        <f t="shared" si="13"/>
        <v>0</v>
      </c>
      <c r="J124" s="112"/>
      <c r="K124" s="433">
        <v>0</v>
      </c>
      <c r="L124" s="433">
        <f t="shared" si="14"/>
        <v>0</v>
      </c>
      <c r="M124" s="445">
        <f t="shared" si="15"/>
        <v>0</v>
      </c>
      <c r="N124" s="113">
        <f t="shared" si="23"/>
        <v>28</v>
      </c>
      <c r="O124" s="279"/>
      <c r="P124" s="114">
        <f t="shared" si="17"/>
        <v>0</v>
      </c>
      <c r="Q124" s="115">
        <f t="shared" si="18"/>
        <v>0</v>
      </c>
      <c r="R124" s="330">
        <f t="shared" si="24"/>
        <v>0</v>
      </c>
      <c r="S124" s="457"/>
      <c r="T124" s="116">
        <f t="shared" si="25"/>
        <v>0</v>
      </c>
      <c r="U124" s="469"/>
      <c r="V124" s="117">
        <f t="shared" si="26"/>
        <v>0</v>
      </c>
      <c r="W124" s="134">
        <f t="shared" si="21"/>
        <v>0</v>
      </c>
      <c r="X124" s="134">
        <f t="shared" si="27"/>
        <v>0</v>
      </c>
    </row>
    <row r="125" spans="1:24" ht="13.8" customHeight="1">
      <c r="A125" s="171" t="s">
        <v>6</v>
      </c>
      <c r="B125" s="118" t="s">
        <v>159</v>
      </c>
      <c r="C125" s="119">
        <v>5</v>
      </c>
      <c r="D125" s="110" t="s">
        <v>134</v>
      </c>
      <c r="E125" s="111"/>
      <c r="F125" s="112"/>
      <c r="G125" s="112"/>
      <c r="H125" s="421">
        <v>69</v>
      </c>
      <c r="I125" s="421">
        <f t="shared" si="13"/>
        <v>0</v>
      </c>
      <c r="J125" s="112"/>
      <c r="K125" s="433">
        <v>0</v>
      </c>
      <c r="L125" s="433">
        <f t="shared" si="14"/>
        <v>0</v>
      </c>
      <c r="M125" s="445">
        <f t="shared" si="15"/>
        <v>0</v>
      </c>
      <c r="N125" s="299">
        <f t="shared" si="23"/>
        <v>69</v>
      </c>
      <c r="O125" s="300">
        <v>0</v>
      </c>
      <c r="P125" s="120">
        <f t="shared" si="17"/>
        <v>0</v>
      </c>
      <c r="Q125" s="120">
        <f t="shared" si="18"/>
        <v>0</v>
      </c>
      <c r="R125" s="332">
        <f t="shared" si="24"/>
        <v>0</v>
      </c>
      <c r="S125" s="457"/>
      <c r="T125" s="120">
        <f t="shared" si="25"/>
        <v>0</v>
      </c>
      <c r="U125" s="469"/>
      <c r="V125" s="121">
        <f t="shared" si="26"/>
        <v>0</v>
      </c>
      <c r="W125" s="306">
        <f t="shared" si="21"/>
        <v>0</v>
      </c>
      <c r="X125" s="306">
        <f t="shared" si="27"/>
        <v>0</v>
      </c>
    </row>
    <row r="126" spans="1:24" ht="13.8" customHeight="1">
      <c r="A126" s="171" t="s">
        <v>6</v>
      </c>
      <c r="B126" s="108" t="s">
        <v>178</v>
      </c>
      <c r="C126" s="109">
        <v>5</v>
      </c>
      <c r="D126" s="110" t="s">
        <v>134</v>
      </c>
      <c r="E126" s="111"/>
      <c r="F126" s="112"/>
      <c r="G126" s="112"/>
      <c r="H126" s="421">
        <v>54</v>
      </c>
      <c r="I126" s="421">
        <f t="shared" si="13"/>
        <v>0</v>
      </c>
      <c r="J126" s="112"/>
      <c r="K126" s="433">
        <v>0</v>
      </c>
      <c r="L126" s="433">
        <f t="shared" si="14"/>
        <v>0</v>
      </c>
      <c r="M126" s="445">
        <f t="shared" si="15"/>
        <v>0</v>
      </c>
      <c r="N126" s="113">
        <f t="shared" si="23"/>
        <v>54</v>
      </c>
      <c r="O126" s="279"/>
      <c r="P126" s="114">
        <f t="shared" si="17"/>
        <v>0</v>
      </c>
      <c r="Q126" s="115">
        <f t="shared" si="18"/>
        <v>0</v>
      </c>
      <c r="R126" s="330">
        <f t="shared" si="24"/>
        <v>0</v>
      </c>
      <c r="S126" s="457"/>
      <c r="T126" s="116">
        <f t="shared" si="25"/>
        <v>0</v>
      </c>
      <c r="U126" s="469"/>
      <c r="V126" s="117">
        <f t="shared" si="26"/>
        <v>0</v>
      </c>
      <c r="W126" s="134">
        <f t="shared" si="21"/>
        <v>0</v>
      </c>
      <c r="X126" s="134">
        <f t="shared" si="27"/>
        <v>0</v>
      </c>
    </row>
    <row r="127" spans="1:24" ht="14.4" customHeight="1" thickBot="1">
      <c r="A127" s="172" t="s">
        <v>6</v>
      </c>
      <c r="B127" s="173" t="s">
        <v>179</v>
      </c>
      <c r="C127" s="174">
        <v>5</v>
      </c>
      <c r="D127" s="175" t="s">
        <v>134</v>
      </c>
      <c r="E127" s="176"/>
      <c r="F127" s="177"/>
      <c r="G127" s="177"/>
      <c r="H127" s="422">
        <v>26</v>
      </c>
      <c r="I127" s="422">
        <f t="shared" si="13"/>
        <v>0</v>
      </c>
      <c r="J127" s="177"/>
      <c r="K127" s="434">
        <v>0</v>
      </c>
      <c r="L127" s="434">
        <f t="shared" si="14"/>
        <v>0</v>
      </c>
      <c r="M127" s="446">
        <f t="shared" si="15"/>
        <v>0</v>
      </c>
      <c r="N127" s="178">
        <f t="shared" si="23"/>
        <v>26</v>
      </c>
      <c r="O127" s="289"/>
      <c r="P127" s="179">
        <f t="shared" si="17"/>
        <v>0</v>
      </c>
      <c r="Q127" s="180">
        <f t="shared" si="18"/>
        <v>0</v>
      </c>
      <c r="R127" s="333">
        <f t="shared" si="24"/>
        <v>0</v>
      </c>
      <c r="S127" s="458"/>
      <c r="T127" s="181">
        <f t="shared" si="25"/>
        <v>0</v>
      </c>
      <c r="U127" s="470"/>
      <c r="V127" s="182">
        <f t="shared" si="26"/>
        <v>0</v>
      </c>
      <c r="W127" s="135">
        <f t="shared" si="21"/>
        <v>0</v>
      </c>
      <c r="X127" s="135">
        <f t="shared" si="27"/>
        <v>0</v>
      </c>
    </row>
    <row r="128" spans="1:24" ht="13.8" customHeight="1">
      <c r="A128" s="160" t="s">
        <v>6</v>
      </c>
      <c r="B128" s="161" t="s">
        <v>142</v>
      </c>
      <c r="C128" s="162">
        <v>6</v>
      </c>
      <c r="D128" s="163" t="s">
        <v>137</v>
      </c>
      <c r="E128" s="164"/>
      <c r="F128" s="165"/>
      <c r="G128" s="165"/>
      <c r="H128" s="420">
        <v>62</v>
      </c>
      <c r="I128" s="420">
        <f t="shared" si="13"/>
        <v>0</v>
      </c>
      <c r="J128" s="165"/>
      <c r="K128" s="432">
        <v>0</v>
      </c>
      <c r="L128" s="432">
        <f t="shared" si="14"/>
        <v>0</v>
      </c>
      <c r="M128" s="444">
        <f t="shared" si="15"/>
        <v>0</v>
      </c>
      <c r="N128" s="166">
        <f t="shared" si="23"/>
        <v>62</v>
      </c>
      <c r="O128" s="288"/>
      <c r="P128" s="167">
        <f t="shared" si="17"/>
        <v>0</v>
      </c>
      <c r="Q128" s="168">
        <f t="shared" si="18"/>
        <v>0</v>
      </c>
      <c r="R128" s="329">
        <f t="shared" si="24"/>
        <v>0</v>
      </c>
      <c r="S128" s="456"/>
      <c r="T128" s="169">
        <f t="shared" si="25"/>
        <v>0</v>
      </c>
      <c r="U128" s="468"/>
      <c r="V128" s="170">
        <f t="shared" si="26"/>
        <v>0</v>
      </c>
      <c r="W128" s="133">
        <f t="shared" si="21"/>
        <v>0</v>
      </c>
      <c r="X128" s="133">
        <f t="shared" si="27"/>
        <v>0</v>
      </c>
    </row>
    <row r="129" spans="1:24" ht="13.8" customHeight="1">
      <c r="A129" s="171" t="s">
        <v>6</v>
      </c>
      <c r="B129" s="108" t="s">
        <v>143</v>
      </c>
      <c r="C129" s="109">
        <v>6</v>
      </c>
      <c r="D129" s="110" t="s">
        <v>137</v>
      </c>
      <c r="E129" s="111"/>
      <c r="F129" s="112"/>
      <c r="G129" s="112"/>
      <c r="H129" s="421">
        <v>43</v>
      </c>
      <c r="I129" s="421">
        <f t="shared" si="13"/>
        <v>0</v>
      </c>
      <c r="J129" s="112"/>
      <c r="K129" s="433">
        <v>0</v>
      </c>
      <c r="L129" s="433">
        <f t="shared" si="14"/>
        <v>0</v>
      </c>
      <c r="M129" s="445">
        <f t="shared" si="15"/>
        <v>0</v>
      </c>
      <c r="N129" s="113">
        <f t="shared" si="23"/>
        <v>43</v>
      </c>
      <c r="O129" s="279"/>
      <c r="P129" s="114">
        <f t="shared" si="17"/>
        <v>0</v>
      </c>
      <c r="Q129" s="115">
        <f t="shared" si="18"/>
        <v>0</v>
      </c>
      <c r="R129" s="330">
        <f t="shared" si="24"/>
        <v>0</v>
      </c>
      <c r="S129" s="457"/>
      <c r="T129" s="116">
        <f t="shared" si="25"/>
        <v>0</v>
      </c>
      <c r="U129" s="469"/>
      <c r="V129" s="117">
        <f t="shared" si="26"/>
        <v>0</v>
      </c>
      <c r="W129" s="134">
        <f t="shared" si="21"/>
        <v>0</v>
      </c>
      <c r="X129" s="134">
        <f t="shared" si="27"/>
        <v>0</v>
      </c>
    </row>
    <row r="130" spans="1:24" ht="13.8" customHeight="1">
      <c r="A130" s="171" t="s">
        <v>6</v>
      </c>
      <c r="B130" s="108" t="s">
        <v>164</v>
      </c>
      <c r="C130" s="109">
        <v>6</v>
      </c>
      <c r="D130" s="110" t="s">
        <v>137</v>
      </c>
      <c r="E130" s="111"/>
      <c r="F130" s="112"/>
      <c r="G130" s="112"/>
      <c r="H130" s="421">
        <v>68</v>
      </c>
      <c r="I130" s="421">
        <f t="shared" si="13"/>
        <v>0</v>
      </c>
      <c r="J130" s="112"/>
      <c r="K130" s="433">
        <v>0</v>
      </c>
      <c r="L130" s="433">
        <f t="shared" si="14"/>
        <v>0</v>
      </c>
      <c r="M130" s="445">
        <f t="shared" si="15"/>
        <v>0</v>
      </c>
      <c r="N130" s="113">
        <f t="shared" si="23"/>
        <v>68</v>
      </c>
      <c r="O130" s="279"/>
      <c r="P130" s="114">
        <f t="shared" si="17"/>
        <v>0</v>
      </c>
      <c r="Q130" s="115">
        <f t="shared" si="18"/>
        <v>0</v>
      </c>
      <c r="R130" s="330">
        <f t="shared" si="24"/>
        <v>0</v>
      </c>
      <c r="S130" s="457"/>
      <c r="T130" s="116">
        <f t="shared" si="25"/>
        <v>0</v>
      </c>
      <c r="U130" s="469"/>
      <c r="V130" s="117">
        <f t="shared" si="26"/>
        <v>0</v>
      </c>
      <c r="W130" s="134">
        <f t="shared" si="21"/>
        <v>0</v>
      </c>
      <c r="X130" s="134">
        <f t="shared" si="27"/>
        <v>0</v>
      </c>
    </row>
    <row r="131" spans="1:24" ht="13.8" customHeight="1">
      <c r="A131" s="171" t="s">
        <v>6</v>
      </c>
      <c r="B131" s="108" t="s">
        <v>165</v>
      </c>
      <c r="C131" s="109">
        <v>6</v>
      </c>
      <c r="D131" s="110" t="s">
        <v>137</v>
      </c>
      <c r="E131" s="111"/>
      <c r="F131" s="112"/>
      <c r="G131" s="112"/>
      <c r="H131" s="421">
        <v>79</v>
      </c>
      <c r="I131" s="421">
        <f t="shared" si="13"/>
        <v>0</v>
      </c>
      <c r="J131" s="112"/>
      <c r="K131" s="433">
        <v>0</v>
      </c>
      <c r="L131" s="433">
        <f t="shared" si="14"/>
        <v>0</v>
      </c>
      <c r="M131" s="445">
        <f t="shared" si="15"/>
        <v>0</v>
      </c>
      <c r="N131" s="113">
        <f t="shared" si="23"/>
        <v>79</v>
      </c>
      <c r="O131" s="279"/>
      <c r="P131" s="114">
        <f t="shared" si="17"/>
        <v>0</v>
      </c>
      <c r="Q131" s="115">
        <f t="shared" si="18"/>
        <v>0</v>
      </c>
      <c r="R131" s="330">
        <f t="shared" si="24"/>
        <v>0</v>
      </c>
      <c r="S131" s="457"/>
      <c r="T131" s="116">
        <f t="shared" si="25"/>
        <v>0</v>
      </c>
      <c r="U131" s="469"/>
      <c r="V131" s="117">
        <f t="shared" si="26"/>
        <v>0</v>
      </c>
      <c r="W131" s="134">
        <f t="shared" si="21"/>
        <v>0</v>
      </c>
      <c r="X131" s="134">
        <f t="shared" si="27"/>
        <v>0</v>
      </c>
    </row>
    <row r="132" spans="1:24" ht="13.8" customHeight="1">
      <c r="A132" s="171" t="s">
        <v>6</v>
      </c>
      <c r="B132" s="118" t="s">
        <v>148</v>
      </c>
      <c r="C132" s="119">
        <v>6</v>
      </c>
      <c r="D132" s="110" t="s">
        <v>137</v>
      </c>
      <c r="E132" s="111"/>
      <c r="F132" s="112"/>
      <c r="G132" s="112"/>
      <c r="H132" s="421">
        <v>58</v>
      </c>
      <c r="I132" s="421">
        <f t="shared" si="13"/>
        <v>0</v>
      </c>
      <c r="J132" s="112"/>
      <c r="K132" s="433">
        <v>0</v>
      </c>
      <c r="L132" s="433">
        <f t="shared" si="14"/>
        <v>0</v>
      </c>
      <c r="M132" s="445">
        <f t="shared" si="15"/>
        <v>0</v>
      </c>
      <c r="N132" s="299">
        <f t="shared" si="23"/>
        <v>58</v>
      </c>
      <c r="O132" s="300">
        <v>0</v>
      </c>
      <c r="P132" s="120">
        <f t="shared" si="17"/>
        <v>0</v>
      </c>
      <c r="Q132" s="120">
        <f t="shared" si="18"/>
        <v>0</v>
      </c>
      <c r="R132" s="332">
        <f t="shared" si="24"/>
        <v>0</v>
      </c>
      <c r="S132" s="457"/>
      <c r="T132" s="120">
        <f t="shared" si="25"/>
        <v>0</v>
      </c>
      <c r="U132" s="469"/>
      <c r="V132" s="121">
        <f t="shared" si="26"/>
        <v>0</v>
      </c>
      <c r="W132" s="306">
        <f t="shared" si="21"/>
        <v>0</v>
      </c>
      <c r="X132" s="306">
        <f t="shared" si="27"/>
        <v>0</v>
      </c>
    </row>
    <row r="133" spans="1:24" ht="13.8" customHeight="1">
      <c r="A133" s="171" t="s">
        <v>6</v>
      </c>
      <c r="B133" s="118" t="s">
        <v>149</v>
      </c>
      <c r="C133" s="119">
        <v>6</v>
      </c>
      <c r="D133" s="110" t="s">
        <v>137</v>
      </c>
      <c r="E133" s="111"/>
      <c r="F133" s="112"/>
      <c r="G133" s="112"/>
      <c r="H133" s="421">
        <v>44</v>
      </c>
      <c r="I133" s="421">
        <f t="shared" si="13"/>
        <v>0</v>
      </c>
      <c r="J133" s="112"/>
      <c r="K133" s="433">
        <v>0</v>
      </c>
      <c r="L133" s="433">
        <f t="shared" si="14"/>
        <v>0</v>
      </c>
      <c r="M133" s="445">
        <f t="shared" si="15"/>
        <v>0</v>
      </c>
      <c r="N133" s="299">
        <f t="shared" si="23"/>
        <v>44</v>
      </c>
      <c r="O133" s="300">
        <v>0</v>
      </c>
      <c r="P133" s="120">
        <f t="shared" si="17"/>
        <v>0</v>
      </c>
      <c r="Q133" s="120">
        <f t="shared" si="18"/>
        <v>0</v>
      </c>
      <c r="R133" s="332">
        <f t="shared" si="24"/>
        <v>0</v>
      </c>
      <c r="S133" s="457"/>
      <c r="T133" s="120">
        <f t="shared" si="25"/>
        <v>0</v>
      </c>
      <c r="U133" s="469"/>
      <c r="V133" s="121">
        <f t="shared" si="26"/>
        <v>0</v>
      </c>
      <c r="W133" s="306">
        <f t="shared" si="21"/>
        <v>0</v>
      </c>
      <c r="X133" s="306">
        <f t="shared" si="27"/>
        <v>0</v>
      </c>
    </row>
    <row r="134" spans="1:24" ht="13.8" customHeight="1">
      <c r="A134" s="171" t="s">
        <v>6</v>
      </c>
      <c r="B134" s="108" t="s">
        <v>150</v>
      </c>
      <c r="C134" s="109">
        <v>6</v>
      </c>
      <c r="D134" s="110" t="s">
        <v>135</v>
      </c>
      <c r="E134" s="111"/>
      <c r="F134" s="112"/>
      <c r="G134" s="112"/>
      <c r="H134" s="421">
        <v>49</v>
      </c>
      <c r="I134" s="421">
        <f t="shared" ref="I134:I197" si="28">G134*H134</f>
        <v>0</v>
      </c>
      <c r="J134" s="112"/>
      <c r="K134" s="433">
        <v>0</v>
      </c>
      <c r="L134" s="433">
        <f t="shared" ref="L134:L197" si="29">J134*K134</f>
        <v>0</v>
      </c>
      <c r="M134" s="445">
        <f t="shared" ref="M134:M197" si="30">I134+L134</f>
        <v>0</v>
      </c>
      <c r="N134" s="113">
        <f t="shared" si="23"/>
        <v>49</v>
      </c>
      <c r="O134" s="279"/>
      <c r="P134" s="114">
        <f t="shared" ref="P134:P197" si="31">N134*O134</f>
        <v>0</v>
      </c>
      <c r="Q134" s="115">
        <f t="shared" ref="Q134:Q197" si="32">J134-O134</f>
        <v>0</v>
      </c>
      <c r="R134" s="330">
        <f t="shared" si="24"/>
        <v>0</v>
      </c>
      <c r="S134" s="457"/>
      <c r="T134" s="116">
        <f t="shared" si="25"/>
        <v>0</v>
      </c>
      <c r="U134" s="469"/>
      <c r="V134" s="117">
        <f t="shared" si="26"/>
        <v>0</v>
      </c>
      <c r="W134" s="134">
        <f t="shared" ref="W134:W197" si="33">K134*O134</f>
        <v>0</v>
      </c>
      <c r="X134" s="134">
        <f t="shared" si="27"/>
        <v>0</v>
      </c>
    </row>
    <row r="135" spans="1:24" ht="13.8" customHeight="1">
      <c r="A135" s="171" t="s">
        <v>6</v>
      </c>
      <c r="B135" s="108" t="s">
        <v>151</v>
      </c>
      <c r="C135" s="109">
        <v>6</v>
      </c>
      <c r="D135" s="110" t="s">
        <v>135</v>
      </c>
      <c r="E135" s="111"/>
      <c r="F135" s="112"/>
      <c r="G135" s="112"/>
      <c r="H135" s="421">
        <v>22</v>
      </c>
      <c r="I135" s="421">
        <f t="shared" si="28"/>
        <v>0</v>
      </c>
      <c r="J135" s="112"/>
      <c r="K135" s="433">
        <v>0</v>
      </c>
      <c r="L135" s="433">
        <f t="shared" si="29"/>
        <v>0</v>
      </c>
      <c r="M135" s="445">
        <f t="shared" si="30"/>
        <v>0</v>
      </c>
      <c r="N135" s="113">
        <f t="shared" si="23"/>
        <v>22</v>
      </c>
      <c r="O135" s="279"/>
      <c r="P135" s="114">
        <f t="shared" si="31"/>
        <v>0</v>
      </c>
      <c r="Q135" s="115">
        <f t="shared" si="32"/>
        <v>0</v>
      </c>
      <c r="R135" s="330">
        <f t="shared" si="24"/>
        <v>0</v>
      </c>
      <c r="S135" s="457"/>
      <c r="T135" s="116">
        <f t="shared" si="25"/>
        <v>0</v>
      </c>
      <c r="U135" s="469"/>
      <c r="V135" s="117">
        <f t="shared" si="26"/>
        <v>0</v>
      </c>
      <c r="W135" s="134">
        <f t="shared" si="33"/>
        <v>0</v>
      </c>
      <c r="X135" s="134">
        <f t="shared" si="27"/>
        <v>0</v>
      </c>
    </row>
    <row r="136" spans="1:24" ht="13.8" customHeight="1">
      <c r="A136" s="171" t="s">
        <v>6</v>
      </c>
      <c r="B136" s="108" t="s">
        <v>157</v>
      </c>
      <c r="C136" s="109">
        <v>6</v>
      </c>
      <c r="D136" s="110" t="s">
        <v>135</v>
      </c>
      <c r="E136" s="111"/>
      <c r="F136" s="112"/>
      <c r="G136" s="112"/>
      <c r="H136" s="421">
        <v>55</v>
      </c>
      <c r="I136" s="421">
        <f t="shared" si="28"/>
        <v>0</v>
      </c>
      <c r="J136" s="112"/>
      <c r="K136" s="433">
        <v>0</v>
      </c>
      <c r="L136" s="433">
        <f t="shared" si="29"/>
        <v>0</v>
      </c>
      <c r="M136" s="445">
        <f t="shared" si="30"/>
        <v>0</v>
      </c>
      <c r="N136" s="113">
        <f t="shared" si="23"/>
        <v>55</v>
      </c>
      <c r="O136" s="279"/>
      <c r="P136" s="114">
        <f t="shared" si="31"/>
        <v>0</v>
      </c>
      <c r="Q136" s="115">
        <f t="shared" si="32"/>
        <v>0</v>
      </c>
      <c r="R136" s="330">
        <f t="shared" si="24"/>
        <v>0</v>
      </c>
      <c r="S136" s="457"/>
      <c r="T136" s="116">
        <f t="shared" si="25"/>
        <v>0</v>
      </c>
      <c r="U136" s="469"/>
      <c r="V136" s="117">
        <f t="shared" si="26"/>
        <v>0</v>
      </c>
      <c r="W136" s="134">
        <f t="shared" si="33"/>
        <v>0</v>
      </c>
      <c r="X136" s="134">
        <f t="shared" si="27"/>
        <v>0</v>
      </c>
    </row>
    <row r="137" spans="1:24" ht="13.8" customHeight="1">
      <c r="A137" s="171" t="s">
        <v>6</v>
      </c>
      <c r="B137" s="108" t="s">
        <v>158</v>
      </c>
      <c r="C137" s="109">
        <v>6</v>
      </c>
      <c r="D137" s="110" t="s">
        <v>135</v>
      </c>
      <c r="E137" s="111"/>
      <c r="F137" s="112"/>
      <c r="G137" s="112"/>
      <c r="H137" s="421">
        <v>21</v>
      </c>
      <c r="I137" s="421">
        <f t="shared" si="28"/>
        <v>0</v>
      </c>
      <c r="J137" s="112"/>
      <c r="K137" s="433">
        <v>0</v>
      </c>
      <c r="L137" s="433">
        <f t="shared" si="29"/>
        <v>0</v>
      </c>
      <c r="M137" s="445">
        <f t="shared" si="30"/>
        <v>0</v>
      </c>
      <c r="N137" s="113">
        <f t="shared" si="23"/>
        <v>21</v>
      </c>
      <c r="O137" s="279"/>
      <c r="P137" s="114">
        <f t="shared" si="31"/>
        <v>0</v>
      </c>
      <c r="Q137" s="115">
        <f t="shared" si="32"/>
        <v>0</v>
      </c>
      <c r="R137" s="330">
        <f t="shared" si="24"/>
        <v>0</v>
      </c>
      <c r="S137" s="457"/>
      <c r="T137" s="116">
        <f t="shared" si="25"/>
        <v>0</v>
      </c>
      <c r="U137" s="469"/>
      <c r="V137" s="117">
        <f t="shared" si="26"/>
        <v>0</v>
      </c>
      <c r="W137" s="134">
        <f t="shared" si="33"/>
        <v>0</v>
      </c>
      <c r="X137" s="134">
        <f t="shared" si="27"/>
        <v>0</v>
      </c>
    </row>
    <row r="138" spans="1:24" ht="13.8" customHeight="1">
      <c r="A138" s="171" t="s">
        <v>6</v>
      </c>
      <c r="B138" s="118" t="s">
        <v>159</v>
      </c>
      <c r="C138" s="119">
        <v>6</v>
      </c>
      <c r="D138" s="110" t="s">
        <v>135</v>
      </c>
      <c r="E138" s="111"/>
      <c r="F138" s="112"/>
      <c r="G138" s="112"/>
      <c r="H138" s="421">
        <v>71</v>
      </c>
      <c r="I138" s="421">
        <f t="shared" si="28"/>
        <v>0</v>
      </c>
      <c r="J138" s="112"/>
      <c r="K138" s="433">
        <v>0</v>
      </c>
      <c r="L138" s="433">
        <f t="shared" si="29"/>
        <v>0</v>
      </c>
      <c r="M138" s="445">
        <f t="shared" si="30"/>
        <v>0</v>
      </c>
      <c r="N138" s="299">
        <f t="shared" si="23"/>
        <v>71</v>
      </c>
      <c r="O138" s="300">
        <v>0</v>
      </c>
      <c r="P138" s="120">
        <f t="shared" si="31"/>
        <v>0</v>
      </c>
      <c r="Q138" s="120">
        <f t="shared" si="32"/>
        <v>0</v>
      </c>
      <c r="R138" s="332">
        <f t="shared" si="24"/>
        <v>0</v>
      </c>
      <c r="S138" s="457"/>
      <c r="T138" s="120">
        <f t="shared" si="25"/>
        <v>0</v>
      </c>
      <c r="U138" s="469"/>
      <c r="V138" s="121">
        <f t="shared" si="26"/>
        <v>0</v>
      </c>
      <c r="W138" s="306">
        <f t="shared" si="33"/>
        <v>0</v>
      </c>
      <c r="X138" s="306">
        <f t="shared" si="27"/>
        <v>0</v>
      </c>
    </row>
    <row r="139" spans="1:24" ht="13.8" customHeight="1">
      <c r="A139" s="171" t="s">
        <v>6</v>
      </c>
      <c r="B139" s="108" t="s">
        <v>166</v>
      </c>
      <c r="C139" s="109">
        <v>6</v>
      </c>
      <c r="D139" s="110" t="s">
        <v>135</v>
      </c>
      <c r="E139" s="111"/>
      <c r="F139" s="112"/>
      <c r="G139" s="112"/>
      <c r="H139" s="421">
        <v>55</v>
      </c>
      <c r="I139" s="421">
        <f t="shared" si="28"/>
        <v>0</v>
      </c>
      <c r="J139" s="112"/>
      <c r="K139" s="433">
        <v>0</v>
      </c>
      <c r="L139" s="433">
        <f t="shared" si="29"/>
        <v>0</v>
      </c>
      <c r="M139" s="445">
        <f t="shared" si="30"/>
        <v>0</v>
      </c>
      <c r="N139" s="113">
        <f t="shared" si="23"/>
        <v>55</v>
      </c>
      <c r="O139" s="279"/>
      <c r="P139" s="114">
        <f t="shared" si="31"/>
        <v>0</v>
      </c>
      <c r="Q139" s="115">
        <f t="shared" si="32"/>
        <v>0</v>
      </c>
      <c r="R139" s="330">
        <f t="shared" si="24"/>
        <v>0</v>
      </c>
      <c r="S139" s="457"/>
      <c r="T139" s="116">
        <f t="shared" si="25"/>
        <v>0</v>
      </c>
      <c r="U139" s="469"/>
      <c r="V139" s="117">
        <f t="shared" si="26"/>
        <v>0</v>
      </c>
      <c r="W139" s="134">
        <f t="shared" si="33"/>
        <v>0</v>
      </c>
      <c r="X139" s="134">
        <f t="shared" si="27"/>
        <v>0</v>
      </c>
    </row>
    <row r="140" spans="1:24" ht="14.4" customHeight="1" thickBot="1">
      <c r="A140" s="172" t="s">
        <v>6</v>
      </c>
      <c r="B140" s="173" t="s">
        <v>167</v>
      </c>
      <c r="C140" s="174">
        <v>6</v>
      </c>
      <c r="D140" s="175" t="s">
        <v>135</v>
      </c>
      <c r="E140" s="176"/>
      <c r="F140" s="177"/>
      <c r="G140" s="177"/>
      <c r="H140" s="422">
        <v>30</v>
      </c>
      <c r="I140" s="422">
        <f t="shared" si="28"/>
        <v>0</v>
      </c>
      <c r="J140" s="177"/>
      <c r="K140" s="434">
        <v>0</v>
      </c>
      <c r="L140" s="434">
        <f t="shared" si="29"/>
        <v>0</v>
      </c>
      <c r="M140" s="446">
        <f t="shared" si="30"/>
        <v>0</v>
      </c>
      <c r="N140" s="178">
        <f t="shared" si="23"/>
        <v>30</v>
      </c>
      <c r="O140" s="289"/>
      <c r="P140" s="179">
        <f t="shared" si="31"/>
        <v>0</v>
      </c>
      <c r="Q140" s="180">
        <f t="shared" si="32"/>
        <v>0</v>
      </c>
      <c r="R140" s="333">
        <f t="shared" si="24"/>
        <v>0</v>
      </c>
      <c r="S140" s="458"/>
      <c r="T140" s="181">
        <f t="shared" si="25"/>
        <v>0</v>
      </c>
      <c r="U140" s="470"/>
      <c r="V140" s="182">
        <f t="shared" si="26"/>
        <v>0</v>
      </c>
      <c r="W140" s="135">
        <f t="shared" si="33"/>
        <v>0</v>
      </c>
      <c r="X140" s="135">
        <f t="shared" si="27"/>
        <v>0</v>
      </c>
    </row>
    <row r="141" spans="1:24" ht="13.8" customHeight="1">
      <c r="A141" s="187" t="s">
        <v>7</v>
      </c>
      <c r="B141" s="188" t="s">
        <v>142</v>
      </c>
      <c r="C141" s="189">
        <v>1</v>
      </c>
      <c r="D141" s="190" t="s">
        <v>131</v>
      </c>
      <c r="E141" s="191"/>
      <c r="F141" s="192"/>
      <c r="G141" s="192"/>
      <c r="H141" s="423">
        <v>112</v>
      </c>
      <c r="I141" s="423">
        <f t="shared" si="28"/>
        <v>0</v>
      </c>
      <c r="J141" s="192"/>
      <c r="K141" s="435">
        <v>3</v>
      </c>
      <c r="L141" s="435">
        <f t="shared" si="29"/>
        <v>0</v>
      </c>
      <c r="M141" s="447">
        <f t="shared" si="30"/>
        <v>0</v>
      </c>
      <c r="N141" s="193">
        <f t="shared" si="23"/>
        <v>109</v>
      </c>
      <c r="O141" s="290"/>
      <c r="P141" s="194">
        <f t="shared" si="31"/>
        <v>0</v>
      </c>
      <c r="Q141" s="195">
        <f t="shared" si="32"/>
        <v>0</v>
      </c>
      <c r="R141" s="334">
        <f t="shared" si="24"/>
        <v>0</v>
      </c>
      <c r="S141" s="459"/>
      <c r="T141" s="196">
        <f t="shared" si="25"/>
        <v>0</v>
      </c>
      <c r="U141" s="471"/>
      <c r="V141" s="197">
        <f t="shared" si="26"/>
        <v>0</v>
      </c>
      <c r="W141" s="133">
        <f t="shared" si="33"/>
        <v>0</v>
      </c>
      <c r="X141" s="133">
        <f t="shared" si="27"/>
        <v>0</v>
      </c>
    </row>
    <row r="142" spans="1:24" ht="13.8" customHeight="1">
      <c r="A142" s="198" t="s">
        <v>7</v>
      </c>
      <c r="B142" s="63" t="s">
        <v>143</v>
      </c>
      <c r="C142" s="93">
        <v>1</v>
      </c>
      <c r="D142" s="64" t="s">
        <v>131</v>
      </c>
      <c r="E142" s="1"/>
      <c r="F142" s="2"/>
      <c r="G142" s="2"/>
      <c r="H142" s="424">
        <v>71</v>
      </c>
      <c r="I142" s="424">
        <f t="shared" si="28"/>
        <v>0</v>
      </c>
      <c r="J142" s="2"/>
      <c r="K142" s="436">
        <v>2</v>
      </c>
      <c r="L142" s="436">
        <f t="shared" si="29"/>
        <v>0</v>
      </c>
      <c r="M142" s="448">
        <f t="shared" si="30"/>
        <v>0</v>
      </c>
      <c r="N142" s="5">
        <f t="shared" si="23"/>
        <v>69</v>
      </c>
      <c r="O142" s="280"/>
      <c r="P142" s="7">
        <f t="shared" si="31"/>
        <v>0</v>
      </c>
      <c r="Q142" s="8">
        <f t="shared" si="32"/>
        <v>0</v>
      </c>
      <c r="R142" s="335">
        <f t="shared" si="24"/>
        <v>0</v>
      </c>
      <c r="S142" s="460"/>
      <c r="T142" s="11">
        <f t="shared" si="25"/>
        <v>0</v>
      </c>
      <c r="U142" s="472"/>
      <c r="V142" s="13">
        <f t="shared" si="26"/>
        <v>0</v>
      </c>
      <c r="W142" s="134">
        <f t="shared" si="33"/>
        <v>0</v>
      </c>
      <c r="X142" s="134">
        <f t="shared" si="27"/>
        <v>0</v>
      </c>
    </row>
    <row r="143" spans="1:24" ht="13.8" customHeight="1">
      <c r="A143" s="198" t="s">
        <v>7</v>
      </c>
      <c r="B143" s="63" t="s">
        <v>144</v>
      </c>
      <c r="C143" s="93">
        <v>1</v>
      </c>
      <c r="D143" s="64" t="s">
        <v>132</v>
      </c>
      <c r="E143" s="1"/>
      <c r="F143" s="2"/>
      <c r="G143" s="2"/>
      <c r="H143" s="424">
        <v>73</v>
      </c>
      <c r="I143" s="424">
        <f t="shared" si="28"/>
        <v>0</v>
      </c>
      <c r="J143" s="2"/>
      <c r="K143" s="436">
        <v>2</v>
      </c>
      <c r="L143" s="436">
        <f t="shared" si="29"/>
        <v>0</v>
      </c>
      <c r="M143" s="448">
        <f t="shared" si="30"/>
        <v>0</v>
      </c>
      <c r="N143" s="5">
        <f t="shared" si="23"/>
        <v>71</v>
      </c>
      <c r="O143" s="280"/>
      <c r="P143" s="7">
        <f t="shared" si="31"/>
        <v>0</v>
      </c>
      <c r="Q143" s="8">
        <f t="shared" si="32"/>
        <v>0</v>
      </c>
      <c r="R143" s="335">
        <f t="shared" si="24"/>
        <v>0</v>
      </c>
      <c r="S143" s="460"/>
      <c r="T143" s="11">
        <f t="shared" si="25"/>
        <v>0</v>
      </c>
      <c r="U143" s="472"/>
      <c r="V143" s="13">
        <f t="shared" si="26"/>
        <v>0</v>
      </c>
      <c r="W143" s="134">
        <f t="shared" si="33"/>
        <v>0</v>
      </c>
      <c r="X143" s="134">
        <f t="shared" si="27"/>
        <v>0</v>
      </c>
    </row>
    <row r="144" spans="1:24" ht="13.8" customHeight="1">
      <c r="A144" s="198" t="s">
        <v>7</v>
      </c>
      <c r="B144" s="63" t="s">
        <v>145</v>
      </c>
      <c r="C144" s="93">
        <v>1</v>
      </c>
      <c r="D144" s="64" t="s">
        <v>132</v>
      </c>
      <c r="E144" s="1"/>
      <c r="F144" s="2"/>
      <c r="G144" s="2"/>
      <c r="H144" s="424">
        <v>108</v>
      </c>
      <c r="I144" s="424">
        <f t="shared" si="28"/>
        <v>0</v>
      </c>
      <c r="J144" s="2"/>
      <c r="K144" s="436">
        <v>2</v>
      </c>
      <c r="L144" s="436">
        <f t="shared" si="29"/>
        <v>0</v>
      </c>
      <c r="M144" s="448">
        <f t="shared" si="30"/>
        <v>0</v>
      </c>
      <c r="N144" s="5">
        <f t="shared" si="23"/>
        <v>106</v>
      </c>
      <c r="O144" s="280"/>
      <c r="P144" s="7">
        <f t="shared" si="31"/>
        <v>0</v>
      </c>
      <c r="Q144" s="8">
        <f t="shared" si="32"/>
        <v>0</v>
      </c>
      <c r="R144" s="335">
        <f t="shared" si="24"/>
        <v>0</v>
      </c>
      <c r="S144" s="460"/>
      <c r="T144" s="11">
        <f t="shared" si="25"/>
        <v>0</v>
      </c>
      <c r="U144" s="472"/>
      <c r="V144" s="13">
        <f t="shared" si="26"/>
        <v>0</v>
      </c>
      <c r="W144" s="134">
        <f t="shared" si="33"/>
        <v>0</v>
      </c>
      <c r="X144" s="134">
        <f t="shared" si="27"/>
        <v>0</v>
      </c>
    </row>
    <row r="145" spans="1:24" ht="13.8" customHeight="1">
      <c r="A145" s="198" t="s">
        <v>7</v>
      </c>
      <c r="B145" s="63" t="s">
        <v>146</v>
      </c>
      <c r="C145" s="93">
        <v>1</v>
      </c>
      <c r="D145" s="64" t="s">
        <v>132</v>
      </c>
      <c r="E145" s="1"/>
      <c r="F145" s="2"/>
      <c r="G145" s="2"/>
      <c r="H145" s="424">
        <v>95</v>
      </c>
      <c r="I145" s="424">
        <f t="shared" si="28"/>
        <v>0</v>
      </c>
      <c r="J145" s="2"/>
      <c r="K145" s="436">
        <v>2</v>
      </c>
      <c r="L145" s="436">
        <f t="shared" si="29"/>
        <v>0</v>
      </c>
      <c r="M145" s="448">
        <f t="shared" si="30"/>
        <v>0</v>
      </c>
      <c r="N145" s="5">
        <f t="shared" si="23"/>
        <v>93</v>
      </c>
      <c r="O145" s="280"/>
      <c r="P145" s="7">
        <f t="shared" si="31"/>
        <v>0</v>
      </c>
      <c r="Q145" s="8">
        <f t="shared" si="32"/>
        <v>0</v>
      </c>
      <c r="R145" s="335">
        <f t="shared" si="24"/>
        <v>0</v>
      </c>
      <c r="S145" s="460"/>
      <c r="T145" s="11">
        <f t="shared" si="25"/>
        <v>0</v>
      </c>
      <c r="U145" s="472"/>
      <c r="V145" s="13">
        <f t="shared" si="26"/>
        <v>0</v>
      </c>
      <c r="W145" s="134">
        <f t="shared" si="33"/>
        <v>0</v>
      </c>
      <c r="X145" s="134">
        <f t="shared" si="27"/>
        <v>0</v>
      </c>
    </row>
    <row r="146" spans="1:24" ht="13.8" customHeight="1">
      <c r="A146" s="198" t="s">
        <v>7</v>
      </c>
      <c r="B146" s="63" t="s">
        <v>147</v>
      </c>
      <c r="C146" s="93">
        <v>1</v>
      </c>
      <c r="D146" s="64" t="s">
        <v>132</v>
      </c>
      <c r="E146" s="1"/>
      <c r="F146" s="2"/>
      <c r="G146" s="2"/>
      <c r="H146" s="424">
        <v>35</v>
      </c>
      <c r="I146" s="424">
        <f t="shared" si="28"/>
        <v>0</v>
      </c>
      <c r="J146" s="2"/>
      <c r="K146" s="436">
        <v>1</v>
      </c>
      <c r="L146" s="436">
        <f t="shared" si="29"/>
        <v>0</v>
      </c>
      <c r="M146" s="448">
        <f t="shared" si="30"/>
        <v>0</v>
      </c>
      <c r="N146" s="5">
        <f t="shared" si="23"/>
        <v>34</v>
      </c>
      <c r="O146" s="280"/>
      <c r="P146" s="7">
        <f t="shared" si="31"/>
        <v>0</v>
      </c>
      <c r="Q146" s="8">
        <f t="shared" si="32"/>
        <v>0</v>
      </c>
      <c r="R146" s="335">
        <f t="shared" si="24"/>
        <v>0</v>
      </c>
      <c r="S146" s="460"/>
      <c r="T146" s="11">
        <f t="shared" si="25"/>
        <v>0</v>
      </c>
      <c r="U146" s="472"/>
      <c r="V146" s="13">
        <f t="shared" si="26"/>
        <v>0</v>
      </c>
      <c r="W146" s="134">
        <f t="shared" si="33"/>
        <v>0</v>
      </c>
      <c r="X146" s="134">
        <f t="shared" si="27"/>
        <v>0</v>
      </c>
    </row>
    <row r="147" spans="1:24" ht="14.4" customHeight="1" thickBot="1">
      <c r="A147" s="199" t="s">
        <v>7</v>
      </c>
      <c r="B147" s="235" t="s">
        <v>148</v>
      </c>
      <c r="C147" s="236">
        <v>1</v>
      </c>
      <c r="D147" s="202" t="s">
        <v>132</v>
      </c>
      <c r="E147" s="203"/>
      <c r="F147" s="204"/>
      <c r="G147" s="204"/>
      <c r="H147" s="425">
        <v>65</v>
      </c>
      <c r="I147" s="425">
        <f t="shared" si="28"/>
        <v>0</v>
      </c>
      <c r="J147" s="204"/>
      <c r="K147" s="437">
        <v>2</v>
      </c>
      <c r="L147" s="437">
        <f t="shared" si="29"/>
        <v>0</v>
      </c>
      <c r="M147" s="449">
        <f t="shared" si="30"/>
        <v>0</v>
      </c>
      <c r="N147" s="301">
        <f t="shared" si="23"/>
        <v>63</v>
      </c>
      <c r="O147" s="302">
        <v>0</v>
      </c>
      <c r="P147" s="237">
        <f t="shared" si="31"/>
        <v>0</v>
      </c>
      <c r="Q147" s="237">
        <f t="shared" si="32"/>
        <v>0</v>
      </c>
      <c r="R147" s="336">
        <f t="shared" si="24"/>
        <v>0</v>
      </c>
      <c r="S147" s="461"/>
      <c r="T147" s="237">
        <f t="shared" si="25"/>
        <v>0</v>
      </c>
      <c r="U147" s="473"/>
      <c r="V147" s="238">
        <f t="shared" si="26"/>
        <v>0</v>
      </c>
      <c r="W147" s="305">
        <f t="shared" si="33"/>
        <v>0</v>
      </c>
      <c r="X147" s="305">
        <f t="shared" si="27"/>
        <v>0</v>
      </c>
    </row>
    <row r="148" spans="1:24" ht="13.8" customHeight="1">
      <c r="A148" s="187" t="s">
        <v>7</v>
      </c>
      <c r="B148" s="188" t="s">
        <v>142</v>
      </c>
      <c r="C148" s="189">
        <v>2</v>
      </c>
      <c r="D148" s="190" t="s">
        <v>133</v>
      </c>
      <c r="E148" s="191"/>
      <c r="F148" s="192"/>
      <c r="G148" s="192"/>
      <c r="H148" s="423">
        <v>90</v>
      </c>
      <c r="I148" s="423">
        <f t="shared" si="28"/>
        <v>0</v>
      </c>
      <c r="J148" s="192"/>
      <c r="K148" s="435">
        <v>2</v>
      </c>
      <c r="L148" s="435">
        <f t="shared" si="29"/>
        <v>0</v>
      </c>
      <c r="M148" s="447">
        <f t="shared" si="30"/>
        <v>0</v>
      </c>
      <c r="N148" s="193">
        <f t="shared" si="16"/>
        <v>88</v>
      </c>
      <c r="O148" s="290"/>
      <c r="P148" s="194">
        <f t="shared" si="31"/>
        <v>0</v>
      </c>
      <c r="Q148" s="195">
        <f t="shared" si="32"/>
        <v>0</v>
      </c>
      <c r="R148" s="334">
        <f t="shared" si="19"/>
        <v>0</v>
      </c>
      <c r="S148" s="459"/>
      <c r="T148" s="196">
        <f t="shared" ref="T148:T162" si="34">S148*H148</f>
        <v>0</v>
      </c>
      <c r="U148" s="471"/>
      <c r="V148" s="197">
        <f t="shared" si="20"/>
        <v>0</v>
      </c>
      <c r="W148" s="133">
        <f t="shared" si="33"/>
        <v>0</v>
      </c>
      <c r="X148" s="133">
        <f t="shared" si="22"/>
        <v>0</v>
      </c>
    </row>
    <row r="149" spans="1:24" ht="13.8" customHeight="1">
      <c r="A149" s="198" t="s">
        <v>7</v>
      </c>
      <c r="B149" s="63" t="s">
        <v>143</v>
      </c>
      <c r="C149" s="93">
        <v>2</v>
      </c>
      <c r="D149" s="64" t="s">
        <v>133</v>
      </c>
      <c r="E149" s="1"/>
      <c r="F149" s="2"/>
      <c r="G149" s="2"/>
      <c r="H149" s="424">
        <v>46</v>
      </c>
      <c r="I149" s="424">
        <f t="shared" si="28"/>
        <v>0</v>
      </c>
      <c r="J149" s="2"/>
      <c r="K149" s="436">
        <v>1</v>
      </c>
      <c r="L149" s="436">
        <f t="shared" si="29"/>
        <v>0</v>
      </c>
      <c r="M149" s="448">
        <f t="shared" si="30"/>
        <v>0</v>
      </c>
      <c r="N149" s="5">
        <f t="shared" si="16"/>
        <v>45</v>
      </c>
      <c r="O149" s="280"/>
      <c r="P149" s="7">
        <f t="shared" si="31"/>
        <v>0</v>
      </c>
      <c r="Q149" s="8">
        <f t="shared" si="32"/>
        <v>0</v>
      </c>
      <c r="R149" s="335">
        <f t="shared" si="19"/>
        <v>0</v>
      </c>
      <c r="S149" s="460"/>
      <c r="T149" s="11">
        <f t="shared" si="34"/>
        <v>0</v>
      </c>
      <c r="U149" s="472"/>
      <c r="V149" s="13">
        <f t="shared" si="20"/>
        <v>0</v>
      </c>
      <c r="W149" s="134">
        <f t="shared" si="33"/>
        <v>0</v>
      </c>
      <c r="X149" s="134">
        <f t="shared" si="22"/>
        <v>0</v>
      </c>
    </row>
    <row r="150" spans="1:24" ht="13.8" customHeight="1">
      <c r="A150" s="198" t="s">
        <v>7</v>
      </c>
      <c r="B150" s="63" t="s">
        <v>144</v>
      </c>
      <c r="C150" s="93">
        <v>2</v>
      </c>
      <c r="D150" s="64" t="s">
        <v>133</v>
      </c>
      <c r="E150" s="1"/>
      <c r="F150" s="2"/>
      <c r="G150" s="2"/>
      <c r="H150" s="424">
        <v>81</v>
      </c>
      <c r="I150" s="424">
        <f t="shared" si="28"/>
        <v>0</v>
      </c>
      <c r="J150" s="2"/>
      <c r="K150" s="436">
        <v>2</v>
      </c>
      <c r="L150" s="436">
        <f t="shared" si="29"/>
        <v>0</v>
      </c>
      <c r="M150" s="448">
        <f t="shared" si="30"/>
        <v>0</v>
      </c>
      <c r="N150" s="5">
        <f t="shared" si="16"/>
        <v>79</v>
      </c>
      <c r="O150" s="280"/>
      <c r="P150" s="7">
        <f t="shared" si="31"/>
        <v>0</v>
      </c>
      <c r="Q150" s="8">
        <f t="shared" si="32"/>
        <v>0</v>
      </c>
      <c r="R150" s="335">
        <f t="shared" si="19"/>
        <v>0</v>
      </c>
      <c r="S150" s="460"/>
      <c r="T150" s="11">
        <f t="shared" si="34"/>
        <v>0</v>
      </c>
      <c r="U150" s="472"/>
      <c r="V150" s="13">
        <f t="shared" si="20"/>
        <v>0</v>
      </c>
      <c r="W150" s="134">
        <f t="shared" si="33"/>
        <v>0</v>
      </c>
      <c r="X150" s="134">
        <f t="shared" si="22"/>
        <v>0</v>
      </c>
    </row>
    <row r="151" spans="1:24" ht="13.8" customHeight="1">
      <c r="A151" s="198" t="s">
        <v>7</v>
      </c>
      <c r="B151" s="63" t="s">
        <v>145</v>
      </c>
      <c r="C151" s="93">
        <v>2</v>
      </c>
      <c r="D151" s="64" t="s">
        <v>133</v>
      </c>
      <c r="E151" s="1"/>
      <c r="F151" s="2"/>
      <c r="G151" s="2"/>
      <c r="H151" s="424">
        <v>118</v>
      </c>
      <c r="I151" s="424">
        <f t="shared" si="28"/>
        <v>0</v>
      </c>
      <c r="J151" s="2"/>
      <c r="K151" s="436">
        <v>3</v>
      </c>
      <c r="L151" s="436">
        <f t="shared" si="29"/>
        <v>0</v>
      </c>
      <c r="M151" s="448">
        <f t="shared" si="30"/>
        <v>0</v>
      </c>
      <c r="N151" s="5">
        <f t="shared" si="16"/>
        <v>115</v>
      </c>
      <c r="O151" s="280"/>
      <c r="P151" s="7">
        <f t="shared" si="31"/>
        <v>0</v>
      </c>
      <c r="Q151" s="8">
        <f t="shared" si="32"/>
        <v>0</v>
      </c>
      <c r="R151" s="335">
        <f t="shared" si="19"/>
        <v>0</v>
      </c>
      <c r="S151" s="460"/>
      <c r="T151" s="11">
        <f t="shared" si="34"/>
        <v>0</v>
      </c>
      <c r="U151" s="472"/>
      <c r="V151" s="13">
        <f t="shared" si="20"/>
        <v>0</v>
      </c>
      <c r="W151" s="134">
        <f t="shared" si="33"/>
        <v>0</v>
      </c>
      <c r="X151" s="134">
        <f t="shared" si="22"/>
        <v>0</v>
      </c>
    </row>
    <row r="152" spans="1:24" ht="13.8" customHeight="1">
      <c r="A152" s="198" t="s">
        <v>7</v>
      </c>
      <c r="B152" s="63" t="s">
        <v>146</v>
      </c>
      <c r="C152" s="93">
        <v>2</v>
      </c>
      <c r="D152" s="64" t="s">
        <v>133</v>
      </c>
      <c r="E152" s="1"/>
      <c r="F152" s="2"/>
      <c r="G152" s="2"/>
      <c r="H152" s="424">
        <v>89</v>
      </c>
      <c r="I152" s="424">
        <f t="shared" si="28"/>
        <v>0</v>
      </c>
      <c r="J152" s="2"/>
      <c r="K152" s="436">
        <v>2</v>
      </c>
      <c r="L152" s="436">
        <f t="shared" si="29"/>
        <v>0</v>
      </c>
      <c r="M152" s="448">
        <f t="shared" si="30"/>
        <v>0</v>
      </c>
      <c r="N152" s="5">
        <f t="shared" si="16"/>
        <v>87</v>
      </c>
      <c r="O152" s="280"/>
      <c r="P152" s="7">
        <f t="shared" si="31"/>
        <v>0</v>
      </c>
      <c r="Q152" s="8">
        <f t="shared" si="32"/>
        <v>0</v>
      </c>
      <c r="R152" s="335">
        <f t="shared" si="19"/>
        <v>0</v>
      </c>
      <c r="S152" s="460"/>
      <c r="T152" s="11">
        <f t="shared" si="34"/>
        <v>0</v>
      </c>
      <c r="U152" s="472"/>
      <c r="V152" s="13">
        <f t="shared" si="20"/>
        <v>0</v>
      </c>
      <c r="W152" s="134">
        <f t="shared" si="33"/>
        <v>0</v>
      </c>
      <c r="X152" s="134">
        <f t="shared" si="22"/>
        <v>0</v>
      </c>
    </row>
    <row r="153" spans="1:24" ht="13.8" customHeight="1">
      <c r="A153" s="198" t="s">
        <v>7</v>
      </c>
      <c r="B153" s="63" t="s">
        <v>147</v>
      </c>
      <c r="C153" s="93">
        <v>2</v>
      </c>
      <c r="D153" s="64" t="s">
        <v>133</v>
      </c>
      <c r="E153" s="1"/>
      <c r="F153" s="2"/>
      <c r="G153" s="2"/>
      <c r="H153" s="424">
        <v>20</v>
      </c>
      <c r="I153" s="424">
        <f t="shared" si="28"/>
        <v>0</v>
      </c>
      <c r="J153" s="2"/>
      <c r="K153" s="436">
        <v>0</v>
      </c>
      <c r="L153" s="436">
        <f t="shared" si="29"/>
        <v>0</v>
      </c>
      <c r="M153" s="448">
        <f t="shared" si="30"/>
        <v>0</v>
      </c>
      <c r="N153" s="5">
        <f t="shared" si="16"/>
        <v>20</v>
      </c>
      <c r="O153" s="280"/>
      <c r="P153" s="7">
        <f t="shared" si="31"/>
        <v>0</v>
      </c>
      <c r="Q153" s="8">
        <f t="shared" si="32"/>
        <v>0</v>
      </c>
      <c r="R153" s="335">
        <f t="shared" si="19"/>
        <v>0</v>
      </c>
      <c r="S153" s="460"/>
      <c r="T153" s="11">
        <f t="shared" si="34"/>
        <v>0</v>
      </c>
      <c r="U153" s="472"/>
      <c r="V153" s="13">
        <f t="shared" si="20"/>
        <v>0</v>
      </c>
      <c r="W153" s="134">
        <f t="shared" si="33"/>
        <v>0</v>
      </c>
      <c r="X153" s="134">
        <f t="shared" si="22"/>
        <v>0</v>
      </c>
    </row>
    <row r="154" spans="1:24" ht="14.4" customHeight="1" thickBot="1">
      <c r="A154" s="199" t="s">
        <v>7</v>
      </c>
      <c r="B154" s="235" t="s">
        <v>148</v>
      </c>
      <c r="C154" s="236">
        <v>2</v>
      </c>
      <c r="D154" s="202" t="s">
        <v>133</v>
      </c>
      <c r="E154" s="203"/>
      <c r="F154" s="204"/>
      <c r="G154" s="204"/>
      <c r="H154" s="425">
        <v>73</v>
      </c>
      <c r="I154" s="425">
        <f t="shared" si="28"/>
        <v>0</v>
      </c>
      <c r="J154" s="204"/>
      <c r="K154" s="437">
        <v>2</v>
      </c>
      <c r="L154" s="437">
        <f t="shared" si="29"/>
        <v>0</v>
      </c>
      <c r="M154" s="449">
        <f t="shared" si="30"/>
        <v>0</v>
      </c>
      <c r="N154" s="301">
        <f t="shared" si="16"/>
        <v>71</v>
      </c>
      <c r="O154" s="302">
        <v>0</v>
      </c>
      <c r="P154" s="237">
        <f t="shared" si="31"/>
        <v>0</v>
      </c>
      <c r="Q154" s="237">
        <f t="shared" si="32"/>
        <v>0</v>
      </c>
      <c r="R154" s="336">
        <f t="shared" si="19"/>
        <v>0</v>
      </c>
      <c r="S154" s="461"/>
      <c r="T154" s="237">
        <f t="shared" si="34"/>
        <v>0</v>
      </c>
      <c r="U154" s="473"/>
      <c r="V154" s="238">
        <f t="shared" si="20"/>
        <v>0</v>
      </c>
      <c r="W154" s="305">
        <f t="shared" si="33"/>
        <v>0</v>
      </c>
      <c r="X154" s="305">
        <f t="shared" si="22"/>
        <v>0</v>
      </c>
    </row>
    <row r="155" spans="1:24" ht="13.8" customHeight="1">
      <c r="A155" s="187" t="s">
        <v>7</v>
      </c>
      <c r="B155" s="188" t="s">
        <v>142</v>
      </c>
      <c r="C155" s="189">
        <v>3</v>
      </c>
      <c r="D155" s="190" t="s">
        <v>134</v>
      </c>
      <c r="E155" s="191"/>
      <c r="F155" s="192"/>
      <c r="G155" s="192"/>
      <c r="H155" s="423">
        <v>84</v>
      </c>
      <c r="I155" s="423">
        <f t="shared" si="28"/>
        <v>0</v>
      </c>
      <c r="J155" s="192"/>
      <c r="K155" s="435">
        <v>2</v>
      </c>
      <c r="L155" s="435">
        <f t="shared" si="29"/>
        <v>0</v>
      </c>
      <c r="M155" s="447">
        <f t="shared" si="30"/>
        <v>0</v>
      </c>
      <c r="N155" s="193">
        <f t="shared" si="16"/>
        <v>82</v>
      </c>
      <c r="O155" s="290"/>
      <c r="P155" s="194">
        <f t="shared" si="31"/>
        <v>0</v>
      </c>
      <c r="Q155" s="195">
        <f t="shared" si="32"/>
        <v>0</v>
      </c>
      <c r="R155" s="334">
        <f t="shared" si="19"/>
        <v>0</v>
      </c>
      <c r="S155" s="459"/>
      <c r="T155" s="196">
        <f t="shared" si="34"/>
        <v>0</v>
      </c>
      <c r="U155" s="471"/>
      <c r="V155" s="197">
        <f t="shared" si="20"/>
        <v>0</v>
      </c>
      <c r="W155" s="133">
        <f t="shared" si="33"/>
        <v>0</v>
      </c>
      <c r="X155" s="133">
        <f t="shared" si="22"/>
        <v>0</v>
      </c>
    </row>
    <row r="156" spans="1:24" ht="13.8" customHeight="1">
      <c r="A156" s="198" t="s">
        <v>7</v>
      </c>
      <c r="B156" s="63" t="s">
        <v>143</v>
      </c>
      <c r="C156" s="93">
        <v>3</v>
      </c>
      <c r="D156" s="64" t="s">
        <v>134</v>
      </c>
      <c r="E156" s="1"/>
      <c r="F156" s="2"/>
      <c r="G156" s="2"/>
      <c r="H156" s="424">
        <v>49</v>
      </c>
      <c r="I156" s="424">
        <f t="shared" si="28"/>
        <v>0</v>
      </c>
      <c r="J156" s="2"/>
      <c r="K156" s="436">
        <v>1</v>
      </c>
      <c r="L156" s="436">
        <f t="shared" si="29"/>
        <v>0</v>
      </c>
      <c r="M156" s="448">
        <f t="shared" si="30"/>
        <v>0</v>
      </c>
      <c r="N156" s="5">
        <f t="shared" si="16"/>
        <v>48</v>
      </c>
      <c r="O156" s="280"/>
      <c r="P156" s="7">
        <f t="shared" si="31"/>
        <v>0</v>
      </c>
      <c r="Q156" s="8">
        <f t="shared" si="32"/>
        <v>0</v>
      </c>
      <c r="R156" s="335">
        <f t="shared" si="19"/>
        <v>0</v>
      </c>
      <c r="S156" s="460"/>
      <c r="T156" s="11">
        <f t="shared" si="34"/>
        <v>0</v>
      </c>
      <c r="U156" s="472"/>
      <c r="V156" s="13">
        <f t="shared" si="20"/>
        <v>0</v>
      </c>
      <c r="W156" s="134">
        <f t="shared" si="33"/>
        <v>0</v>
      </c>
      <c r="X156" s="134">
        <f t="shared" si="22"/>
        <v>0</v>
      </c>
    </row>
    <row r="157" spans="1:24" ht="13.8" customHeight="1">
      <c r="A157" s="198" t="s">
        <v>7</v>
      </c>
      <c r="B157" s="63" t="s">
        <v>144</v>
      </c>
      <c r="C157" s="93">
        <v>3</v>
      </c>
      <c r="D157" s="64" t="s">
        <v>134</v>
      </c>
      <c r="E157" s="1"/>
      <c r="F157" s="2"/>
      <c r="G157" s="2"/>
      <c r="H157" s="424">
        <v>78</v>
      </c>
      <c r="I157" s="424">
        <f t="shared" si="28"/>
        <v>0</v>
      </c>
      <c r="J157" s="2"/>
      <c r="K157" s="436">
        <v>2</v>
      </c>
      <c r="L157" s="436">
        <f t="shared" si="29"/>
        <v>0</v>
      </c>
      <c r="M157" s="448">
        <f t="shared" si="30"/>
        <v>0</v>
      </c>
      <c r="N157" s="5">
        <f t="shared" si="16"/>
        <v>76</v>
      </c>
      <c r="O157" s="280"/>
      <c r="P157" s="7">
        <f t="shared" si="31"/>
        <v>0</v>
      </c>
      <c r="Q157" s="8">
        <f t="shared" si="32"/>
        <v>0</v>
      </c>
      <c r="R157" s="335">
        <f t="shared" si="19"/>
        <v>0</v>
      </c>
      <c r="S157" s="460"/>
      <c r="T157" s="11">
        <f t="shared" si="34"/>
        <v>0</v>
      </c>
      <c r="U157" s="472"/>
      <c r="V157" s="13">
        <f t="shared" si="20"/>
        <v>0</v>
      </c>
      <c r="W157" s="134">
        <f t="shared" si="33"/>
        <v>0</v>
      </c>
      <c r="X157" s="134">
        <f t="shared" si="22"/>
        <v>0</v>
      </c>
    </row>
    <row r="158" spans="1:24" ht="13.8" customHeight="1">
      <c r="A158" s="198" t="s">
        <v>7</v>
      </c>
      <c r="B158" s="63" t="s">
        <v>145</v>
      </c>
      <c r="C158" s="93">
        <v>3</v>
      </c>
      <c r="D158" s="64" t="s">
        <v>134</v>
      </c>
      <c r="E158" s="1"/>
      <c r="F158" s="2"/>
      <c r="G158" s="2"/>
      <c r="H158" s="424">
        <v>136</v>
      </c>
      <c r="I158" s="424">
        <f t="shared" si="28"/>
        <v>0</v>
      </c>
      <c r="J158" s="2"/>
      <c r="K158" s="436">
        <v>3</v>
      </c>
      <c r="L158" s="436">
        <f t="shared" si="29"/>
        <v>0</v>
      </c>
      <c r="M158" s="448">
        <f t="shared" si="30"/>
        <v>0</v>
      </c>
      <c r="N158" s="5">
        <f t="shared" si="16"/>
        <v>133</v>
      </c>
      <c r="O158" s="280"/>
      <c r="P158" s="7">
        <f t="shared" si="31"/>
        <v>0</v>
      </c>
      <c r="Q158" s="8">
        <f t="shared" si="32"/>
        <v>0</v>
      </c>
      <c r="R158" s="335">
        <f t="shared" si="19"/>
        <v>0</v>
      </c>
      <c r="S158" s="460"/>
      <c r="T158" s="11">
        <f t="shared" si="34"/>
        <v>0</v>
      </c>
      <c r="U158" s="472"/>
      <c r="V158" s="13">
        <f t="shared" si="20"/>
        <v>0</v>
      </c>
      <c r="W158" s="134">
        <f t="shared" si="33"/>
        <v>0</v>
      </c>
      <c r="X158" s="134">
        <f t="shared" si="22"/>
        <v>0</v>
      </c>
    </row>
    <row r="159" spans="1:24" ht="13.8" customHeight="1">
      <c r="A159" s="198" t="s">
        <v>7</v>
      </c>
      <c r="B159" s="103" t="s">
        <v>148</v>
      </c>
      <c r="C159" s="104">
        <v>3</v>
      </c>
      <c r="D159" s="64" t="s">
        <v>134</v>
      </c>
      <c r="E159" s="1"/>
      <c r="F159" s="2"/>
      <c r="G159" s="2"/>
      <c r="H159" s="424">
        <v>92</v>
      </c>
      <c r="I159" s="424">
        <f t="shared" si="28"/>
        <v>0</v>
      </c>
      <c r="J159" s="2"/>
      <c r="K159" s="436">
        <v>2</v>
      </c>
      <c r="L159" s="436">
        <f t="shared" si="29"/>
        <v>0</v>
      </c>
      <c r="M159" s="448">
        <f t="shared" si="30"/>
        <v>0</v>
      </c>
      <c r="N159" s="303">
        <f t="shared" si="16"/>
        <v>90</v>
      </c>
      <c r="O159" s="304">
        <v>0</v>
      </c>
      <c r="P159" s="105">
        <f t="shared" si="31"/>
        <v>0</v>
      </c>
      <c r="Q159" s="105">
        <f t="shared" si="32"/>
        <v>0</v>
      </c>
      <c r="R159" s="337">
        <f t="shared" si="19"/>
        <v>0</v>
      </c>
      <c r="S159" s="460"/>
      <c r="T159" s="105">
        <f t="shared" si="34"/>
        <v>0</v>
      </c>
      <c r="U159" s="472"/>
      <c r="V159" s="107">
        <f t="shared" si="20"/>
        <v>0</v>
      </c>
      <c r="W159" s="306">
        <f t="shared" si="33"/>
        <v>0</v>
      </c>
      <c r="X159" s="306">
        <f t="shared" si="22"/>
        <v>0</v>
      </c>
    </row>
    <row r="160" spans="1:24" ht="13.8" customHeight="1">
      <c r="A160" s="198" t="s">
        <v>7</v>
      </c>
      <c r="B160" s="103" t="s">
        <v>149</v>
      </c>
      <c r="C160" s="104">
        <v>3</v>
      </c>
      <c r="D160" s="64" t="s">
        <v>132</v>
      </c>
      <c r="E160" s="1"/>
      <c r="F160" s="2"/>
      <c r="G160" s="2"/>
      <c r="H160" s="424">
        <v>45</v>
      </c>
      <c r="I160" s="424">
        <f t="shared" si="28"/>
        <v>0</v>
      </c>
      <c r="J160" s="2"/>
      <c r="K160" s="436">
        <v>1</v>
      </c>
      <c r="L160" s="436">
        <f t="shared" si="29"/>
        <v>0</v>
      </c>
      <c r="M160" s="448">
        <f t="shared" si="30"/>
        <v>0</v>
      </c>
      <c r="N160" s="303">
        <f t="shared" si="16"/>
        <v>44</v>
      </c>
      <c r="O160" s="304">
        <v>0</v>
      </c>
      <c r="P160" s="105">
        <f t="shared" si="31"/>
        <v>0</v>
      </c>
      <c r="Q160" s="105">
        <f t="shared" si="32"/>
        <v>0</v>
      </c>
      <c r="R160" s="337">
        <f t="shared" si="19"/>
        <v>0</v>
      </c>
      <c r="S160" s="460"/>
      <c r="T160" s="105">
        <f t="shared" si="34"/>
        <v>0</v>
      </c>
      <c r="U160" s="472"/>
      <c r="V160" s="107">
        <f t="shared" si="20"/>
        <v>0</v>
      </c>
      <c r="W160" s="306">
        <f t="shared" si="33"/>
        <v>0</v>
      </c>
      <c r="X160" s="306">
        <f t="shared" si="22"/>
        <v>0</v>
      </c>
    </row>
    <row r="161" spans="1:24" ht="13.8" customHeight="1">
      <c r="A161" s="198" t="s">
        <v>7</v>
      </c>
      <c r="B161" s="63" t="s">
        <v>150</v>
      </c>
      <c r="C161" s="93">
        <v>3</v>
      </c>
      <c r="D161" s="64" t="s">
        <v>132</v>
      </c>
      <c r="E161" s="1"/>
      <c r="F161" s="2"/>
      <c r="G161" s="2"/>
      <c r="H161" s="424">
        <v>64</v>
      </c>
      <c r="I161" s="424">
        <f t="shared" si="28"/>
        <v>0</v>
      </c>
      <c r="J161" s="2"/>
      <c r="K161" s="436">
        <v>1</v>
      </c>
      <c r="L161" s="436">
        <f t="shared" si="29"/>
        <v>0</v>
      </c>
      <c r="M161" s="448">
        <f t="shared" si="30"/>
        <v>0</v>
      </c>
      <c r="N161" s="5">
        <f t="shared" si="16"/>
        <v>63</v>
      </c>
      <c r="O161" s="280"/>
      <c r="P161" s="7">
        <f t="shared" si="31"/>
        <v>0</v>
      </c>
      <c r="Q161" s="8">
        <f t="shared" si="32"/>
        <v>0</v>
      </c>
      <c r="R161" s="335">
        <f t="shared" si="19"/>
        <v>0</v>
      </c>
      <c r="S161" s="460"/>
      <c r="T161" s="11">
        <f t="shared" si="34"/>
        <v>0</v>
      </c>
      <c r="U161" s="472"/>
      <c r="V161" s="13">
        <f t="shared" si="20"/>
        <v>0</v>
      </c>
      <c r="W161" s="134">
        <f t="shared" si="33"/>
        <v>0</v>
      </c>
      <c r="X161" s="134">
        <f t="shared" si="22"/>
        <v>0</v>
      </c>
    </row>
    <row r="162" spans="1:24" ht="13.8" customHeight="1">
      <c r="A162" s="198" t="s">
        <v>7</v>
      </c>
      <c r="B162" s="63" t="s">
        <v>151</v>
      </c>
      <c r="C162" s="93">
        <v>3</v>
      </c>
      <c r="D162" s="64" t="s">
        <v>132</v>
      </c>
      <c r="E162" s="1"/>
      <c r="F162" s="2"/>
      <c r="G162" s="2"/>
      <c r="H162" s="424">
        <v>25</v>
      </c>
      <c r="I162" s="424">
        <f t="shared" si="28"/>
        <v>0</v>
      </c>
      <c r="J162" s="2"/>
      <c r="K162" s="436">
        <v>1</v>
      </c>
      <c r="L162" s="436">
        <f t="shared" si="29"/>
        <v>0</v>
      </c>
      <c r="M162" s="448">
        <f t="shared" si="30"/>
        <v>0</v>
      </c>
      <c r="N162" s="5">
        <f t="shared" si="16"/>
        <v>24</v>
      </c>
      <c r="O162" s="280"/>
      <c r="P162" s="7">
        <f t="shared" si="31"/>
        <v>0</v>
      </c>
      <c r="Q162" s="8">
        <f t="shared" si="32"/>
        <v>0</v>
      </c>
      <c r="R162" s="335">
        <f t="shared" si="19"/>
        <v>0</v>
      </c>
      <c r="S162" s="460"/>
      <c r="T162" s="11">
        <f t="shared" si="34"/>
        <v>0</v>
      </c>
      <c r="U162" s="472"/>
      <c r="V162" s="13">
        <f t="shared" si="20"/>
        <v>0</v>
      </c>
      <c r="W162" s="134">
        <f t="shared" si="33"/>
        <v>0</v>
      </c>
      <c r="X162" s="134">
        <f t="shared" si="22"/>
        <v>0</v>
      </c>
    </row>
    <row r="163" spans="1:24" ht="13.8" customHeight="1">
      <c r="A163" s="198" t="s">
        <v>7</v>
      </c>
      <c r="B163" s="63" t="s">
        <v>152</v>
      </c>
      <c r="C163" s="93">
        <v>3</v>
      </c>
      <c r="D163" s="64" t="s">
        <v>132</v>
      </c>
      <c r="E163" s="1"/>
      <c r="F163" s="2"/>
      <c r="G163" s="2"/>
      <c r="H163" s="424">
        <v>63</v>
      </c>
      <c r="I163" s="424">
        <f t="shared" si="28"/>
        <v>0</v>
      </c>
      <c r="J163" s="2"/>
      <c r="K163" s="436">
        <v>1</v>
      </c>
      <c r="L163" s="436">
        <f t="shared" si="29"/>
        <v>0</v>
      </c>
      <c r="M163" s="448">
        <f t="shared" si="30"/>
        <v>0</v>
      </c>
      <c r="N163" s="5">
        <f t="shared" si="16"/>
        <v>62</v>
      </c>
      <c r="O163" s="280"/>
      <c r="P163" s="7">
        <f t="shared" si="31"/>
        <v>0</v>
      </c>
      <c r="Q163" s="8">
        <f t="shared" si="32"/>
        <v>0</v>
      </c>
      <c r="R163" s="335">
        <f t="shared" si="19"/>
        <v>0</v>
      </c>
      <c r="S163" s="460"/>
      <c r="T163" s="11">
        <f t="shared" ref="T163:T205" si="35">S163*H163</f>
        <v>0</v>
      </c>
      <c r="U163" s="472"/>
      <c r="V163" s="13">
        <f t="shared" si="20"/>
        <v>0</v>
      </c>
      <c r="W163" s="134">
        <f t="shared" si="33"/>
        <v>0</v>
      </c>
      <c r="X163" s="134">
        <f t="shared" si="22"/>
        <v>0</v>
      </c>
    </row>
    <row r="164" spans="1:24" ht="14.4" customHeight="1" thickBot="1">
      <c r="A164" s="199" t="s">
        <v>7</v>
      </c>
      <c r="B164" s="200" t="s">
        <v>153</v>
      </c>
      <c r="C164" s="201">
        <v>3</v>
      </c>
      <c r="D164" s="202" t="s">
        <v>132</v>
      </c>
      <c r="E164" s="203"/>
      <c r="F164" s="204"/>
      <c r="G164" s="204"/>
      <c r="H164" s="425">
        <v>26</v>
      </c>
      <c r="I164" s="425">
        <f t="shared" si="28"/>
        <v>0</v>
      </c>
      <c r="J164" s="204"/>
      <c r="K164" s="437">
        <v>1</v>
      </c>
      <c r="L164" s="437">
        <f t="shared" si="29"/>
        <v>0</v>
      </c>
      <c r="M164" s="449">
        <f t="shared" si="30"/>
        <v>0</v>
      </c>
      <c r="N164" s="205">
        <f t="shared" si="16"/>
        <v>25</v>
      </c>
      <c r="O164" s="291"/>
      <c r="P164" s="206">
        <f t="shared" si="31"/>
        <v>0</v>
      </c>
      <c r="Q164" s="207">
        <f t="shared" si="32"/>
        <v>0</v>
      </c>
      <c r="R164" s="338">
        <f t="shared" si="19"/>
        <v>0</v>
      </c>
      <c r="S164" s="461"/>
      <c r="T164" s="208">
        <f t="shared" si="35"/>
        <v>0</v>
      </c>
      <c r="U164" s="473"/>
      <c r="V164" s="209">
        <f t="shared" si="20"/>
        <v>0</v>
      </c>
      <c r="W164" s="135">
        <f t="shared" si="33"/>
        <v>0</v>
      </c>
      <c r="X164" s="135">
        <f t="shared" si="22"/>
        <v>0</v>
      </c>
    </row>
    <row r="165" spans="1:24" ht="13.8" customHeight="1">
      <c r="A165" s="187" t="s">
        <v>7</v>
      </c>
      <c r="B165" s="188" t="s">
        <v>142</v>
      </c>
      <c r="C165" s="189">
        <v>4</v>
      </c>
      <c r="D165" s="190" t="s">
        <v>135</v>
      </c>
      <c r="E165" s="191"/>
      <c r="F165" s="192"/>
      <c r="G165" s="192"/>
      <c r="H165" s="423">
        <v>92</v>
      </c>
      <c r="I165" s="423">
        <f t="shared" si="28"/>
        <v>0</v>
      </c>
      <c r="J165" s="192"/>
      <c r="K165" s="435">
        <v>2</v>
      </c>
      <c r="L165" s="435">
        <f t="shared" si="29"/>
        <v>0</v>
      </c>
      <c r="M165" s="447">
        <f t="shared" si="30"/>
        <v>0</v>
      </c>
      <c r="N165" s="193">
        <f t="shared" si="16"/>
        <v>90</v>
      </c>
      <c r="O165" s="290"/>
      <c r="P165" s="194">
        <f t="shared" si="31"/>
        <v>0</v>
      </c>
      <c r="Q165" s="195">
        <f t="shared" si="32"/>
        <v>0</v>
      </c>
      <c r="R165" s="334">
        <f t="shared" si="19"/>
        <v>0</v>
      </c>
      <c r="S165" s="459"/>
      <c r="T165" s="196">
        <f t="shared" si="35"/>
        <v>0</v>
      </c>
      <c r="U165" s="471"/>
      <c r="V165" s="197">
        <f t="shared" si="20"/>
        <v>0</v>
      </c>
      <c r="W165" s="133">
        <f t="shared" si="33"/>
        <v>0</v>
      </c>
      <c r="X165" s="133">
        <f t="shared" si="22"/>
        <v>0</v>
      </c>
    </row>
    <row r="166" spans="1:24" ht="13.8" customHeight="1">
      <c r="A166" s="198" t="s">
        <v>7</v>
      </c>
      <c r="B166" s="63" t="s">
        <v>143</v>
      </c>
      <c r="C166" s="93">
        <v>4</v>
      </c>
      <c r="D166" s="64" t="s">
        <v>135</v>
      </c>
      <c r="E166" s="1"/>
      <c r="F166" s="2"/>
      <c r="G166" s="2"/>
      <c r="H166" s="424">
        <v>53</v>
      </c>
      <c r="I166" s="424">
        <f t="shared" si="28"/>
        <v>0</v>
      </c>
      <c r="J166" s="2"/>
      <c r="K166" s="436">
        <v>1</v>
      </c>
      <c r="L166" s="436">
        <f t="shared" si="29"/>
        <v>0</v>
      </c>
      <c r="M166" s="448">
        <f t="shared" si="30"/>
        <v>0</v>
      </c>
      <c r="N166" s="5">
        <f t="shared" si="16"/>
        <v>52</v>
      </c>
      <c r="O166" s="280"/>
      <c r="P166" s="7">
        <f t="shared" si="31"/>
        <v>0</v>
      </c>
      <c r="Q166" s="8">
        <f t="shared" si="32"/>
        <v>0</v>
      </c>
      <c r="R166" s="335">
        <f t="shared" si="19"/>
        <v>0</v>
      </c>
      <c r="S166" s="460"/>
      <c r="T166" s="11">
        <f t="shared" si="35"/>
        <v>0</v>
      </c>
      <c r="U166" s="472"/>
      <c r="V166" s="13">
        <f t="shared" si="20"/>
        <v>0</v>
      </c>
      <c r="W166" s="134">
        <f t="shared" si="33"/>
        <v>0</v>
      </c>
      <c r="X166" s="134">
        <f t="shared" si="22"/>
        <v>0</v>
      </c>
    </row>
    <row r="167" spans="1:24" ht="13.8" customHeight="1">
      <c r="A167" s="198" t="s">
        <v>7</v>
      </c>
      <c r="B167" s="63" t="s">
        <v>144</v>
      </c>
      <c r="C167" s="93">
        <v>4</v>
      </c>
      <c r="D167" s="64" t="s">
        <v>135</v>
      </c>
      <c r="E167" s="1"/>
      <c r="F167" s="2"/>
      <c r="G167" s="2"/>
      <c r="H167" s="424">
        <v>90</v>
      </c>
      <c r="I167" s="424">
        <f t="shared" si="28"/>
        <v>0</v>
      </c>
      <c r="J167" s="2"/>
      <c r="K167" s="436">
        <v>2</v>
      </c>
      <c r="L167" s="436">
        <f t="shared" si="29"/>
        <v>0</v>
      </c>
      <c r="M167" s="448">
        <f t="shared" si="30"/>
        <v>0</v>
      </c>
      <c r="N167" s="5">
        <f t="shared" si="16"/>
        <v>88</v>
      </c>
      <c r="O167" s="280"/>
      <c r="P167" s="7">
        <f t="shared" si="31"/>
        <v>0</v>
      </c>
      <c r="Q167" s="8">
        <f t="shared" si="32"/>
        <v>0</v>
      </c>
      <c r="R167" s="335">
        <f t="shared" si="19"/>
        <v>0</v>
      </c>
      <c r="S167" s="460"/>
      <c r="T167" s="11">
        <f t="shared" si="35"/>
        <v>0</v>
      </c>
      <c r="U167" s="472"/>
      <c r="V167" s="13">
        <f t="shared" si="20"/>
        <v>0</v>
      </c>
      <c r="W167" s="134">
        <f t="shared" si="33"/>
        <v>0</v>
      </c>
      <c r="X167" s="134">
        <f t="shared" si="22"/>
        <v>0</v>
      </c>
    </row>
    <row r="168" spans="1:24" ht="13.8" customHeight="1">
      <c r="A168" s="198" t="s">
        <v>7</v>
      </c>
      <c r="B168" s="63" t="s">
        <v>145</v>
      </c>
      <c r="C168" s="93">
        <v>4</v>
      </c>
      <c r="D168" s="64" t="s">
        <v>135</v>
      </c>
      <c r="E168" s="1"/>
      <c r="F168" s="2"/>
      <c r="G168" s="2"/>
      <c r="H168" s="424">
        <v>121</v>
      </c>
      <c r="I168" s="424">
        <f t="shared" si="28"/>
        <v>0</v>
      </c>
      <c r="J168" s="2"/>
      <c r="K168" s="436">
        <v>3</v>
      </c>
      <c r="L168" s="436">
        <f t="shared" si="29"/>
        <v>0</v>
      </c>
      <c r="M168" s="448">
        <f t="shared" si="30"/>
        <v>0</v>
      </c>
      <c r="N168" s="5">
        <f t="shared" si="16"/>
        <v>118</v>
      </c>
      <c r="O168" s="280"/>
      <c r="P168" s="7">
        <f t="shared" si="31"/>
        <v>0</v>
      </c>
      <c r="Q168" s="8">
        <f t="shared" si="32"/>
        <v>0</v>
      </c>
      <c r="R168" s="335">
        <f t="shared" si="19"/>
        <v>0</v>
      </c>
      <c r="S168" s="460"/>
      <c r="T168" s="11">
        <f t="shared" si="35"/>
        <v>0</v>
      </c>
      <c r="U168" s="472"/>
      <c r="V168" s="13">
        <f t="shared" si="20"/>
        <v>0</v>
      </c>
      <c r="W168" s="134">
        <f t="shared" si="33"/>
        <v>0</v>
      </c>
      <c r="X168" s="134">
        <f t="shared" si="22"/>
        <v>0</v>
      </c>
    </row>
    <row r="169" spans="1:24" ht="13.8" customHeight="1">
      <c r="A169" s="198" t="s">
        <v>7</v>
      </c>
      <c r="B169" s="103" t="s">
        <v>148</v>
      </c>
      <c r="C169" s="104">
        <v>4</v>
      </c>
      <c r="D169" s="64" t="s">
        <v>135</v>
      </c>
      <c r="E169" s="1"/>
      <c r="F169" s="2"/>
      <c r="G169" s="2"/>
      <c r="H169" s="424">
        <v>98</v>
      </c>
      <c r="I169" s="424">
        <f t="shared" si="28"/>
        <v>0</v>
      </c>
      <c r="J169" s="2"/>
      <c r="K169" s="436">
        <v>2</v>
      </c>
      <c r="L169" s="436">
        <f t="shared" si="29"/>
        <v>0</v>
      </c>
      <c r="M169" s="448">
        <f t="shared" si="30"/>
        <v>0</v>
      </c>
      <c r="N169" s="303">
        <f t="shared" si="16"/>
        <v>96</v>
      </c>
      <c r="O169" s="304">
        <v>0</v>
      </c>
      <c r="P169" s="105">
        <f t="shared" si="31"/>
        <v>0</v>
      </c>
      <c r="Q169" s="105">
        <f t="shared" si="32"/>
        <v>0</v>
      </c>
      <c r="R169" s="337">
        <f t="shared" si="19"/>
        <v>0</v>
      </c>
      <c r="S169" s="460"/>
      <c r="T169" s="105">
        <f t="shared" si="35"/>
        <v>0</v>
      </c>
      <c r="U169" s="472"/>
      <c r="V169" s="107">
        <f t="shared" si="20"/>
        <v>0</v>
      </c>
      <c r="W169" s="306">
        <f t="shared" si="33"/>
        <v>0</v>
      </c>
      <c r="X169" s="306">
        <f t="shared" si="22"/>
        <v>0</v>
      </c>
    </row>
    <row r="170" spans="1:24" ht="13.8" customHeight="1">
      <c r="A170" s="198" t="s">
        <v>7</v>
      </c>
      <c r="B170" s="103" t="s">
        <v>149</v>
      </c>
      <c r="C170" s="104">
        <v>4</v>
      </c>
      <c r="D170" s="64" t="s">
        <v>133</v>
      </c>
      <c r="E170" s="1"/>
      <c r="F170" s="2"/>
      <c r="G170" s="2"/>
      <c r="H170" s="424">
        <v>47</v>
      </c>
      <c r="I170" s="424">
        <f t="shared" si="28"/>
        <v>0</v>
      </c>
      <c r="J170" s="2"/>
      <c r="K170" s="436">
        <v>1</v>
      </c>
      <c r="L170" s="436">
        <f t="shared" si="29"/>
        <v>0</v>
      </c>
      <c r="M170" s="448">
        <f t="shared" si="30"/>
        <v>0</v>
      </c>
      <c r="N170" s="303">
        <f t="shared" si="16"/>
        <v>46</v>
      </c>
      <c r="O170" s="304">
        <v>0</v>
      </c>
      <c r="P170" s="105">
        <f t="shared" si="31"/>
        <v>0</v>
      </c>
      <c r="Q170" s="105">
        <f t="shared" si="32"/>
        <v>0</v>
      </c>
      <c r="R170" s="337">
        <f t="shared" si="19"/>
        <v>0</v>
      </c>
      <c r="S170" s="460"/>
      <c r="T170" s="105">
        <f t="shared" si="35"/>
        <v>0</v>
      </c>
      <c r="U170" s="472"/>
      <c r="V170" s="107">
        <f t="shared" si="20"/>
        <v>0</v>
      </c>
      <c r="W170" s="306">
        <f t="shared" si="33"/>
        <v>0</v>
      </c>
      <c r="X170" s="306">
        <f t="shared" si="22"/>
        <v>0</v>
      </c>
    </row>
    <row r="171" spans="1:24" ht="13.8" customHeight="1">
      <c r="A171" s="198" t="s">
        <v>7</v>
      </c>
      <c r="B171" s="63" t="s">
        <v>150</v>
      </c>
      <c r="C171" s="93">
        <v>4</v>
      </c>
      <c r="D171" s="64" t="s">
        <v>133</v>
      </c>
      <c r="E171" s="1"/>
      <c r="F171" s="2"/>
      <c r="G171" s="2"/>
      <c r="H171" s="424">
        <v>72</v>
      </c>
      <c r="I171" s="424">
        <f t="shared" si="28"/>
        <v>0</v>
      </c>
      <c r="J171" s="2"/>
      <c r="K171" s="436">
        <v>2</v>
      </c>
      <c r="L171" s="436">
        <f t="shared" si="29"/>
        <v>0</v>
      </c>
      <c r="M171" s="448">
        <f t="shared" si="30"/>
        <v>0</v>
      </c>
      <c r="N171" s="5">
        <f t="shared" si="16"/>
        <v>70</v>
      </c>
      <c r="O171" s="280"/>
      <c r="P171" s="7">
        <f t="shared" si="31"/>
        <v>0</v>
      </c>
      <c r="Q171" s="8">
        <f t="shared" si="32"/>
        <v>0</v>
      </c>
      <c r="R171" s="335">
        <f t="shared" si="19"/>
        <v>0</v>
      </c>
      <c r="S171" s="460"/>
      <c r="T171" s="11">
        <f t="shared" si="35"/>
        <v>0</v>
      </c>
      <c r="U171" s="472"/>
      <c r="V171" s="13">
        <f t="shared" si="20"/>
        <v>0</v>
      </c>
      <c r="W171" s="134">
        <f t="shared" si="33"/>
        <v>0</v>
      </c>
      <c r="X171" s="134">
        <f t="shared" si="22"/>
        <v>0</v>
      </c>
    </row>
    <row r="172" spans="1:24" ht="13.8" customHeight="1">
      <c r="A172" s="198" t="s">
        <v>7</v>
      </c>
      <c r="B172" s="63" t="s">
        <v>151</v>
      </c>
      <c r="C172" s="93">
        <v>4</v>
      </c>
      <c r="D172" s="64" t="s">
        <v>133</v>
      </c>
      <c r="E172" s="1"/>
      <c r="F172" s="2"/>
      <c r="G172" s="2"/>
      <c r="H172" s="424">
        <v>18</v>
      </c>
      <c r="I172" s="424">
        <f t="shared" si="28"/>
        <v>0</v>
      </c>
      <c r="J172" s="2"/>
      <c r="K172" s="436">
        <v>0</v>
      </c>
      <c r="L172" s="436">
        <f t="shared" si="29"/>
        <v>0</v>
      </c>
      <c r="M172" s="448">
        <f t="shared" si="30"/>
        <v>0</v>
      </c>
      <c r="N172" s="5">
        <f t="shared" si="16"/>
        <v>18</v>
      </c>
      <c r="O172" s="280"/>
      <c r="P172" s="7">
        <f t="shared" si="31"/>
        <v>0</v>
      </c>
      <c r="Q172" s="8">
        <f t="shared" si="32"/>
        <v>0</v>
      </c>
      <c r="R172" s="335">
        <f t="shared" si="19"/>
        <v>0</v>
      </c>
      <c r="S172" s="460"/>
      <c r="T172" s="11">
        <f t="shared" si="35"/>
        <v>0</v>
      </c>
      <c r="U172" s="472"/>
      <c r="V172" s="13">
        <f t="shared" si="20"/>
        <v>0</v>
      </c>
      <c r="W172" s="134">
        <f t="shared" si="33"/>
        <v>0</v>
      </c>
      <c r="X172" s="134">
        <f t="shared" si="22"/>
        <v>0</v>
      </c>
    </row>
    <row r="173" spans="1:24" ht="13.8" customHeight="1">
      <c r="A173" s="198" t="s">
        <v>7</v>
      </c>
      <c r="B173" s="63" t="s">
        <v>152</v>
      </c>
      <c r="C173" s="93">
        <v>4</v>
      </c>
      <c r="D173" s="64" t="s">
        <v>133</v>
      </c>
      <c r="E173" s="1"/>
      <c r="F173" s="2"/>
      <c r="G173" s="2"/>
      <c r="H173" s="424">
        <v>71</v>
      </c>
      <c r="I173" s="424">
        <f t="shared" si="28"/>
        <v>0</v>
      </c>
      <c r="J173" s="2"/>
      <c r="K173" s="436">
        <v>2</v>
      </c>
      <c r="L173" s="436">
        <f t="shared" si="29"/>
        <v>0</v>
      </c>
      <c r="M173" s="448">
        <f t="shared" si="30"/>
        <v>0</v>
      </c>
      <c r="N173" s="5">
        <f t="shared" si="16"/>
        <v>69</v>
      </c>
      <c r="O173" s="280"/>
      <c r="P173" s="7">
        <f t="shared" si="31"/>
        <v>0</v>
      </c>
      <c r="Q173" s="8">
        <f t="shared" si="32"/>
        <v>0</v>
      </c>
      <c r="R173" s="335">
        <f t="shared" si="19"/>
        <v>0</v>
      </c>
      <c r="S173" s="460"/>
      <c r="T173" s="11">
        <f t="shared" si="35"/>
        <v>0</v>
      </c>
      <c r="U173" s="472"/>
      <c r="V173" s="13">
        <f t="shared" si="20"/>
        <v>0</v>
      </c>
      <c r="W173" s="134">
        <f t="shared" si="33"/>
        <v>0</v>
      </c>
      <c r="X173" s="134">
        <f t="shared" si="22"/>
        <v>0</v>
      </c>
    </row>
    <row r="174" spans="1:24" ht="14.4" customHeight="1" thickBot="1">
      <c r="A174" s="199" t="s">
        <v>7</v>
      </c>
      <c r="B174" s="200" t="s">
        <v>153</v>
      </c>
      <c r="C174" s="201">
        <v>4</v>
      </c>
      <c r="D174" s="202" t="s">
        <v>133</v>
      </c>
      <c r="E174" s="203"/>
      <c r="F174" s="204"/>
      <c r="G174" s="204"/>
      <c r="H174" s="425">
        <v>37</v>
      </c>
      <c r="I174" s="425">
        <f t="shared" si="28"/>
        <v>0</v>
      </c>
      <c r="J174" s="204"/>
      <c r="K174" s="437">
        <v>1</v>
      </c>
      <c r="L174" s="437">
        <f t="shared" si="29"/>
        <v>0</v>
      </c>
      <c r="M174" s="449">
        <f t="shared" si="30"/>
        <v>0</v>
      </c>
      <c r="N174" s="205">
        <f t="shared" si="16"/>
        <v>36</v>
      </c>
      <c r="O174" s="291"/>
      <c r="P174" s="206">
        <f t="shared" si="31"/>
        <v>0</v>
      </c>
      <c r="Q174" s="207">
        <f t="shared" si="32"/>
        <v>0</v>
      </c>
      <c r="R174" s="338">
        <f t="shared" si="19"/>
        <v>0</v>
      </c>
      <c r="S174" s="461"/>
      <c r="T174" s="208">
        <f t="shared" si="35"/>
        <v>0</v>
      </c>
      <c r="U174" s="473"/>
      <c r="V174" s="209">
        <f t="shared" si="20"/>
        <v>0</v>
      </c>
      <c r="W174" s="135">
        <f t="shared" si="33"/>
        <v>0</v>
      </c>
      <c r="X174" s="135">
        <f t="shared" si="22"/>
        <v>0</v>
      </c>
    </row>
    <row r="175" spans="1:24" ht="13.8" customHeight="1">
      <c r="A175" s="187" t="s">
        <v>7</v>
      </c>
      <c r="B175" s="232" t="s">
        <v>142</v>
      </c>
      <c r="C175" s="233">
        <v>5</v>
      </c>
      <c r="D175" s="234" t="s">
        <v>136</v>
      </c>
      <c r="E175" s="191"/>
      <c r="F175" s="192"/>
      <c r="G175" s="192"/>
      <c r="H175" s="423">
        <v>62</v>
      </c>
      <c r="I175" s="423">
        <f t="shared" si="28"/>
        <v>0</v>
      </c>
      <c r="J175" s="192"/>
      <c r="K175" s="435">
        <v>0</v>
      </c>
      <c r="L175" s="435">
        <f t="shared" si="29"/>
        <v>0</v>
      </c>
      <c r="M175" s="447">
        <f t="shared" si="30"/>
        <v>0</v>
      </c>
      <c r="N175" s="193">
        <f t="shared" si="16"/>
        <v>62</v>
      </c>
      <c r="O175" s="290"/>
      <c r="P175" s="194">
        <f t="shared" si="31"/>
        <v>0</v>
      </c>
      <c r="Q175" s="195">
        <f t="shared" si="32"/>
        <v>0</v>
      </c>
      <c r="R175" s="334">
        <f t="shared" si="19"/>
        <v>0</v>
      </c>
      <c r="S175" s="459"/>
      <c r="T175" s="196">
        <f t="shared" si="35"/>
        <v>0</v>
      </c>
      <c r="U175" s="471"/>
      <c r="V175" s="197">
        <f t="shared" si="20"/>
        <v>0</v>
      </c>
      <c r="W175" s="133">
        <f t="shared" si="33"/>
        <v>0</v>
      </c>
      <c r="X175" s="133">
        <f t="shared" si="22"/>
        <v>0</v>
      </c>
    </row>
    <row r="176" spans="1:24" ht="13.8" customHeight="1">
      <c r="A176" s="198" t="s">
        <v>7</v>
      </c>
      <c r="B176" s="63" t="s">
        <v>143</v>
      </c>
      <c r="C176" s="93">
        <v>5</v>
      </c>
      <c r="D176" s="64" t="s">
        <v>136</v>
      </c>
      <c r="E176" s="1"/>
      <c r="F176" s="2"/>
      <c r="G176" s="2"/>
      <c r="H176" s="424">
        <v>47</v>
      </c>
      <c r="I176" s="424">
        <f t="shared" si="28"/>
        <v>0</v>
      </c>
      <c r="J176" s="2"/>
      <c r="K176" s="436">
        <v>0</v>
      </c>
      <c r="L176" s="436">
        <f t="shared" si="29"/>
        <v>0</v>
      </c>
      <c r="M176" s="448">
        <f t="shared" si="30"/>
        <v>0</v>
      </c>
      <c r="N176" s="5">
        <f t="shared" si="16"/>
        <v>47</v>
      </c>
      <c r="O176" s="280"/>
      <c r="P176" s="7">
        <f t="shared" si="31"/>
        <v>0</v>
      </c>
      <c r="Q176" s="8">
        <f t="shared" si="32"/>
        <v>0</v>
      </c>
      <c r="R176" s="335">
        <f t="shared" si="19"/>
        <v>0</v>
      </c>
      <c r="S176" s="460"/>
      <c r="T176" s="11">
        <f t="shared" si="35"/>
        <v>0</v>
      </c>
      <c r="U176" s="472"/>
      <c r="V176" s="13">
        <f t="shared" si="20"/>
        <v>0</v>
      </c>
      <c r="W176" s="134">
        <f t="shared" si="33"/>
        <v>0</v>
      </c>
      <c r="X176" s="134">
        <f t="shared" si="22"/>
        <v>0</v>
      </c>
    </row>
    <row r="177" spans="1:24" ht="13.8" customHeight="1">
      <c r="A177" s="198" t="s">
        <v>7</v>
      </c>
      <c r="B177" s="63" t="s">
        <v>144</v>
      </c>
      <c r="C177" s="93">
        <v>5</v>
      </c>
      <c r="D177" s="64" t="s">
        <v>136</v>
      </c>
      <c r="E177" s="1"/>
      <c r="F177" s="2"/>
      <c r="G177" s="2"/>
      <c r="H177" s="424">
        <v>65</v>
      </c>
      <c r="I177" s="424">
        <f t="shared" si="28"/>
        <v>0</v>
      </c>
      <c r="J177" s="2"/>
      <c r="K177" s="436">
        <v>0</v>
      </c>
      <c r="L177" s="436">
        <f t="shared" si="29"/>
        <v>0</v>
      </c>
      <c r="M177" s="448">
        <f t="shared" si="30"/>
        <v>0</v>
      </c>
      <c r="N177" s="5">
        <f t="shared" si="16"/>
        <v>65</v>
      </c>
      <c r="O177" s="280"/>
      <c r="P177" s="7">
        <f t="shared" si="31"/>
        <v>0</v>
      </c>
      <c r="Q177" s="8">
        <f t="shared" si="32"/>
        <v>0</v>
      </c>
      <c r="R177" s="335">
        <f t="shared" si="19"/>
        <v>0</v>
      </c>
      <c r="S177" s="460"/>
      <c r="T177" s="11">
        <f t="shared" si="35"/>
        <v>0</v>
      </c>
      <c r="U177" s="472"/>
      <c r="V177" s="13">
        <f t="shared" si="20"/>
        <v>0</v>
      </c>
      <c r="W177" s="134">
        <f t="shared" si="33"/>
        <v>0</v>
      </c>
      <c r="X177" s="134">
        <f t="shared" si="22"/>
        <v>0</v>
      </c>
    </row>
    <row r="178" spans="1:24" ht="13.8" customHeight="1">
      <c r="A178" s="198" t="s">
        <v>7</v>
      </c>
      <c r="B178" s="63" t="s">
        <v>145</v>
      </c>
      <c r="C178" s="93">
        <v>5</v>
      </c>
      <c r="D178" s="64" t="s">
        <v>136</v>
      </c>
      <c r="E178" s="1"/>
      <c r="F178" s="2"/>
      <c r="G178" s="2"/>
      <c r="H178" s="424">
        <v>84</v>
      </c>
      <c r="I178" s="424">
        <f t="shared" si="28"/>
        <v>0</v>
      </c>
      <c r="J178" s="2"/>
      <c r="K178" s="436">
        <v>0</v>
      </c>
      <c r="L178" s="436">
        <f t="shared" si="29"/>
        <v>0</v>
      </c>
      <c r="M178" s="448">
        <f t="shared" si="30"/>
        <v>0</v>
      </c>
      <c r="N178" s="5">
        <f t="shared" si="16"/>
        <v>84</v>
      </c>
      <c r="O178" s="280"/>
      <c r="P178" s="7">
        <f t="shared" si="31"/>
        <v>0</v>
      </c>
      <c r="Q178" s="8">
        <f t="shared" si="32"/>
        <v>0</v>
      </c>
      <c r="R178" s="335">
        <f t="shared" si="19"/>
        <v>0</v>
      </c>
      <c r="S178" s="460"/>
      <c r="T178" s="11">
        <f t="shared" si="35"/>
        <v>0</v>
      </c>
      <c r="U178" s="472"/>
      <c r="V178" s="13">
        <f t="shared" si="20"/>
        <v>0</v>
      </c>
      <c r="W178" s="134">
        <f t="shared" si="33"/>
        <v>0</v>
      </c>
      <c r="X178" s="134">
        <f t="shared" si="22"/>
        <v>0</v>
      </c>
    </row>
    <row r="179" spans="1:24" ht="13.8" customHeight="1">
      <c r="A179" s="198" t="s">
        <v>7</v>
      </c>
      <c r="B179" s="103" t="s">
        <v>148</v>
      </c>
      <c r="C179" s="104">
        <v>5</v>
      </c>
      <c r="D179" s="64" t="s">
        <v>136</v>
      </c>
      <c r="E179" s="1"/>
      <c r="F179" s="2"/>
      <c r="G179" s="2"/>
      <c r="H179" s="424">
        <v>45</v>
      </c>
      <c r="I179" s="424">
        <f t="shared" si="28"/>
        <v>0</v>
      </c>
      <c r="J179" s="2"/>
      <c r="K179" s="436">
        <v>0</v>
      </c>
      <c r="L179" s="436">
        <f t="shared" si="29"/>
        <v>0</v>
      </c>
      <c r="M179" s="448">
        <f t="shared" si="30"/>
        <v>0</v>
      </c>
      <c r="N179" s="303">
        <f t="shared" si="16"/>
        <v>45</v>
      </c>
      <c r="O179" s="304">
        <v>0</v>
      </c>
      <c r="P179" s="105">
        <f t="shared" si="31"/>
        <v>0</v>
      </c>
      <c r="Q179" s="105">
        <f t="shared" si="32"/>
        <v>0</v>
      </c>
      <c r="R179" s="337">
        <f t="shared" si="19"/>
        <v>0</v>
      </c>
      <c r="S179" s="460"/>
      <c r="T179" s="105">
        <f t="shared" si="35"/>
        <v>0</v>
      </c>
      <c r="U179" s="472"/>
      <c r="V179" s="107">
        <f t="shared" si="20"/>
        <v>0</v>
      </c>
      <c r="W179" s="306">
        <f t="shared" si="33"/>
        <v>0</v>
      </c>
      <c r="X179" s="306">
        <f t="shared" si="22"/>
        <v>0</v>
      </c>
    </row>
    <row r="180" spans="1:24" ht="13.8" customHeight="1">
      <c r="A180" s="198" t="s">
        <v>7</v>
      </c>
      <c r="B180" s="103" t="s">
        <v>149</v>
      </c>
      <c r="C180" s="104">
        <v>5</v>
      </c>
      <c r="D180" s="64" t="s">
        <v>136</v>
      </c>
      <c r="E180" s="1"/>
      <c r="F180" s="2"/>
      <c r="G180" s="2"/>
      <c r="H180" s="424">
        <v>31</v>
      </c>
      <c r="I180" s="424">
        <f t="shared" si="28"/>
        <v>0</v>
      </c>
      <c r="J180" s="2"/>
      <c r="K180" s="436">
        <v>0</v>
      </c>
      <c r="L180" s="436">
        <f t="shared" si="29"/>
        <v>0</v>
      </c>
      <c r="M180" s="448">
        <f t="shared" si="30"/>
        <v>0</v>
      </c>
      <c r="N180" s="303">
        <f t="shared" si="16"/>
        <v>31</v>
      </c>
      <c r="O180" s="304">
        <v>0</v>
      </c>
      <c r="P180" s="105">
        <f t="shared" si="31"/>
        <v>0</v>
      </c>
      <c r="Q180" s="105">
        <f t="shared" si="32"/>
        <v>0</v>
      </c>
      <c r="R180" s="337">
        <f t="shared" si="19"/>
        <v>0</v>
      </c>
      <c r="S180" s="460"/>
      <c r="T180" s="105">
        <f t="shared" si="35"/>
        <v>0</v>
      </c>
      <c r="U180" s="472"/>
      <c r="V180" s="107">
        <f t="shared" si="20"/>
        <v>0</v>
      </c>
      <c r="W180" s="306">
        <f t="shared" si="33"/>
        <v>0</v>
      </c>
      <c r="X180" s="306">
        <f t="shared" si="22"/>
        <v>0</v>
      </c>
    </row>
    <row r="181" spans="1:24" ht="13.8" customHeight="1">
      <c r="A181" s="198" t="s">
        <v>7</v>
      </c>
      <c r="B181" s="101" t="s">
        <v>170</v>
      </c>
      <c r="C181" s="102">
        <v>5</v>
      </c>
      <c r="D181" s="64" t="s">
        <v>134</v>
      </c>
      <c r="E181" s="1"/>
      <c r="F181" s="2"/>
      <c r="G181" s="2"/>
      <c r="H181" s="424">
        <v>78</v>
      </c>
      <c r="I181" s="424">
        <f t="shared" si="28"/>
        <v>0</v>
      </c>
      <c r="J181" s="2"/>
      <c r="K181" s="436">
        <v>0</v>
      </c>
      <c r="L181" s="436">
        <f t="shared" si="29"/>
        <v>0</v>
      </c>
      <c r="M181" s="448">
        <f t="shared" si="30"/>
        <v>0</v>
      </c>
      <c r="N181" s="5">
        <f t="shared" si="16"/>
        <v>78</v>
      </c>
      <c r="O181" s="280"/>
      <c r="P181" s="7">
        <f t="shared" si="31"/>
        <v>0</v>
      </c>
      <c r="Q181" s="8">
        <f t="shared" si="32"/>
        <v>0</v>
      </c>
      <c r="R181" s="335">
        <f t="shared" si="19"/>
        <v>0</v>
      </c>
      <c r="S181" s="460"/>
      <c r="T181" s="11">
        <f t="shared" si="35"/>
        <v>0</v>
      </c>
      <c r="U181" s="472"/>
      <c r="V181" s="13">
        <f t="shared" si="20"/>
        <v>0</v>
      </c>
      <c r="W181" s="134">
        <f t="shared" si="33"/>
        <v>0</v>
      </c>
      <c r="X181" s="134">
        <f t="shared" si="22"/>
        <v>0</v>
      </c>
    </row>
    <row r="182" spans="1:24" ht="13.8" customHeight="1">
      <c r="A182" s="198" t="s">
        <v>7</v>
      </c>
      <c r="B182" s="63" t="s">
        <v>171</v>
      </c>
      <c r="C182" s="93">
        <v>5</v>
      </c>
      <c r="D182" s="64" t="s">
        <v>134</v>
      </c>
      <c r="E182" s="1"/>
      <c r="F182" s="2"/>
      <c r="G182" s="2"/>
      <c r="H182" s="424">
        <v>22</v>
      </c>
      <c r="I182" s="424">
        <f t="shared" si="28"/>
        <v>0</v>
      </c>
      <c r="J182" s="2"/>
      <c r="K182" s="436">
        <v>0</v>
      </c>
      <c r="L182" s="436">
        <f t="shared" si="29"/>
        <v>0</v>
      </c>
      <c r="M182" s="448">
        <f t="shared" si="30"/>
        <v>0</v>
      </c>
      <c r="N182" s="5">
        <f t="shared" si="16"/>
        <v>22</v>
      </c>
      <c r="O182" s="280"/>
      <c r="P182" s="7">
        <f t="shared" si="31"/>
        <v>0</v>
      </c>
      <c r="Q182" s="8">
        <f t="shared" si="32"/>
        <v>0</v>
      </c>
      <c r="R182" s="335">
        <f t="shared" si="19"/>
        <v>0</v>
      </c>
      <c r="S182" s="460"/>
      <c r="T182" s="11">
        <f t="shared" si="35"/>
        <v>0</v>
      </c>
      <c r="U182" s="472"/>
      <c r="V182" s="13">
        <f t="shared" si="20"/>
        <v>0</v>
      </c>
      <c r="W182" s="134">
        <f t="shared" si="33"/>
        <v>0</v>
      </c>
      <c r="X182" s="134">
        <f t="shared" si="22"/>
        <v>0</v>
      </c>
    </row>
    <row r="183" spans="1:24" ht="13.8" customHeight="1">
      <c r="A183" s="198" t="s">
        <v>7</v>
      </c>
      <c r="B183" s="63" t="s">
        <v>157</v>
      </c>
      <c r="C183" s="93">
        <v>5</v>
      </c>
      <c r="D183" s="64" t="s">
        <v>134</v>
      </c>
      <c r="E183" s="1"/>
      <c r="F183" s="2"/>
      <c r="G183" s="2"/>
      <c r="H183" s="424">
        <v>49</v>
      </c>
      <c r="I183" s="424">
        <f t="shared" si="28"/>
        <v>0</v>
      </c>
      <c r="J183" s="2"/>
      <c r="K183" s="436">
        <v>0</v>
      </c>
      <c r="L183" s="436">
        <f t="shared" si="29"/>
        <v>0</v>
      </c>
      <c r="M183" s="448">
        <f t="shared" si="30"/>
        <v>0</v>
      </c>
      <c r="N183" s="5">
        <f t="shared" si="16"/>
        <v>49</v>
      </c>
      <c r="O183" s="280"/>
      <c r="P183" s="7">
        <f t="shared" si="31"/>
        <v>0</v>
      </c>
      <c r="Q183" s="8">
        <f t="shared" si="32"/>
        <v>0</v>
      </c>
      <c r="R183" s="335">
        <f t="shared" si="19"/>
        <v>0</v>
      </c>
      <c r="S183" s="460"/>
      <c r="T183" s="11">
        <f t="shared" si="35"/>
        <v>0</v>
      </c>
      <c r="U183" s="472"/>
      <c r="V183" s="13">
        <f t="shared" si="20"/>
        <v>0</v>
      </c>
      <c r="W183" s="134">
        <f t="shared" si="33"/>
        <v>0</v>
      </c>
      <c r="X183" s="134">
        <f t="shared" si="22"/>
        <v>0</v>
      </c>
    </row>
    <row r="184" spans="1:24" ht="13.8" customHeight="1">
      <c r="A184" s="198" t="s">
        <v>7</v>
      </c>
      <c r="B184" s="63" t="s">
        <v>158</v>
      </c>
      <c r="C184" s="93">
        <v>5</v>
      </c>
      <c r="D184" s="64" t="s">
        <v>134</v>
      </c>
      <c r="E184" s="1"/>
      <c r="F184" s="2"/>
      <c r="G184" s="2"/>
      <c r="H184" s="424">
        <v>27</v>
      </c>
      <c r="I184" s="424">
        <f t="shared" si="28"/>
        <v>0</v>
      </c>
      <c r="J184" s="2"/>
      <c r="K184" s="436">
        <v>0</v>
      </c>
      <c r="L184" s="436">
        <f t="shared" si="29"/>
        <v>0</v>
      </c>
      <c r="M184" s="448">
        <f t="shared" si="30"/>
        <v>0</v>
      </c>
      <c r="N184" s="5">
        <f t="shared" si="16"/>
        <v>27</v>
      </c>
      <c r="O184" s="280"/>
      <c r="P184" s="7">
        <f t="shared" si="31"/>
        <v>0</v>
      </c>
      <c r="Q184" s="8">
        <f t="shared" si="32"/>
        <v>0</v>
      </c>
      <c r="R184" s="335">
        <f t="shared" si="19"/>
        <v>0</v>
      </c>
      <c r="S184" s="460"/>
      <c r="T184" s="11">
        <f t="shared" si="35"/>
        <v>0</v>
      </c>
      <c r="U184" s="472"/>
      <c r="V184" s="13">
        <f t="shared" si="20"/>
        <v>0</v>
      </c>
      <c r="W184" s="134">
        <f t="shared" si="33"/>
        <v>0</v>
      </c>
      <c r="X184" s="134">
        <f t="shared" si="22"/>
        <v>0</v>
      </c>
    </row>
    <row r="185" spans="1:24" ht="14.4" customHeight="1" thickBot="1">
      <c r="A185" s="199" t="s">
        <v>7</v>
      </c>
      <c r="B185" s="235" t="s">
        <v>159</v>
      </c>
      <c r="C185" s="236">
        <v>5</v>
      </c>
      <c r="D185" s="202" t="s">
        <v>134</v>
      </c>
      <c r="E185" s="203"/>
      <c r="F185" s="204"/>
      <c r="G185" s="204"/>
      <c r="H185" s="425">
        <v>63</v>
      </c>
      <c r="I185" s="425">
        <f t="shared" si="28"/>
        <v>0</v>
      </c>
      <c r="J185" s="204"/>
      <c r="K185" s="437">
        <v>0</v>
      </c>
      <c r="L185" s="437">
        <f t="shared" si="29"/>
        <v>0</v>
      </c>
      <c r="M185" s="449">
        <f t="shared" si="30"/>
        <v>0</v>
      </c>
      <c r="N185" s="301">
        <f t="shared" si="16"/>
        <v>63</v>
      </c>
      <c r="O185" s="302">
        <v>0</v>
      </c>
      <c r="P185" s="237">
        <f t="shared" si="31"/>
        <v>0</v>
      </c>
      <c r="Q185" s="237">
        <f t="shared" si="32"/>
        <v>0</v>
      </c>
      <c r="R185" s="336">
        <f t="shared" si="19"/>
        <v>0</v>
      </c>
      <c r="S185" s="461"/>
      <c r="T185" s="237">
        <f t="shared" si="35"/>
        <v>0</v>
      </c>
      <c r="U185" s="473"/>
      <c r="V185" s="238">
        <f t="shared" si="20"/>
        <v>0</v>
      </c>
      <c r="W185" s="305">
        <f t="shared" si="33"/>
        <v>0</v>
      </c>
      <c r="X185" s="305">
        <f t="shared" si="22"/>
        <v>0</v>
      </c>
    </row>
    <row r="186" spans="1:24" ht="13.8" customHeight="1">
      <c r="A186" s="187" t="s">
        <v>7</v>
      </c>
      <c r="B186" s="232" t="s">
        <v>142</v>
      </c>
      <c r="C186" s="233">
        <v>6</v>
      </c>
      <c r="D186" s="190" t="s">
        <v>137</v>
      </c>
      <c r="E186" s="191"/>
      <c r="F186" s="192"/>
      <c r="G186" s="192"/>
      <c r="H186" s="423">
        <v>62</v>
      </c>
      <c r="I186" s="423">
        <f t="shared" si="28"/>
        <v>0</v>
      </c>
      <c r="J186" s="192"/>
      <c r="K186" s="435">
        <v>0</v>
      </c>
      <c r="L186" s="435">
        <f t="shared" si="29"/>
        <v>0</v>
      </c>
      <c r="M186" s="447">
        <f t="shared" si="30"/>
        <v>0</v>
      </c>
      <c r="N186" s="193">
        <f t="shared" si="16"/>
        <v>62</v>
      </c>
      <c r="O186" s="290"/>
      <c r="P186" s="194">
        <f t="shared" si="31"/>
        <v>0</v>
      </c>
      <c r="Q186" s="195">
        <f t="shared" si="32"/>
        <v>0</v>
      </c>
      <c r="R186" s="334">
        <f t="shared" si="19"/>
        <v>0</v>
      </c>
      <c r="S186" s="459"/>
      <c r="T186" s="196">
        <f t="shared" si="35"/>
        <v>0</v>
      </c>
      <c r="U186" s="471"/>
      <c r="V186" s="197">
        <f t="shared" si="20"/>
        <v>0</v>
      </c>
      <c r="W186" s="133">
        <f t="shared" si="33"/>
        <v>0</v>
      </c>
      <c r="X186" s="133">
        <f t="shared" si="22"/>
        <v>0</v>
      </c>
    </row>
    <row r="187" spans="1:24" ht="13.8" customHeight="1">
      <c r="A187" s="198" t="s">
        <v>7</v>
      </c>
      <c r="B187" s="63" t="s">
        <v>143</v>
      </c>
      <c r="C187" s="93">
        <v>6</v>
      </c>
      <c r="D187" s="64" t="s">
        <v>137</v>
      </c>
      <c r="E187" s="1"/>
      <c r="F187" s="2"/>
      <c r="G187" s="2"/>
      <c r="H187" s="424">
        <v>47</v>
      </c>
      <c r="I187" s="424">
        <f t="shared" si="28"/>
        <v>0</v>
      </c>
      <c r="J187" s="2"/>
      <c r="K187" s="436">
        <v>0</v>
      </c>
      <c r="L187" s="436">
        <f t="shared" si="29"/>
        <v>0</v>
      </c>
      <c r="M187" s="448">
        <f t="shared" si="30"/>
        <v>0</v>
      </c>
      <c r="N187" s="5">
        <f t="shared" si="16"/>
        <v>47</v>
      </c>
      <c r="O187" s="280"/>
      <c r="P187" s="7">
        <f t="shared" si="31"/>
        <v>0</v>
      </c>
      <c r="Q187" s="8">
        <f t="shared" si="32"/>
        <v>0</v>
      </c>
      <c r="R187" s="335">
        <f t="shared" si="19"/>
        <v>0</v>
      </c>
      <c r="S187" s="460"/>
      <c r="T187" s="11">
        <f t="shared" si="35"/>
        <v>0</v>
      </c>
      <c r="U187" s="472"/>
      <c r="V187" s="13">
        <f t="shared" si="20"/>
        <v>0</v>
      </c>
      <c r="W187" s="134">
        <f t="shared" si="33"/>
        <v>0</v>
      </c>
      <c r="X187" s="134">
        <f t="shared" si="22"/>
        <v>0</v>
      </c>
    </row>
    <row r="188" spans="1:24" ht="13.8" customHeight="1">
      <c r="A188" s="198" t="s">
        <v>7</v>
      </c>
      <c r="B188" s="63" t="s">
        <v>144</v>
      </c>
      <c r="C188" s="93">
        <v>6</v>
      </c>
      <c r="D188" s="64" t="s">
        <v>137</v>
      </c>
      <c r="E188" s="1"/>
      <c r="F188" s="2"/>
      <c r="G188" s="2"/>
      <c r="H188" s="424">
        <v>62</v>
      </c>
      <c r="I188" s="424">
        <f t="shared" si="28"/>
        <v>0</v>
      </c>
      <c r="J188" s="2"/>
      <c r="K188" s="436">
        <v>0</v>
      </c>
      <c r="L188" s="436">
        <f t="shared" si="29"/>
        <v>0</v>
      </c>
      <c r="M188" s="448">
        <f t="shared" si="30"/>
        <v>0</v>
      </c>
      <c r="N188" s="5">
        <f t="shared" si="16"/>
        <v>62</v>
      </c>
      <c r="O188" s="280"/>
      <c r="P188" s="7">
        <f t="shared" si="31"/>
        <v>0</v>
      </c>
      <c r="Q188" s="8">
        <f t="shared" si="32"/>
        <v>0</v>
      </c>
      <c r="R188" s="335">
        <f t="shared" si="19"/>
        <v>0</v>
      </c>
      <c r="S188" s="460"/>
      <c r="T188" s="11">
        <f t="shared" si="35"/>
        <v>0</v>
      </c>
      <c r="U188" s="472"/>
      <c r="V188" s="13">
        <f t="shared" si="20"/>
        <v>0</v>
      </c>
      <c r="W188" s="134">
        <f t="shared" si="33"/>
        <v>0</v>
      </c>
      <c r="X188" s="134">
        <f t="shared" si="22"/>
        <v>0</v>
      </c>
    </row>
    <row r="189" spans="1:24" ht="13.8" customHeight="1">
      <c r="A189" s="198" t="s">
        <v>7</v>
      </c>
      <c r="B189" s="63" t="s">
        <v>145</v>
      </c>
      <c r="C189" s="93">
        <v>6</v>
      </c>
      <c r="D189" s="64" t="s">
        <v>137</v>
      </c>
      <c r="E189" s="1"/>
      <c r="F189" s="2"/>
      <c r="G189" s="2"/>
      <c r="H189" s="424">
        <v>68</v>
      </c>
      <c r="I189" s="424">
        <f t="shared" si="28"/>
        <v>0</v>
      </c>
      <c r="J189" s="2"/>
      <c r="K189" s="436">
        <v>0</v>
      </c>
      <c r="L189" s="436">
        <f t="shared" si="29"/>
        <v>0</v>
      </c>
      <c r="M189" s="448">
        <f t="shared" si="30"/>
        <v>0</v>
      </c>
      <c r="N189" s="5">
        <f t="shared" si="16"/>
        <v>68</v>
      </c>
      <c r="O189" s="280"/>
      <c r="P189" s="7">
        <f t="shared" si="31"/>
        <v>0</v>
      </c>
      <c r="Q189" s="8">
        <f t="shared" si="32"/>
        <v>0</v>
      </c>
      <c r="R189" s="335">
        <f t="shared" si="19"/>
        <v>0</v>
      </c>
      <c r="S189" s="460"/>
      <c r="T189" s="11">
        <f t="shared" si="35"/>
        <v>0</v>
      </c>
      <c r="U189" s="472"/>
      <c r="V189" s="13">
        <f t="shared" si="20"/>
        <v>0</v>
      </c>
      <c r="W189" s="134">
        <f t="shared" si="33"/>
        <v>0</v>
      </c>
      <c r="X189" s="134">
        <f t="shared" si="22"/>
        <v>0</v>
      </c>
    </row>
    <row r="190" spans="1:24" ht="13.8" customHeight="1">
      <c r="A190" s="198" t="s">
        <v>7</v>
      </c>
      <c r="B190" s="103" t="s">
        <v>148</v>
      </c>
      <c r="C190" s="104">
        <v>6</v>
      </c>
      <c r="D190" s="64" t="s">
        <v>137</v>
      </c>
      <c r="E190" s="1"/>
      <c r="F190" s="2"/>
      <c r="G190" s="2"/>
      <c r="H190" s="424">
        <v>49</v>
      </c>
      <c r="I190" s="424">
        <f t="shared" si="28"/>
        <v>0</v>
      </c>
      <c r="J190" s="2"/>
      <c r="K190" s="436">
        <v>0</v>
      </c>
      <c r="L190" s="436">
        <f t="shared" si="29"/>
        <v>0</v>
      </c>
      <c r="M190" s="448">
        <f t="shared" si="30"/>
        <v>0</v>
      </c>
      <c r="N190" s="303">
        <f t="shared" si="16"/>
        <v>49</v>
      </c>
      <c r="O190" s="304">
        <v>0</v>
      </c>
      <c r="P190" s="105">
        <f t="shared" si="31"/>
        <v>0</v>
      </c>
      <c r="Q190" s="105">
        <f t="shared" si="32"/>
        <v>0</v>
      </c>
      <c r="R190" s="337">
        <f t="shared" si="19"/>
        <v>0</v>
      </c>
      <c r="S190" s="460"/>
      <c r="T190" s="105">
        <f t="shared" si="35"/>
        <v>0</v>
      </c>
      <c r="U190" s="472"/>
      <c r="V190" s="107">
        <f t="shared" si="20"/>
        <v>0</v>
      </c>
      <c r="W190" s="306">
        <f t="shared" si="33"/>
        <v>0</v>
      </c>
      <c r="X190" s="306">
        <f t="shared" si="22"/>
        <v>0</v>
      </c>
    </row>
    <row r="191" spans="1:24" ht="13.8" customHeight="1">
      <c r="A191" s="198" t="s">
        <v>7</v>
      </c>
      <c r="B191" s="103" t="s">
        <v>149</v>
      </c>
      <c r="C191" s="104">
        <v>6</v>
      </c>
      <c r="D191" s="64" t="s">
        <v>137</v>
      </c>
      <c r="E191" s="1"/>
      <c r="F191" s="2"/>
      <c r="G191" s="2"/>
      <c r="H191" s="424">
        <v>31</v>
      </c>
      <c r="I191" s="424">
        <f t="shared" si="28"/>
        <v>0</v>
      </c>
      <c r="J191" s="2"/>
      <c r="K191" s="436">
        <v>0</v>
      </c>
      <c r="L191" s="436">
        <f t="shared" si="29"/>
        <v>0</v>
      </c>
      <c r="M191" s="448">
        <f t="shared" si="30"/>
        <v>0</v>
      </c>
      <c r="N191" s="303">
        <f t="shared" si="16"/>
        <v>31</v>
      </c>
      <c r="O191" s="304">
        <v>0</v>
      </c>
      <c r="P191" s="105">
        <f t="shared" si="31"/>
        <v>0</v>
      </c>
      <c r="Q191" s="105">
        <f t="shared" si="32"/>
        <v>0</v>
      </c>
      <c r="R191" s="337">
        <f t="shared" si="19"/>
        <v>0</v>
      </c>
      <c r="S191" s="460"/>
      <c r="T191" s="105">
        <f t="shared" si="35"/>
        <v>0</v>
      </c>
      <c r="U191" s="472"/>
      <c r="V191" s="107">
        <f t="shared" si="20"/>
        <v>0</v>
      </c>
      <c r="W191" s="306">
        <f t="shared" si="33"/>
        <v>0</v>
      </c>
      <c r="X191" s="306">
        <f t="shared" si="22"/>
        <v>0</v>
      </c>
    </row>
    <row r="192" spans="1:24" ht="13.8" customHeight="1">
      <c r="A192" s="198" t="s">
        <v>7</v>
      </c>
      <c r="B192" s="101" t="s">
        <v>150</v>
      </c>
      <c r="C192" s="102">
        <v>6</v>
      </c>
      <c r="D192" s="64" t="s">
        <v>135</v>
      </c>
      <c r="E192" s="1"/>
      <c r="F192" s="2"/>
      <c r="G192" s="2"/>
      <c r="H192" s="424">
        <v>67</v>
      </c>
      <c r="I192" s="424">
        <f t="shared" si="28"/>
        <v>0</v>
      </c>
      <c r="J192" s="2"/>
      <c r="K192" s="436">
        <v>0</v>
      </c>
      <c r="L192" s="436">
        <f t="shared" si="29"/>
        <v>0</v>
      </c>
      <c r="M192" s="448">
        <f t="shared" si="30"/>
        <v>0</v>
      </c>
      <c r="N192" s="5">
        <f t="shared" si="16"/>
        <v>67</v>
      </c>
      <c r="O192" s="280"/>
      <c r="P192" s="7">
        <f t="shared" si="31"/>
        <v>0</v>
      </c>
      <c r="Q192" s="8">
        <f t="shared" si="32"/>
        <v>0</v>
      </c>
      <c r="R192" s="335">
        <f t="shared" si="19"/>
        <v>0</v>
      </c>
      <c r="S192" s="460"/>
      <c r="T192" s="11">
        <f t="shared" si="35"/>
        <v>0</v>
      </c>
      <c r="U192" s="472"/>
      <c r="V192" s="13">
        <f t="shared" si="20"/>
        <v>0</v>
      </c>
      <c r="W192" s="134">
        <f t="shared" si="33"/>
        <v>0</v>
      </c>
      <c r="X192" s="134">
        <f t="shared" si="22"/>
        <v>0</v>
      </c>
    </row>
    <row r="193" spans="1:25" ht="13.8" customHeight="1">
      <c r="A193" s="198" t="s">
        <v>7</v>
      </c>
      <c r="B193" s="63" t="s">
        <v>151</v>
      </c>
      <c r="C193" s="93">
        <v>6</v>
      </c>
      <c r="D193" s="64" t="s">
        <v>135</v>
      </c>
      <c r="E193" s="1"/>
      <c r="F193" s="2"/>
      <c r="G193" s="2"/>
      <c r="H193" s="424">
        <v>19</v>
      </c>
      <c r="I193" s="424">
        <f t="shared" si="28"/>
        <v>0</v>
      </c>
      <c r="J193" s="2"/>
      <c r="K193" s="436">
        <v>0</v>
      </c>
      <c r="L193" s="436">
        <f t="shared" si="29"/>
        <v>0</v>
      </c>
      <c r="M193" s="448">
        <f t="shared" si="30"/>
        <v>0</v>
      </c>
      <c r="N193" s="5">
        <f t="shared" si="16"/>
        <v>19</v>
      </c>
      <c r="O193" s="280"/>
      <c r="P193" s="7">
        <f t="shared" si="31"/>
        <v>0</v>
      </c>
      <c r="Q193" s="8">
        <f t="shared" si="32"/>
        <v>0</v>
      </c>
      <c r="R193" s="335">
        <f t="shared" si="19"/>
        <v>0</v>
      </c>
      <c r="S193" s="460"/>
      <c r="T193" s="11">
        <f t="shared" si="35"/>
        <v>0</v>
      </c>
      <c r="U193" s="472"/>
      <c r="V193" s="13">
        <f t="shared" si="20"/>
        <v>0</v>
      </c>
      <c r="W193" s="134">
        <f t="shared" si="33"/>
        <v>0</v>
      </c>
      <c r="X193" s="134">
        <f t="shared" si="22"/>
        <v>0</v>
      </c>
    </row>
    <row r="194" spans="1:25" ht="13.8" customHeight="1">
      <c r="A194" s="198" t="s">
        <v>7</v>
      </c>
      <c r="B194" s="63" t="s">
        <v>157</v>
      </c>
      <c r="C194" s="93">
        <v>6</v>
      </c>
      <c r="D194" s="64" t="s">
        <v>135</v>
      </c>
      <c r="E194" s="1"/>
      <c r="F194" s="2"/>
      <c r="G194" s="2"/>
      <c r="H194" s="424">
        <v>57</v>
      </c>
      <c r="I194" s="424">
        <f t="shared" si="28"/>
        <v>0</v>
      </c>
      <c r="J194" s="2"/>
      <c r="K194" s="436">
        <v>0</v>
      </c>
      <c r="L194" s="436">
        <f t="shared" si="29"/>
        <v>0</v>
      </c>
      <c r="M194" s="448">
        <f t="shared" si="30"/>
        <v>0</v>
      </c>
      <c r="N194" s="5">
        <f t="shared" si="16"/>
        <v>57</v>
      </c>
      <c r="O194" s="280"/>
      <c r="P194" s="7">
        <f t="shared" si="31"/>
        <v>0</v>
      </c>
      <c r="Q194" s="8">
        <f t="shared" si="32"/>
        <v>0</v>
      </c>
      <c r="R194" s="335">
        <f t="shared" si="19"/>
        <v>0</v>
      </c>
      <c r="S194" s="460"/>
      <c r="T194" s="11">
        <f t="shared" si="35"/>
        <v>0</v>
      </c>
      <c r="U194" s="472"/>
      <c r="V194" s="13">
        <f t="shared" si="20"/>
        <v>0</v>
      </c>
      <c r="W194" s="134">
        <f t="shared" si="33"/>
        <v>0</v>
      </c>
      <c r="X194" s="134">
        <f t="shared" si="22"/>
        <v>0</v>
      </c>
    </row>
    <row r="195" spans="1:25" ht="13.8" customHeight="1">
      <c r="A195" s="198" t="s">
        <v>7</v>
      </c>
      <c r="B195" s="63" t="s">
        <v>158</v>
      </c>
      <c r="C195" s="93">
        <v>6</v>
      </c>
      <c r="D195" s="64" t="s">
        <v>135</v>
      </c>
      <c r="E195" s="1"/>
      <c r="F195" s="2"/>
      <c r="G195" s="2"/>
      <c r="H195" s="424">
        <v>27</v>
      </c>
      <c r="I195" s="424">
        <f t="shared" si="28"/>
        <v>0</v>
      </c>
      <c r="J195" s="2"/>
      <c r="K195" s="436">
        <v>0</v>
      </c>
      <c r="L195" s="436">
        <f t="shared" si="29"/>
        <v>0</v>
      </c>
      <c r="M195" s="448">
        <f t="shared" si="30"/>
        <v>0</v>
      </c>
      <c r="N195" s="5">
        <f t="shared" si="16"/>
        <v>27</v>
      </c>
      <c r="O195" s="280"/>
      <c r="P195" s="7">
        <f t="shared" si="31"/>
        <v>0</v>
      </c>
      <c r="Q195" s="8">
        <f t="shared" si="32"/>
        <v>0</v>
      </c>
      <c r="R195" s="335">
        <f t="shared" si="19"/>
        <v>0</v>
      </c>
      <c r="S195" s="460"/>
      <c r="T195" s="11">
        <f t="shared" si="35"/>
        <v>0</v>
      </c>
      <c r="U195" s="472"/>
      <c r="V195" s="13">
        <f t="shared" si="20"/>
        <v>0</v>
      </c>
      <c r="W195" s="134">
        <f t="shared" si="33"/>
        <v>0</v>
      </c>
      <c r="X195" s="134">
        <f t="shared" si="22"/>
        <v>0</v>
      </c>
    </row>
    <row r="196" spans="1:25" ht="14.4" customHeight="1" thickBot="1">
      <c r="A196" s="199" t="s">
        <v>7</v>
      </c>
      <c r="B196" s="235" t="s">
        <v>159</v>
      </c>
      <c r="C196" s="236">
        <v>6</v>
      </c>
      <c r="D196" s="202" t="s">
        <v>135</v>
      </c>
      <c r="E196" s="203"/>
      <c r="F196" s="204"/>
      <c r="G196" s="204"/>
      <c r="H196" s="425">
        <v>61</v>
      </c>
      <c r="I196" s="425">
        <f t="shared" si="28"/>
        <v>0</v>
      </c>
      <c r="J196" s="204"/>
      <c r="K196" s="437">
        <v>0</v>
      </c>
      <c r="L196" s="437">
        <f t="shared" si="29"/>
        <v>0</v>
      </c>
      <c r="M196" s="449">
        <f t="shared" si="30"/>
        <v>0</v>
      </c>
      <c r="N196" s="301">
        <f t="shared" si="16"/>
        <v>61</v>
      </c>
      <c r="O196" s="302">
        <v>0</v>
      </c>
      <c r="P196" s="237">
        <f t="shared" si="31"/>
        <v>0</v>
      </c>
      <c r="Q196" s="237">
        <f t="shared" si="32"/>
        <v>0</v>
      </c>
      <c r="R196" s="336">
        <f t="shared" ref="R196:R208" si="36">N196*Q196</f>
        <v>0</v>
      </c>
      <c r="S196" s="461"/>
      <c r="T196" s="237">
        <f t="shared" si="35"/>
        <v>0</v>
      </c>
      <c r="U196" s="473"/>
      <c r="V196" s="238">
        <f t="shared" si="20"/>
        <v>0</v>
      </c>
      <c r="W196" s="305">
        <f t="shared" si="33"/>
        <v>0</v>
      </c>
      <c r="X196" s="305">
        <f t="shared" ref="X196:X208" si="37">K196*Q196</f>
        <v>0</v>
      </c>
    </row>
    <row r="197" spans="1:25" ht="13.8" customHeight="1">
      <c r="A197" s="210" t="s">
        <v>100</v>
      </c>
      <c r="B197" s="211" t="s">
        <v>172</v>
      </c>
      <c r="C197" s="212">
        <v>3</v>
      </c>
      <c r="D197" s="213" t="s">
        <v>132</v>
      </c>
      <c r="E197" s="214"/>
      <c r="F197" s="215"/>
      <c r="G197" s="215"/>
      <c r="H197" s="426">
        <v>59</v>
      </c>
      <c r="I197" s="426">
        <f t="shared" si="28"/>
        <v>0</v>
      </c>
      <c r="J197" s="215"/>
      <c r="K197" s="438">
        <v>1</v>
      </c>
      <c r="L197" s="438">
        <f t="shared" si="29"/>
        <v>0</v>
      </c>
      <c r="M197" s="450">
        <f t="shared" si="30"/>
        <v>0</v>
      </c>
      <c r="N197" s="216">
        <f t="shared" si="16"/>
        <v>58</v>
      </c>
      <c r="O197" s="284"/>
      <c r="P197" s="217">
        <f t="shared" si="31"/>
        <v>0</v>
      </c>
      <c r="Q197" s="218">
        <f t="shared" si="32"/>
        <v>0</v>
      </c>
      <c r="R197" s="339">
        <f t="shared" si="36"/>
        <v>0</v>
      </c>
      <c r="S197" s="462"/>
      <c r="T197" s="219">
        <f t="shared" si="35"/>
        <v>0</v>
      </c>
      <c r="U197" s="474"/>
      <c r="V197" s="220">
        <f t="shared" si="20"/>
        <v>0</v>
      </c>
      <c r="W197" s="133">
        <f t="shared" si="33"/>
        <v>0</v>
      </c>
      <c r="X197" s="133">
        <f t="shared" si="37"/>
        <v>0</v>
      </c>
    </row>
    <row r="198" spans="1:25" ht="14.4" customHeight="1" thickBot="1">
      <c r="A198" s="221" t="s">
        <v>100</v>
      </c>
      <c r="B198" s="222" t="s">
        <v>173</v>
      </c>
      <c r="C198" s="223">
        <v>3</v>
      </c>
      <c r="D198" s="224" t="s">
        <v>132</v>
      </c>
      <c r="E198" s="225"/>
      <c r="F198" s="226"/>
      <c r="G198" s="226"/>
      <c r="H198" s="427">
        <v>24</v>
      </c>
      <c r="I198" s="427">
        <f t="shared" ref="I198:I208" si="38">G198*H198</f>
        <v>0</v>
      </c>
      <c r="J198" s="226"/>
      <c r="K198" s="439">
        <v>1</v>
      </c>
      <c r="L198" s="439">
        <f t="shared" ref="L198:L208" si="39">J198*K198</f>
        <v>0</v>
      </c>
      <c r="M198" s="451">
        <f t="shared" ref="M198:M208" si="40">I198+L198</f>
        <v>0</v>
      </c>
      <c r="N198" s="227">
        <f t="shared" si="16"/>
        <v>23</v>
      </c>
      <c r="O198" s="285"/>
      <c r="P198" s="228">
        <f t="shared" ref="P198:P208" si="41">N198*O198</f>
        <v>0</v>
      </c>
      <c r="Q198" s="229">
        <f t="shared" ref="Q198:Q208" si="42">J198-O198</f>
        <v>0</v>
      </c>
      <c r="R198" s="340">
        <f t="shared" si="36"/>
        <v>0</v>
      </c>
      <c r="S198" s="463"/>
      <c r="T198" s="230">
        <f t="shared" si="35"/>
        <v>0</v>
      </c>
      <c r="U198" s="475"/>
      <c r="V198" s="231">
        <f t="shared" si="20"/>
        <v>0</v>
      </c>
      <c r="W198" s="135">
        <f t="shared" ref="W198:W208" si="43">K198*O198</f>
        <v>0</v>
      </c>
      <c r="X198" s="135">
        <f t="shared" si="37"/>
        <v>0</v>
      </c>
    </row>
    <row r="199" spans="1:25" ht="13.8" customHeight="1">
      <c r="A199" s="210" t="s">
        <v>100</v>
      </c>
      <c r="B199" s="211" t="s">
        <v>172</v>
      </c>
      <c r="C199" s="212">
        <v>4</v>
      </c>
      <c r="D199" s="213" t="s">
        <v>133</v>
      </c>
      <c r="E199" s="214"/>
      <c r="F199" s="215"/>
      <c r="G199" s="215"/>
      <c r="H199" s="426">
        <v>58</v>
      </c>
      <c r="I199" s="426">
        <f t="shared" si="38"/>
        <v>0</v>
      </c>
      <c r="J199" s="215"/>
      <c r="K199" s="438">
        <v>1</v>
      </c>
      <c r="L199" s="438">
        <f t="shared" si="39"/>
        <v>0</v>
      </c>
      <c r="M199" s="450">
        <f t="shared" si="40"/>
        <v>0</v>
      </c>
      <c r="N199" s="216">
        <f t="shared" si="16"/>
        <v>57</v>
      </c>
      <c r="O199" s="284"/>
      <c r="P199" s="217">
        <f t="shared" si="41"/>
        <v>0</v>
      </c>
      <c r="Q199" s="218">
        <f t="shared" si="42"/>
        <v>0</v>
      </c>
      <c r="R199" s="339">
        <f t="shared" si="36"/>
        <v>0</v>
      </c>
      <c r="S199" s="462"/>
      <c r="T199" s="219">
        <f t="shared" si="35"/>
        <v>0</v>
      </c>
      <c r="U199" s="474"/>
      <c r="V199" s="220">
        <f t="shared" si="20"/>
        <v>0</v>
      </c>
      <c r="W199" s="133">
        <f t="shared" si="43"/>
        <v>0</v>
      </c>
      <c r="X199" s="133">
        <f t="shared" si="37"/>
        <v>0</v>
      </c>
    </row>
    <row r="200" spans="1:25" ht="14.4" customHeight="1" thickBot="1">
      <c r="A200" s="221" t="s">
        <v>100</v>
      </c>
      <c r="B200" s="222" t="s">
        <v>173</v>
      </c>
      <c r="C200" s="223">
        <v>4</v>
      </c>
      <c r="D200" s="224" t="s">
        <v>133</v>
      </c>
      <c r="E200" s="225"/>
      <c r="F200" s="226"/>
      <c r="G200" s="226"/>
      <c r="H200" s="427">
        <v>29</v>
      </c>
      <c r="I200" s="427">
        <f t="shared" si="38"/>
        <v>0</v>
      </c>
      <c r="J200" s="226"/>
      <c r="K200" s="439">
        <v>1</v>
      </c>
      <c r="L200" s="439">
        <f t="shared" si="39"/>
        <v>0</v>
      </c>
      <c r="M200" s="451">
        <f t="shared" si="40"/>
        <v>0</v>
      </c>
      <c r="N200" s="227">
        <f t="shared" si="16"/>
        <v>28</v>
      </c>
      <c r="O200" s="285"/>
      <c r="P200" s="228">
        <f t="shared" si="41"/>
        <v>0</v>
      </c>
      <c r="Q200" s="229">
        <f t="shared" si="42"/>
        <v>0</v>
      </c>
      <c r="R200" s="340">
        <f t="shared" si="36"/>
        <v>0</v>
      </c>
      <c r="S200" s="463"/>
      <c r="T200" s="230">
        <f t="shared" si="35"/>
        <v>0</v>
      </c>
      <c r="U200" s="475"/>
      <c r="V200" s="231">
        <f t="shared" si="20"/>
        <v>0</v>
      </c>
      <c r="W200" s="135">
        <f t="shared" si="43"/>
        <v>0</v>
      </c>
      <c r="X200" s="135">
        <f t="shared" si="37"/>
        <v>0</v>
      </c>
    </row>
    <row r="201" spans="1:25" ht="13.8" customHeight="1">
      <c r="A201" s="210" t="s">
        <v>100</v>
      </c>
      <c r="B201" s="211" t="s">
        <v>174</v>
      </c>
      <c r="C201" s="212">
        <v>5</v>
      </c>
      <c r="D201" s="213" t="s">
        <v>134</v>
      </c>
      <c r="E201" s="214"/>
      <c r="F201" s="215"/>
      <c r="G201" s="215"/>
      <c r="H201" s="426">
        <v>63</v>
      </c>
      <c r="I201" s="426">
        <f t="shared" si="38"/>
        <v>0</v>
      </c>
      <c r="J201" s="215"/>
      <c r="K201" s="438">
        <v>0</v>
      </c>
      <c r="L201" s="438">
        <f t="shared" si="39"/>
        <v>0</v>
      </c>
      <c r="M201" s="450">
        <f t="shared" si="40"/>
        <v>0</v>
      </c>
      <c r="N201" s="216">
        <f t="shared" si="16"/>
        <v>63</v>
      </c>
      <c r="O201" s="284"/>
      <c r="P201" s="217">
        <f t="shared" si="41"/>
        <v>0</v>
      </c>
      <c r="Q201" s="218">
        <f t="shared" si="42"/>
        <v>0</v>
      </c>
      <c r="R201" s="339">
        <f t="shared" si="36"/>
        <v>0</v>
      </c>
      <c r="S201" s="462"/>
      <c r="T201" s="219">
        <f t="shared" si="35"/>
        <v>0</v>
      </c>
      <c r="U201" s="474"/>
      <c r="V201" s="220">
        <f t="shared" si="20"/>
        <v>0</v>
      </c>
      <c r="W201" s="133">
        <f t="shared" si="43"/>
        <v>0</v>
      </c>
      <c r="X201" s="133">
        <f t="shared" si="37"/>
        <v>0</v>
      </c>
    </row>
    <row r="202" spans="1:25" ht="13.8" customHeight="1">
      <c r="A202" s="239" t="s">
        <v>100</v>
      </c>
      <c r="B202" s="65" t="s">
        <v>175</v>
      </c>
      <c r="C202" s="94">
        <v>5</v>
      </c>
      <c r="D202" s="66" t="s">
        <v>134</v>
      </c>
      <c r="E202" s="3"/>
      <c r="F202" s="4"/>
      <c r="G202" s="4"/>
      <c r="H202" s="428">
        <v>38</v>
      </c>
      <c r="I202" s="428">
        <f t="shared" si="38"/>
        <v>0</v>
      </c>
      <c r="J202" s="4"/>
      <c r="K202" s="440">
        <v>0</v>
      </c>
      <c r="L202" s="440">
        <f t="shared" si="39"/>
        <v>0</v>
      </c>
      <c r="M202" s="452">
        <f t="shared" si="40"/>
        <v>0</v>
      </c>
      <c r="N202" s="6">
        <f t="shared" si="16"/>
        <v>38</v>
      </c>
      <c r="O202" s="281"/>
      <c r="P202" s="9">
        <f t="shared" si="41"/>
        <v>0</v>
      </c>
      <c r="Q202" s="10">
        <f t="shared" si="42"/>
        <v>0</v>
      </c>
      <c r="R202" s="341">
        <f t="shared" si="36"/>
        <v>0</v>
      </c>
      <c r="S202" s="464"/>
      <c r="T202" s="12">
        <f t="shared" si="35"/>
        <v>0</v>
      </c>
      <c r="U202" s="476"/>
      <c r="V202" s="14">
        <f t="shared" si="20"/>
        <v>0</v>
      </c>
      <c r="W202" s="134">
        <f t="shared" si="43"/>
        <v>0</v>
      </c>
      <c r="X202" s="134">
        <f t="shared" si="37"/>
        <v>0</v>
      </c>
    </row>
    <row r="203" spans="1:25" ht="13.8" customHeight="1">
      <c r="A203" s="239" t="s">
        <v>100</v>
      </c>
      <c r="B203" s="65" t="s">
        <v>176</v>
      </c>
      <c r="C203" s="94">
        <v>5</v>
      </c>
      <c r="D203" s="66" t="s">
        <v>134</v>
      </c>
      <c r="E203" s="3"/>
      <c r="F203" s="4"/>
      <c r="G203" s="4"/>
      <c r="H203" s="428">
        <v>50</v>
      </c>
      <c r="I203" s="428">
        <f t="shared" si="38"/>
        <v>0</v>
      </c>
      <c r="J203" s="4"/>
      <c r="K203" s="440">
        <v>0</v>
      </c>
      <c r="L203" s="440">
        <f t="shared" si="39"/>
        <v>0</v>
      </c>
      <c r="M203" s="452">
        <f t="shared" si="40"/>
        <v>0</v>
      </c>
      <c r="N203" s="6">
        <f t="shared" si="16"/>
        <v>50</v>
      </c>
      <c r="O203" s="281"/>
      <c r="P203" s="9">
        <f t="shared" si="41"/>
        <v>0</v>
      </c>
      <c r="Q203" s="10">
        <f t="shared" si="42"/>
        <v>0</v>
      </c>
      <c r="R203" s="341">
        <f t="shared" si="36"/>
        <v>0</v>
      </c>
      <c r="S203" s="464"/>
      <c r="T203" s="12">
        <f t="shared" si="35"/>
        <v>0</v>
      </c>
      <c r="U203" s="476"/>
      <c r="V203" s="14">
        <f t="shared" si="20"/>
        <v>0</v>
      </c>
      <c r="W203" s="134">
        <f t="shared" si="43"/>
        <v>0</v>
      </c>
      <c r="X203" s="134">
        <f t="shared" si="37"/>
        <v>0</v>
      </c>
    </row>
    <row r="204" spans="1:25" ht="14.4" customHeight="1" thickBot="1">
      <c r="A204" s="221" t="s">
        <v>100</v>
      </c>
      <c r="B204" s="222" t="s">
        <v>177</v>
      </c>
      <c r="C204" s="223">
        <v>5</v>
      </c>
      <c r="D204" s="224" t="s">
        <v>134</v>
      </c>
      <c r="E204" s="225"/>
      <c r="F204" s="226"/>
      <c r="G204" s="226"/>
      <c r="H204" s="427">
        <v>26</v>
      </c>
      <c r="I204" s="427">
        <f t="shared" si="38"/>
        <v>0</v>
      </c>
      <c r="J204" s="226"/>
      <c r="K204" s="439">
        <v>0</v>
      </c>
      <c r="L204" s="439">
        <f t="shared" si="39"/>
        <v>0</v>
      </c>
      <c r="M204" s="451">
        <f t="shared" si="40"/>
        <v>0</v>
      </c>
      <c r="N204" s="227">
        <f t="shared" si="16"/>
        <v>26</v>
      </c>
      <c r="O204" s="285"/>
      <c r="P204" s="228">
        <f t="shared" si="41"/>
        <v>0</v>
      </c>
      <c r="Q204" s="229">
        <f t="shared" si="42"/>
        <v>0</v>
      </c>
      <c r="R204" s="340">
        <f t="shared" si="36"/>
        <v>0</v>
      </c>
      <c r="S204" s="463"/>
      <c r="T204" s="230">
        <f t="shared" si="35"/>
        <v>0</v>
      </c>
      <c r="U204" s="475"/>
      <c r="V204" s="231">
        <f t="shared" si="20"/>
        <v>0</v>
      </c>
      <c r="W204" s="135">
        <f t="shared" si="43"/>
        <v>0</v>
      </c>
      <c r="X204" s="135">
        <f t="shared" si="37"/>
        <v>0</v>
      </c>
    </row>
    <row r="205" spans="1:25" ht="13.8" customHeight="1">
      <c r="A205" s="210" t="s">
        <v>100</v>
      </c>
      <c r="B205" s="211" t="s">
        <v>174</v>
      </c>
      <c r="C205" s="212">
        <v>6</v>
      </c>
      <c r="D205" s="213" t="s">
        <v>135</v>
      </c>
      <c r="E205" s="214"/>
      <c r="F205" s="215"/>
      <c r="G205" s="215"/>
      <c r="H205" s="426">
        <v>63</v>
      </c>
      <c r="I205" s="426">
        <f t="shared" si="38"/>
        <v>0</v>
      </c>
      <c r="J205" s="215"/>
      <c r="K205" s="438">
        <v>0</v>
      </c>
      <c r="L205" s="438">
        <f t="shared" si="39"/>
        <v>0</v>
      </c>
      <c r="M205" s="450">
        <f t="shared" si="40"/>
        <v>0</v>
      </c>
      <c r="N205" s="216">
        <f t="shared" si="16"/>
        <v>63</v>
      </c>
      <c r="O205" s="284"/>
      <c r="P205" s="217">
        <f t="shared" si="41"/>
        <v>0</v>
      </c>
      <c r="Q205" s="218">
        <f t="shared" si="42"/>
        <v>0</v>
      </c>
      <c r="R205" s="339">
        <f t="shared" si="36"/>
        <v>0</v>
      </c>
      <c r="S205" s="462"/>
      <c r="T205" s="219">
        <f t="shared" si="35"/>
        <v>0</v>
      </c>
      <c r="U205" s="474"/>
      <c r="V205" s="220">
        <f t="shared" si="20"/>
        <v>0</v>
      </c>
      <c r="W205" s="133">
        <f t="shared" si="43"/>
        <v>0</v>
      </c>
      <c r="X205" s="133">
        <f t="shared" si="37"/>
        <v>0</v>
      </c>
      <c r="Y205" s="882" t="s">
        <v>183</v>
      </c>
    </row>
    <row r="206" spans="1:25" ht="13.8" customHeight="1">
      <c r="A206" s="239" t="s">
        <v>100</v>
      </c>
      <c r="B206" s="65" t="s">
        <v>175</v>
      </c>
      <c r="C206" s="94">
        <v>6</v>
      </c>
      <c r="D206" s="66" t="s">
        <v>135</v>
      </c>
      <c r="E206" s="3"/>
      <c r="F206" s="4"/>
      <c r="G206" s="4"/>
      <c r="H206" s="428">
        <v>38</v>
      </c>
      <c r="I206" s="428">
        <f t="shared" si="38"/>
        <v>0</v>
      </c>
      <c r="J206" s="4"/>
      <c r="K206" s="440">
        <v>0</v>
      </c>
      <c r="L206" s="440">
        <f t="shared" si="39"/>
        <v>0</v>
      </c>
      <c r="M206" s="452">
        <f t="shared" si="40"/>
        <v>0</v>
      </c>
      <c r="N206" s="6">
        <f t="shared" si="16"/>
        <v>38</v>
      </c>
      <c r="O206" s="281"/>
      <c r="P206" s="9">
        <f t="shared" si="41"/>
        <v>0</v>
      </c>
      <c r="Q206" s="10">
        <f t="shared" si="42"/>
        <v>0</v>
      </c>
      <c r="R206" s="341">
        <f t="shared" si="36"/>
        <v>0</v>
      </c>
      <c r="S206" s="464"/>
      <c r="T206" s="12">
        <f t="shared" ref="T206:T208" si="44">S206*H206</f>
        <v>0</v>
      </c>
      <c r="U206" s="476"/>
      <c r="V206" s="14">
        <f t="shared" si="20"/>
        <v>0</v>
      </c>
      <c r="W206" s="134">
        <f t="shared" si="43"/>
        <v>0</v>
      </c>
      <c r="X206" s="134">
        <f t="shared" si="37"/>
        <v>0</v>
      </c>
      <c r="Y206" s="882"/>
    </row>
    <row r="207" spans="1:25" ht="13.8" customHeight="1">
      <c r="A207" s="239" t="s">
        <v>100</v>
      </c>
      <c r="B207" s="65" t="s">
        <v>176</v>
      </c>
      <c r="C207" s="94">
        <v>6</v>
      </c>
      <c r="D207" s="66" t="s">
        <v>135</v>
      </c>
      <c r="E207" s="3"/>
      <c r="F207" s="4"/>
      <c r="G207" s="4"/>
      <c r="H207" s="428">
        <v>52</v>
      </c>
      <c r="I207" s="428">
        <f t="shared" si="38"/>
        <v>0</v>
      </c>
      <c r="J207" s="4"/>
      <c r="K207" s="440">
        <v>0</v>
      </c>
      <c r="L207" s="440">
        <f t="shared" si="39"/>
        <v>0</v>
      </c>
      <c r="M207" s="452">
        <f t="shared" si="40"/>
        <v>0</v>
      </c>
      <c r="N207" s="6">
        <f t="shared" ref="N207:N208" si="45">H207-K207</f>
        <v>52</v>
      </c>
      <c r="O207" s="281"/>
      <c r="P207" s="9">
        <f t="shared" si="41"/>
        <v>0</v>
      </c>
      <c r="Q207" s="10">
        <f t="shared" si="42"/>
        <v>0</v>
      </c>
      <c r="R207" s="341">
        <f t="shared" si="36"/>
        <v>0</v>
      </c>
      <c r="S207" s="464"/>
      <c r="T207" s="12">
        <f t="shared" si="44"/>
        <v>0</v>
      </c>
      <c r="U207" s="476"/>
      <c r="V207" s="14">
        <f t="shared" ref="V207:V208" si="46">H207*U207</f>
        <v>0</v>
      </c>
      <c r="W207" s="134">
        <f t="shared" si="43"/>
        <v>0</v>
      </c>
      <c r="X207" s="134">
        <f t="shared" si="37"/>
        <v>0</v>
      </c>
      <c r="Y207" s="882"/>
    </row>
    <row r="208" spans="1:25" ht="14.4" customHeight="1" thickBot="1">
      <c r="A208" s="221" t="s">
        <v>100</v>
      </c>
      <c r="B208" s="222" t="s">
        <v>177</v>
      </c>
      <c r="C208" s="223">
        <v>6</v>
      </c>
      <c r="D208" s="224" t="s">
        <v>135</v>
      </c>
      <c r="E208" s="225"/>
      <c r="F208" s="226"/>
      <c r="G208" s="226"/>
      <c r="H208" s="427">
        <v>28</v>
      </c>
      <c r="I208" s="427">
        <f t="shared" si="38"/>
        <v>0</v>
      </c>
      <c r="J208" s="226"/>
      <c r="K208" s="439">
        <v>0</v>
      </c>
      <c r="L208" s="439">
        <f t="shared" si="39"/>
        <v>0</v>
      </c>
      <c r="M208" s="451">
        <f t="shared" si="40"/>
        <v>0</v>
      </c>
      <c r="N208" s="227">
        <f t="shared" si="45"/>
        <v>28</v>
      </c>
      <c r="O208" s="285"/>
      <c r="P208" s="228">
        <f t="shared" si="41"/>
        <v>0</v>
      </c>
      <c r="Q208" s="229">
        <f t="shared" si="42"/>
        <v>0</v>
      </c>
      <c r="R208" s="340">
        <f t="shared" si="36"/>
        <v>0</v>
      </c>
      <c r="S208" s="348"/>
      <c r="T208" s="230">
        <f t="shared" si="44"/>
        <v>0</v>
      </c>
      <c r="U208" s="475"/>
      <c r="V208" s="231">
        <f t="shared" si="46"/>
        <v>0</v>
      </c>
      <c r="W208" s="135">
        <f t="shared" si="43"/>
        <v>0</v>
      </c>
      <c r="X208" s="135">
        <f t="shared" si="37"/>
        <v>0</v>
      </c>
      <c r="Y208" s="882"/>
    </row>
    <row r="209" spans="1:25" ht="70.3" customHeight="1" thickBot="1">
      <c r="A209" s="183"/>
      <c r="B209" s="184"/>
      <c r="C209" s="185"/>
      <c r="D209" s="186"/>
      <c r="E209" s="240"/>
      <c r="F209" s="241"/>
      <c r="G209" s="242"/>
      <c r="H209" s="243" t="s">
        <v>8</v>
      </c>
      <c r="I209" s="244">
        <f>SUM(I5:I208)</f>
        <v>0</v>
      </c>
      <c r="J209" s="245"/>
      <c r="K209" s="246" t="s">
        <v>9</v>
      </c>
      <c r="L209" s="247">
        <f>SUM(L5:L208)</f>
        <v>0</v>
      </c>
      <c r="M209" s="416">
        <f>SUM(M5:M208)</f>
        <v>0</v>
      </c>
      <c r="N209" s="248"/>
      <c r="O209" s="249" t="s">
        <v>17</v>
      </c>
      <c r="P209" s="250">
        <f>SUM(P5:P208)</f>
        <v>0</v>
      </c>
      <c r="Q209" s="251" t="s">
        <v>58</v>
      </c>
      <c r="R209" s="342">
        <f>SUM(R5:R208)</f>
        <v>0</v>
      </c>
      <c r="S209" s="349" t="s">
        <v>60</v>
      </c>
      <c r="T209" s="350">
        <f>SUM(T5:T208)</f>
        <v>0</v>
      </c>
      <c r="U209" s="351" t="s">
        <v>61</v>
      </c>
      <c r="V209" s="352">
        <f>SUM(V5:V208)</f>
        <v>0</v>
      </c>
      <c r="W209" s="282">
        <f>SUM(W5:W208)</f>
        <v>0</v>
      </c>
      <c r="X209" s="283">
        <f>SUM(X5:X208)</f>
        <v>0</v>
      </c>
      <c r="Y209" s="883"/>
    </row>
    <row r="210" spans="1:25" ht="28.2" customHeight="1" thickBot="1">
      <c r="E210" s="75"/>
      <c r="H210" s="891" t="s">
        <v>310</v>
      </c>
      <c r="I210" s="891"/>
      <c r="K210" s="892" t="s">
        <v>75</v>
      </c>
      <c r="L210" s="893"/>
      <c r="M210" s="75"/>
      <c r="Q210" s="69" t="s">
        <v>18</v>
      </c>
      <c r="R210" s="37">
        <f>R209+T209+V209-R211</f>
        <v>0</v>
      </c>
      <c r="W210" s="273" t="s">
        <v>182</v>
      </c>
      <c r="X210" s="274">
        <f>X209+W209</f>
        <v>0</v>
      </c>
      <c r="Y210" s="307">
        <f>L209-X210</f>
        <v>0</v>
      </c>
    </row>
    <row r="211" spans="1:25" ht="25.55" customHeight="1">
      <c r="E211" s="900" t="s">
        <v>104</v>
      </c>
      <c r="F211" s="900"/>
      <c r="G211" s="900"/>
      <c r="H211" s="900"/>
      <c r="I211" s="900"/>
      <c r="J211" s="900"/>
      <c r="K211" s="900"/>
      <c r="L211" s="900"/>
      <c r="M211" s="900"/>
      <c r="Q211" s="122" t="s">
        <v>19</v>
      </c>
      <c r="R211" s="123">
        <f>SUM(R11,R18,R23,R24,R29,R36,R37,R42,R49,R50,R55,R64,R65,R70,R81,R88,R93,R94,R99,R106,R107,R112,R119,R120,R125,R132,R133,R138,R147,R154,R159,R160,R169,R170,R179,R180,R185,R190,R191,R196)</f>
        <v>0</v>
      </c>
    </row>
    <row r="212" spans="1:25" ht="11.75" customHeight="1">
      <c r="O212" s="41"/>
      <c r="R212" s="70"/>
    </row>
    <row r="213" spans="1:25" ht="24.3" customHeight="1"/>
    <row r="214" spans="1:25" ht="29.45" customHeight="1">
      <c r="B214" s="877" t="s">
        <v>63</v>
      </c>
      <c r="C214" s="877"/>
      <c r="D214" s="875" t="s">
        <v>62</v>
      </c>
      <c r="E214" s="878" t="s">
        <v>81</v>
      </c>
      <c r="F214" s="879"/>
      <c r="G214" s="884" t="s">
        <v>87</v>
      </c>
      <c r="H214" s="878" t="s">
        <v>105</v>
      </c>
      <c r="I214" s="879"/>
      <c r="J214" s="886" t="s">
        <v>70</v>
      </c>
      <c r="K214" s="878" t="s">
        <v>84</v>
      </c>
      <c r="L214" s="901"/>
      <c r="M214" s="879"/>
      <c r="N214" s="868" t="s">
        <v>184</v>
      </c>
    </row>
    <row r="215" spans="1:25" ht="27.55" customHeight="1">
      <c r="B215" s="877"/>
      <c r="C215" s="877"/>
      <c r="D215" s="876"/>
      <c r="E215" s="20" t="s">
        <v>74</v>
      </c>
      <c r="F215" s="353" t="s">
        <v>69</v>
      </c>
      <c r="G215" s="885"/>
      <c r="H215" s="21" t="s">
        <v>74</v>
      </c>
      <c r="I215" s="354" t="s">
        <v>83</v>
      </c>
      <c r="J215" s="887"/>
      <c r="K215" s="19" t="s">
        <v>82</v>
      </c>
      <c r="L215" s="24" t="s">
        <v>85</v>
      </c>
      <c r="M215" s="24" t="s">
        <v>86</v>
      </c>
      <c r="N215" s="868"/>
    </row>
    <row r="216" spans="1:25" ht="16.3">
      <c r="B216" s="880" t="s">
        <v>138</v>
      </c>
      <c r="C216" s="880"/>
      <c r="D216" s="128" t="s">
        <v>54</v>
      </c>
      <c r="E216" s="34">
        <f>SUM(W5:W74)</f>
        <v>0</v>
      </c>
      <c r="F216" s="35">
        <f>SUM(P5:P74)</f>
        <v>0</v>
      </c>
      <c r="G216" s="308">
        <f>E216+F216</f>
        <v>0</v>
      </c>
      <c r="H216" s="34">
        <f>SUM(X5:X74)</f>
        <v>0</v>
      </c>
      <c r="I216" s="71">
        <f>SUM(K216:M216)</f>
        <v>0</v>
      </c>
      <c r="J216" s="313">
        <f>I216+H216</f>
        <v>0</v>
      </c>
      <c r="K216" s="36">
        <f>SUM(R5:R74)</f>
        <v>0</v>
      </c>
      <c r="L216" s="34">
        <f>SUM(T5:T74)</f>
        <v>0</v>
      </c>
      <c r="M216" s="34">
        <f>SUM(V5:V74)</f>
        <v>0</v>
      </c>
      <c r="N216" s="316">
        <f>G216+J216</f>
        <v>0</v>
      </c>
    </row>
    <row r="217" spans="1:25" ht="16.3">
      <c r="B217" s="881" t="s">
        <v>139</v>
      </c>
      <c r="C217" s="881"/>
      <c r="D217" s="129" t="s">
        <v>55</v>
      </c>
      <c r="E217" s="124">
        <f>SUM(W75:W140)</f>
        <v>0</v>
      </c>
      <c r="F217" s="125">
        <f>SUM(P75:P140)</f>
        <v>0</v>
      </c>
      <c r="G217" s="309">
        <f>E217+F217</f>
        <v>0</v>
      </c>
      <c r="H217" s="124">
        <f>SUM(X75:X140)</f>
        <v>0</v>
      </c>
      <c r="I217" s="126">
        <f>SUM(K217:M217)</f>
        <v>0</v>
      </c>
      <c r="J217" s="314">
        <f>I217+H217</f>
        <v>0</v>
      </c>
      <c r="K217" s="127">
        <f>SUM(R75:R140)</f>
        <v>0</v>
      </c>
      <c r="L217" s="124">
        <f>SUM(T75:T140)</f>
        <v>0</v>
      </c>
      <c r="M217" s="124">
        <f>SUM(V75:V140)</f>
        <v>0</v>
      </c>
      <c r="N217" s="316">
        <f t="shared" ref="N217:N220" si="47">G217+J217</f>
        <v>0</v>
      </c>
    </row>
    <row r="218" spans="1:25" ht="16.3">
      <c r="B218" s="865" t="s">
        <v>140</v>
      </c>
      <c r="C218" s="865"/>
      <c r="D218" s="130" t="s">
        <v>56</v>
      </c>
      <c r="E218" s="17">
        <f>SUM(W141:W196)</f>
        <v>0</v>
      </c>
      <c r="F218" s="15">
        <f>SUM(P141:P196)</f>
        <v>0</v>
      </c>
      <c r="G218" s="310">
        <f>E218+F218</f>
        <v>0</v>
      </c>
      <c r="H218" s="17">
        <f>SUM(X141:X196)</f>
        <v>0</v>
      </c>
      <c r="I218" s="72">
        <f>SUM(K218:M218)</f>
        <v>0</v>
      </c>
      <c r="J218" s="313">
        <f>I218+H218</f>
        <v>0</v>
      </c>
      <c r="K218" s="16">
        <f>SUM(R141:R196)</f>
        <v>0</v>
      </c>
      <c r="L218" s="17">
        <f>SUM(T141:T196)</f>
        <v>0</v>
      </c>
      <c r="M218" s="17">
        <f>SUM(V141:V196)</f>
        <v>0</v>
      </c>
      <c r="N218" s="316">
        <f t="shared" si="47"/>
        <v>0</v>
      </c>
    </row>
    <row r="219" spans="1:25" ht="16.3">
      <c r="B219" s="866" t="s">
        <v>141</v>
      </c>
      <c r="C219" s="866"/>
      <c r="D219" s="131" t="s">
        <v>101</v>
      </c>
      <c r="E219" s="22">
        <f>SUM(W197:W208)</f>
        <v>0</v>
      </c>
      <c r="F219" s="23">
        <f>SUM(P197:P208)</f>
        <v>0</v>
      </c>
      <c r="G219" s="311">
        <f>E219+F219</f>
        <v>0</v>
      </c>
      <c r="H219" s="22">
        <f>SUM(X197:X208)</f>
        <v>0</v>
      </c>
      <c r="I219" s="73">
        <f>SUM(K219:M219)</f>
        <v>0</v>
      </c>
      <c r="J219" s="313">
        <f>I219+H219</f>
        <v>0</v>
      </c>
      <c r="K219" s="18">
        <f>SUM(R197:R208)</f>
        <v>0</v>
      </c>
      <c r="L219" s="22">
        <f>SUM(T197:T208)</f>
        <v>0</v>
      </c>
      <c r="M219" s="22">
        <f>SUM(V197:V208)</f>
        <v>0</v>
      </c>
      <c r="N219" s="316">
        <f t="shared" si="47"/>
        <v>0</v>
      </c>
    </row>
    <row r="220" spans="1:25" ht="26.3" customHeight="1">
      <c r="B220" s="867"/>
      <c r="C220" s="867"/>
      <c r="D220" s="132" t="s">
        <v>64</v>
      </c>
      <c r="E220" s="317">
        <f t="shared" ref="E220:M220" si="48">SUM(E216:E219)</f>
        <v>0</v>
      </c>
      <c r="F220" s="317">
        <f t="shared" si="48"/>
        <v>0</v>
      </c>
      <c r="G220" s="312">
        <f t="shared" si="48"/>
        <v>0</v>
      </c>
      <c r="H220" s="317">
        <f t="shared" si="48"/>
        <v>0</v>
      </c>
      <c r="I220" s="317">
        <f t="shared" si="48"/>
        <v>0</v>
      </c>
      <c r="J220" s="315">
        <f t="shared" si="48"/>
        <v>0</v>
      </c>
      <c r="K220" s="318">
        <f t="shared" si="48"/>
        <v>0</v>
      </c>
      <c r="L220" s="319">
        <f t="shared" si="48"/>
        <v>0</v>
      </c>
      <c r="M220" s="317">
        <f t="shared" si="48"/>
        <v>0</v>
      </c>
      <c r="N220" s="316">
        <f t="shared" si="47"/>
        <v>0</v>
      </c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autoFilter ref="A4:V210"/>
  <mergeCells count="24">
    <mergeCell ref="Y205:Y209"/>
    <mergeCell ref="G214:G215"/>
    <mergeCell ref="J214:J215"/>
    <mergeCell ref="S1:V1"/>
    <mergeCell ref="H210:I210"/>
    <mergeCell ref="K210:L210"/>
    <mergeCell ref="J1:L1"/>
    <mergeCell ref="O1:P1"/>
    <mergeCell ref="Q1:R1"/>
    <mergeCell ref="E1:I1"/>
    <mergeCell ref="E211:M211"/>
    <mergeCell ref="K214:M214"/>
    <mergeCell ref="H214:I214"/>
    <mergeCell ref="B218:C218"/>
    <mergeCell ref="B219:C219"/>
    <mergeCell ref="B220:C220"/>
    <mergeCell ref="N214:N215"/>
    <mergeCell ref="A1:C1"/>
    <mergeCell ref="A2:C3"/>
    <mergeCell ref="D214:D215"/>
    <mergeCell ref="B214:C215"/>
    <mergeCell ref="E214:F214"/>
    <mergeCell ref="B216:C216"/>
    <mergeCell ref="B217:C217"/>
  </mergeCells>
  <phoneticPr fontId="2" type="noConversion"/>
  <printOptions horizontalCentered="1"/>
  <pageMargins left="0.31496062992125984" right="0.31496062992125984" top="0.59055118110236227" bottom="0.70866141732283472" header="0.59055118110236227" footer="0.39370078740157483"/>
  <pageSetup paperSize="8" scale="80" orientation="portrait" r:id="rId1"/>
  <headerFooter scaleWithDoc="0" alignWithMargins="0">
    <oddFooter xml:space="preserve">&amp;L&amp;"細明體,標準"　　　承辦
　　　科室&amp;C&amp;"細明體,標準"主(會)計　　　　　　　　　　機關
單位　　　　　　　　　　　　首長&amp;R&amp;"細明體,標準"第&amp;P頁，共&amp;N頁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7"/>
  <sheetViews>
    <sheetView topLeftCell="A15" workbookViewId="0"/>
  </sheetViews>
  <sheetFormatPr defaultRowHeight="13.8"/>
  <sheetData>
    <row r="1" spans="1:117" s="362" customFormat="1" ht="29.45" customHeight="1">
      <c r="A1" s="361">
        <v>1</v>
      </c>
      <c r="B1" s="361">
        <v>2</v>
      </c>
      <c r="C1" s="361">
        <v>3</v>
      </c>
      <c r="D1" s="361">
        <v>4</v>
      </c>
      <c r="E1" s="361">
        <v>5</v>
      </c>
      <c r="F1" s="361">
        <v>6</v>
      </c>
      <c r="G1" s="361">
        <v>7</v>
      </c>
      <c r="H1" s="361">
        <v>8</v>
      </c>
      <c r="I1" s="361">
        <v>9</v>
      </c>
      <c r="J1" s="361">
        <v>10</v>
      </c>
      <c r="K1" s="361">
        <v>11</v>
      </c>
      <c r="L1" s="361">
        <v>12</v>
      </c>
      <c r="M1" s="361">
        <v>13</v>
      </c>
      <c r="N1" s="361">
        <v>14</v>
      </c>
      <c r="O1" s="361">
        <v>15</v>
      </c>
      <c r="P1" s="361">
        <v>16</v>
      </c>
      <c r="Q1" s="361">
        <v>17</v>
      </c>
      <c r="R1" s="361">
        <v>18</v>
      </c>
      <c r="S1" s="361">
        <v>19</v>
      </c>
      <c r="T1" s="361">
        <v>20</v>
      </c>
      <c r="U1" s="361">
        <v>21</v>
      </c>
      <c r="V1" s="361">
        <v>22</v>
      </c>
      <c r="W1" s="361">
        <v>23</v>
      </c>
      <c r="X1" s="361">
        <v>24</v>
      </c>
      <c r="Y1" s="361">
        <v>25</v>
      </c>
      <c r="Z1" s="361">
        <v>26</v>
      </c>
      <c r="AA1" s="361">
        <v>27</v>
      </c>
      <c r="AB1" s="361">
        <v>28</v>
      </c>
      <c r="AC1" s="361">
        <v>29</v>
      </c>
      <c r="AD1" s="361">
        <v>30</v>
      </c>
      <c r="AE1" s="361">
        <v>31</v>
      </c>
      <c r="AF1" s="361">
        <v>32</v>
      </c>
      <c r="AG1" s="361">
        <v>33</v>
      </c>
      <c r="AH1" s="361">
        <v>34</v>
      </c>
      <c r="AI1" s="361">
        <v>35</v>
      </c>
      <c r="AJ1" s="361">
        <v>36</v>
      </c>
      <c r="AK1" s="361">
        <v>37</v>
      </c>
      <c r="AL1" s="361">
        <v>38</v>
      </c>
      <c r="AM1" s="361">
        <v>39</v>
      </c>
      <c r="AN1" s="361">
        <v>40</v>
      </c>
      <c r="AO1" s="361">
        <v>41</v>
      </c>
      <c r="AP1" s="361">
        <v>42</v>
      </c>
      <c r="AQ1" s="361">
        <v>43</v>
      </c>
      <c r="AR1" s="361">
        <v>44</v>
      </c>
      <c r="AS1" s="361">
        <v>45</v>
      </c>
      <c r="AT1" s="361">
        <v>46</v>
      </c>
      <c r="AU1" s="361">
        <v>47</v>
      </c>
      <c r="AV1" s="361">
        <v>48</v>
      </c>
      <c r="AW1" s="361">
        <v>49</v>
      </c>
      <c r="AX1" s="361">
        <v>50</v>
      </c>
      <c r="AY1" s="361">
        <v>51</v>
      </c>
      <c r="AZ1" s="361">
        <v>52</v>
      </c>
      <c r="BA1" s="361">
        <v>53</v>
      </c>
      <c r="BB1" s="361">
        <v>54</v>
      </c>
      <c r="BC1" s="361">
        <v>55</v>
      </c>
      <c r="BD1" s="361">
        <v>56</v>
      </c>
      <c r="BE1" s="361">
        <v>57</v>
      </c>
      <c r="BF1" s="361">
        <v>58</v>
      </c>
      <c r="BG1" s="361">
        <v>59</v>
      </c>
      <c r="BH1" s="361">
        <v>60</v>
      </c>
      <c r="BI1" s="361">
        <v>61</v>
      </c>
      <c r="BJ1" s="361">
        <v>62</v>
      </c>
      <c r="BK1" s="361">
        <v>63</v>
      </c>
      <c r="BL1" s="361">
        <v>64</v>
      </c>
      <c r="BM1" s="361">
        <v>65</v>
      </c>
      <c r="BN1" s="361">
        <v>66</v>
      </c>
      <c r="BO1" s="361">
        <v>67</v>
      </c>
      <c r="BP1" s="361">
        <v>68</v>
      </c>
      <c r="BQ1" s="361">
        <v>69</v>
      </c>
      <c r="BR1" s="361">
        <v>70</v>
      </c>
      <c r="BS1" s="361">
        <v>71</v>
      </c>
      <c r="BT1" s="361">
        <v>72</v>
      </c>
      <c r="BU1" s="361">
        <v>73</v>
      </c>
      <c r="BV1" s="361">
        <v>74</v>
      </c>
      <c r="BW1" s="361">
        <v>75</v>
      </c>
      <c r="BX1" s="361">
        <v>76</v>
      </c>
      <c r="BY1" s="361">
        <v>77</v>
      </c>
      <c r="BZ1" s="361">
        <v>78</v>
      </c>
      <c r="CA1" s="361">
        <v>79</v>
      </c>
      <c r="CB1" s="361">
        <v>80</v>
      </c>
      <c r="CC1" s="361">
        <v>81</v>
      </c>
      <c r="CD1" s="361">
        <v>82</v>
      </c>
      <c r="CE1" s="361">
        <v>83</v>
      </c>
      <c r="CF1" s="361">
        <v>84</v>
      </c>
      <c r="CG1" s="361">
        <v>85</v>
      </c>
      <c r="CH1" s="361">
        <v>86</v>
      </c>
      <c r="CI1" s="361">
        <v>87</v>
      </c>
      <c r="CJ1" s="361">
        <v>88</v>
      </c>
      <c r="CK1" s="361">
        <v>89</v>
      </c>
      <c r="CL1" s="361">
        <v>90</v>
      </c>
      <c r="CM1" s="361">
        <v>91</v>
      </c>
      <c r="CN1" s="361">
        <v>92</v>
      </c>
      <c r="CO1" s="361">
        <v>93</v>
      </c>
      <c r="CP1" s="361">
        <v>94</v>
      </c>
      <c r="CQ1" s="361">
        <v>95</v>
      </c>
      <c r="CR1" s="361">
        <v>96</v>
      </c>
      <c r="CS1" s="361">
        <v>97</v>
      </c>
      <c r="CT1" s="361">
        <v>98</v>
      </c>
      <c r="CU1" s="361">
        <v>99</v>
      </c>
      <c r="CV1" s="361">
        <v>100</v>
      </c>
      <c r="CW1" s="361">
        <v>101</v>
      </c>
      <c r="CX1" s="361">
        <v>102</v>
      </c>
      <c r="CY1" s="361">
        <v>103</v>
      </c>
      <c r="CZ1" s="361">
        <v>104</v>
      </c>
      <c r="DA1" s="361">
        <v>105</v>
      </c>
      <c r="DB1" s="361">
        <v>106</v>
      </c>
      <c r="DC1" s="361">
        <v>107</v>
      </c>
      <c r="DD1" s="361">
        <v>108</v>
      </c>
      <c r="DE1" s="361">
        <v>109</v>
      </c>
      <c r="DF1" s="361">
        <v>110</v>
      </c>
      <c r="DG1" s="361">
        <v>111</v>
      </c>
      <c r="DH1" s="361">
        <v>112</v>
      </c>
      <c r="DI1" s="361">
        <v>113</v>
      </c>
      <c r="DJ1" s="361">
        <v>114</v>
      </c>
      <c r="DK1" s="361">
        <v>115</v>
      </c>
      <c r="DL1" s="361">
        <v>116</v>
      </c>
      <c r="DM1" s="361">
        <v>117</v>
      </c>
    </row>
    <row r="2" spans="1:117" ht="47">
      <c r="A2" s="91" t="s">
        <v>124</v>
      </c>
      <c r="B2" s="373" t="s">
        <v>109</v>
      </c>
      <c r="C2" s="372" t="s">
        <v>109</v>
      </c>
      <c r="D2" s="369" t="s">
        <v>110</v>
      </c>
      <c r="E2" s="369" t="s">
        <v>110</v>
      </c>
      <c r="F2" s="369" t="s">
        <v>111</v>
      </c>
      <c r="G2" s="369" t="s">
        <v>111</v>
      </c>
      <c r="H2" s="369" t="s">
        <v>112</v>
      </c>
      <c r="I2" s="369" t="s">
        <v>109</v>
      </c>
      <c r="J2" s="369" t="s">
        <v>109</v>
      </c>
      <c r="K2" s="369" t="s">
        <v>110</v>
      </c>
      <c r="L2" s="369" t="s">
        <v>110</v>
      </c>
      <c r="M2" s="369" t="s">
        <v>111</v>
      </c>
      <c r="N2" s="369" t="s">
        <v>111</v>
      </c>
      <c r="O2" s="369" t="s">
        <v>112</v>
      </c>
      <c r="P2" s="369" t="s">
        <v>113</v>
      </c>
      <c r="Q2" s="369" t="s">
        <v>113</v>
      </c>
      <c r="R2" s="369" t="s">
        <v>114</v>
      </c>
      <c r="S2" s="369" t="s">
        <v>109</v>
      </c>
      <c r="T2" s="369" t="s">
        <v>109</v>
      </c>
      <c r="U2" s="369" t="s">
        <v>110</v>
      </c>
      <c r="V2" s="369" t="s">
        <v>110</v>
      </c>
      <c r="W2" s="369" t="s">
        <v>115</v>
      </c>
      <c r="X2" s="369" t="s">
        <v>115</v>
      </c>
      <c r="Y2" s="369" t="s">
        <v>112</v>
      </c>
      <c r="Z2" s="369" t="s">
        <v>116</v>
      </c>
      <c r="AA2" s="369" t="s">
        <v>109</v>
      </c>
      <c r="AB2" s="369" t="s">
        <v>109</v>
      </c>
      <c r="AC2" s="369" t="s">
        <v>110</v>
      </c>
      <c r="AD2" s="369" t="s">
        <v>110</v>
      </c>
      <c r="AE2" s="369" t="s">
        <v>115</v>
      </c>
      <c r="AF2" s="369" t="s">
        <v>115</v>
      </c>
      <c r="AG2" s="369" t="s">
        <v>113</v>
      </c>
      <c r="AH2" s="369" t="s">
        <v>113</v>
      </c>
      <c r="AI2" s="369" t="s">
        <v>112</v>
      </c>
      <c r="AJ2" s="369" t="s">
        <v>114</v>
      </c>
      <c r="AK2" s="369" t="s">
        <v>116</v>
      </c>
      <c r="AL2" s="369" t="s">
        <v>109</v>
      </c>
      <c r="AM2" s="369" t="s">
        <v>109</v>
      </c>
      <c r="AN2" s="369" t="s">
        <v>110</v>
      </c>
      <c r="AO2" s="369" t="s">
        <v>110</v>
      </c>
      <c r="AP2" s="369" t="s">
        <v>115</v>
      </c>
      <c r="AQ2" s="369" t="s">
        <v>115</v>
      </c>
      <c r="AR2" s="369" t="s">
        <v>119</v>
      </c>
      <c r="AS2" s="369" t="s">
        <v>119</v>
      </c>
      <c r="AT2" s="369" t="s">
        <v>112</v>
      </c>
      <c r="AU2" s="369" t="s">
        <v>114</v>
      </c>
      <c r="AV2" s="369" t="s">
        <v>120</v>
      </c>
      <c r="AW2" s="369" t="s">
        <v>109</v>
      </c>
      <c r="AX2" s="369" t="s">
        <v>109</v>
      </c>
      <c r="AY2" s="369" t="s">
        <v>110</v>
      </c>
      <c r="AZ2" s="369" t="s">
        <v>110</v>
      </c>
      <c r="BA2" s="369" t="s">
        <v>115</v>
      </c>
      <c r="BB2" s="369" t="s">
        <v>115</v>
      </c>
      <c r="BC2" s="369" t="s">
        <v>119</v>
      </c>
      <c r="BD2" s="369" t="s">
        <v>119</v>
      </c>
      <c r="BE2" s="369" t="s">
        <v>112</v>
      </c>
      <c r="BF2" s="369" t="s">
        <v>114</v>
      </c>
      <c r="BG2" s="369" t="s">
        <v>120</v>
      </c>
      <c r="BH2" s="500" t="s">
        <v>109</v>
      </c>
      <c r="BI2" s="501" t="s">
        <v>109</v>
      </c>
      <c r="BJ2" s="502" t="s">
        <v>110</v>
      </c>
      <c r="BK2" s="502" t="s">
        <v>110</v>
      </c>
      <c r="BL2" s="502" t="s">
        <v>111</v>
      </c>
      <c r="BM2" s="502" t="s">
        <v>111</v>
      </c>
      <c r="BN2" s="502" t="s">
        <v>112</v>
      </c>
      <c r="BO2" s="502" t="s">
        <v>109</v>
      </c>
      <c r="BP2" s="502" t="s">
        <v>109</v>
      </c>
      <c r="BQ2" s="502" t="s">
        <v>110</v>
      </c>
      <c r="BR2" s="502" t="s">
        <v>110</v>
      </c>
      <c r="BS2" s="502" t="s">
        <v>111</v>
      </c>
      <c r="BT2" s="502" t="s">
        <v>111</v>
      </c>
      <c r="BU2" s="502" t="s">
        <v>112</v>
      </c>
      <c r="BV2" s="502" t="s">
        <v>113</v>
      </c>
      <c r="BW2" s="502" t="s">
        <v>113</v>
      </c>
      <c r="BX2" s="502" t="s">
        <v>114</v>
      </c>
      <c r="BY2" s="502" t="s">
        <v>109</v>
      </c>
      <c r="BZ2" s="502" t="s">
        <v>109</v>
      </c>
      <c r="CA2" s="502" t="s">
        <v>110</v>
      </c>
      <c r="CB2" s="502" t="s">
        <v>110</v>
      </c>
      <c r="CC2" s="502" t="s">
        <v>115</v>
      </c>
      <c r="CD2" s="502" t="s">
        <v>115</v>
      </c>
      <c r="CE2" s="502" t="s">
        <v>112</v>
      </c>
      <c r="CF2" s="502" t="s">
        <v>116</v>
      </c>
      <c r="CG2" s="502" t="s">
        <v>109</v>
      </c>
      <c r="CH2" s="502" t="s">
        <v>109</v>
      </c>
      <c r="CI2" s="502" t="s">
        <v>110</v>
      </c>
      <c r="CJ2" s="502" t="s">
        <v>110</v>
      </c>
      <c r="CK2" s="502" t="s">
        <v>115</v>
      </c>
      <c r="CL2" s="502" t="s">
        <v>115</v>
      </c>
      <c r="CM2" s="502" t="s">
        <v>113</v>
      </c>
      <c r="CN2" s="502" t="s">
        <v>113</v>
      </c>
      <c r="CO2" s="502" t="s">
        <v>112</v>
      </c>
      <c r="CP2" s="502" t="s">
        <v>114</v>
      </c>
      <c r="CQ2" s="502" t="s">
        <v>116</v>
      </c>
      <c r="CR2" s="502" t="s">
        <v>109</v>
      </c>
      <c r="CS2" s="502" t="s">
        <v>109</v>
      </c>
      <c r="CT2" s="502" t="s">
        <v>110</v>
      </c>
      <c r="CU2" s="502" t="s">
        <v>110</v>
      </c>
      <c r="CV2" s="502" t="s">
        <v>115</v>
      </c>
      <c r="CW2" s="502" t="s">
        <v>115</v>
      </c>
      <c r="CX2" s="502" t="s">
        <v>119</v>
      </c>
      <c r="CY2" s="502" t="s">
        <v>119</v>
      </c>
      <c r="CZ2" s="502" t="s">
        <v>112</v>
      </c>
      <c r="DA2" s="502" t="s">
        <v>114</v>
      </c>
      <c r="DB2" s="502" t="s">
        <v>120</v>
      </c>
      <c r="DC2" s="502" t="s">
        <v>109</v>
      </c>
      <c r="DD2" s="502" t="s">
        <v>109</v>
      </c>
      <c r="DE2" s="502" t="s">
        <v>110</v>
      </c>
      <c r="DF2" s="502" t="s">
        <v>110</v>
      </c>
      <c r="DG2" s="502" t="s">
        <v>115</v>
      </c>
      <c r="DH2" s="502" t="s">
        <v>115</v>
      </c>
      <c r="DI2" s="502" t="s">
        <v>119</v>
      </c>
      <c r="DJ2" s="502" t="s">
        <v>119</v>
      </c>
      <c r="DK2" s="502" t="s">
        <v>112</v>
      </c>
      <c r="DL2" s="502" t="s">
        <v>114</v>
      </c>
      <c r="DM2" s="502" t="s">
        <v>120</v>
      </c>
    </row>
    <row r="3" spans="1:117" ht="32.6">
      <c r="A3" s="87" t="s">
        <v>125</v>
      </c>
      <c r="B3" s="370">
        <v>1</v>
      </c>
      <c r="C3" s="371">
        <v>1</v>
      </c>
      <c r="D3" s="371">
        <v>1</v>
      </c>
      <c r="E3" s="371">
        <v>1</v>
      </c>
      <c r="F3" s="371">
        <v>1</v>
      </c>
      <c r="G3" s="371">
        <v>1</v>
      </c>
      <c r="H3" s="371">
        <v>1</v>
      </c>
      <c r="I3" s="371">
        <v>2</v>
      </c>
      <c r="J3" s="371">
        <v>2</v>
      </c>
      <c r="K3" s="371">
        <v>2</v>
      </c>
      <c r="L3" s="371">
        <v>2</v>
      </c>
      <c r="M3" s="371">
        <v>2</v>
      </c>
      <c r="N3" s="371">
        <v>2</v>
      </c>
      <c r="O3" s="371">
        <v>2</v>
      </c>
      <c r="P3" s="371">
        <v>3</v>
      </c>
      <c r="Q3" s="371">
        <v>3</v>
      </c>
      <c r="R3" s="371">
        <v>3</v>
      </c>
      <c r="S3" s="371">
        <v>3</v>
      </c>
      <c r="T3" s="371">
        <v>3</v>
      </c>
      <c r="U3" s="371">
        <v>3</v>
      </c>
      <c r="V3" s="371">
        <v>3</v>
      </c>
      <c r="W3" s="371">
        <v>3</v>
      </c>
      <c r="X3" s="371">
        <v>3</v>
      </c>
      <c r="Y3" s="371">
        <v>3</v>
      </c>
      <c r="Z3" s="371">
        <v>3</v>
      </c>
      <c r="AA3" s="371">
        <v>4</v>
      </c>
      <c r="AB3" s="371">
        <v>4</v>
      </c>
      <c r="AC3" s="371">
        <v>4</v>
      </c>
      <c r="AD3" s="371">
        <v>4</v>
      </c>
      <c r="AE3" s="371">
        <v>4</v>
      </c>
      <c r="AF3" s="371">
        <v>4</v>
      </c>
      <c r="AG3" s="371">
        <v>4</v>
      </c>
      <c r="AH3" s="371">
        <v>4</v>
      </c>
      <c r="AI3" s="371">
        <v>4</v>
      </c>
      <c r="AJ3" s="371">
        <v>4</v>
      </c>
      <c r="AK3" s="371">
        <v>4</v>
      </c>
      <c r="AL3" s="371">
        <v>5</v>
      </c>
      <c r="AM3" s="371">
        <v>5</v>
      </c>
      <c r="AN3" s="371">
        <v>5</v>
      </c>
      <c r="AO3" s="371">
        <v>5</v>
      </c>
      <c r="AP3" s="371">
        <v>5</v>
      </c>
      <c r="AQ3" s="371">
        <v>5</v>
      </c>
      <c r="AR3" s="371">
        <v>5</v>
      </c>
      <c r="AS3" s="371">
        <v>5</v>
      </c>
      <c r="AT3" s="371">
        <v>5</v>
      </c>
      <c r="AU3" s="371">
        <v>5</v>
      </c>
      <c r="AV3" s="371">
        <v>5</v>
      </c>
      <c r="AW3" s="371">
        <v>6</v>
      </c>
      <c r="AX3" s="371">
        <v>6</v>
      </c>
      <c r="AY3" s="371">
        <v>6</v>
      </c>
      <c r="AZ3" s="371">
        <v>6</v>
      </c>
      <c r="BA3" s="371">
        <v>6</v>
      </c>
      <c r="BB3" s="371">
        <v>6</v>
      </c>
      <c r="BC3" s="371">
        <v>6</v>
      </c>
      <c r="BD3" s="371">
        <v>6</v>
      </c>
      <c r="BE3" s="371">
        <v>6</v>
      </c>
      <c r="BF3" s="371">
        <v>6</v>
      </c>
      <c r="BG3" s="371">
        <v>6</v>
      </c>
      <c r="BH3" s="503">
        <v>1</v>
      </c>
      <c r="BI3" s="504">
        <v>1</v>
      </c>
      <c r="BJ3" s="504">
        <v>1</v>
      </c>
      <c r="BK3" s="504">
        <v>1</v>
      </c>
      <c r="BL3" s="504">
        <v>1</v>
      </c>
      <c r="BM3" s="504">
        <v>1</v>
      </c>
      <c r="BN3" s="504">
        <v>1</v>
      </c>
      <c r="BO3" s="504">
        <v>2</v>
      </c>
      <c r="BP3" s="504">
        <v>2</v>
      </c>
      <c r="BQ3" s="504">
        <v>2</v>
      </c>
      <c r="BR3" s="504">
        <v>2</v>
      </c>
      <c r="BS3" s="504">
        <v>2</v>
      </c>
      <c r="BT3" s="504">
        <v>2</v>
      </c>
      <c r="BU3" s="504">
        <v>2</v>
      </c>
      <c r="BV3" s="504">
        <v>3</v>
      </c>
      <c r="BW3" s="504">
        <v>3</v>
      </c>
      <c r="BX3" s="504">
        <v>3</v>
      </c>
      <c r="BY3" s="504">
        <v>3</v>
      </c>
      <c r="BZ3" s="504">
        <v>3</v>
      </c>
      <c r="CA3" s="504">
        <v>3</v>
      </c>
      <c r="CB3" s="504">
        <v>3</v>
      </c>
      <c r="CC3" s="504">
        <v>3</v>
      </c>
      <c r="CD3" s="504">
        <v>3</v>
      </c>
      <c r="CE3" s="504">
        <v>3</v>
      </c>
      <c r="CF3" s="504">
        <v>3</v>
      </c>
      <c r="CG3" s="504">
        <v>4</v>
      </c>
      <c r="CH3" s="504">
        <v>4</v>
      </c>
      <c r="CI3" s="504">
        <v>4</v>
      </c>
      <c r="CJ3" s="504">
        <v>4</v>
      </c>
      <c r="CK3" s="504">
        <v>4</v>
      </c>
      <c r="CL3" s="504">
        <v>4</v>
      </c>
      <c r="CM3" s="504">
        <v>4</v>
      </c>
      <c r="CN3" s="504">
        <v>4</v>
      </c>
      <c r="CO3" s="504">
        <v>4</v>
      </c>
      <c r="CP3" s="504">
        <v>4</v>
      </c>
      <c r="CQ3" s="504">
        <v>4</v>
      </c>
      <c r="CR3" s="504">
        <v>5</v>
      </c>
      <c r="CS3" s="504">
        <v>5</v>
      </c>
      <c r="CT3" s="504">
        <v>5</v>
      </c>
      <c r="CU3" s="504">
        <v>5</v>
      </c>
      <c r="CV3" s="504">
        <v>5</v>
      </c>
      <c r="CW3" s="504">
        <v>5</v>
      </c>
      <c r="CX3" s="504">
        <v>5</v>
      </c>
      <c r="CY3" s="504">
        <v>5</v>
      </c>
      <c r="CZ3" s="504">
        <v>5</v>
      </c>
      <c r="DA3" s="504">
        <v>5</v>
      </c>
      <c r="DB3" s="504">
        <v>5</v>
      </c>
      <c r="DC3" s="504">
        <v>6</v>
      </c>
      <c r="DD3" s="504">
        <v>6</v>
      </c>
      <c r="DE3" s="504">
        <v>6</v>
      </c>
      <c r="DF3" s="504">
        <v>6</v>
      </c>
      <c r="DG3" s="504">
        <v>6</v>
      </c>
      <c r="DH3" s="504">
        <v>6</v>
      </c>
      <c r="DI3" s="504">
        <v>6</v>
      </c>
      <c r="DJ3" s="504">
        <v>6</v>
      </c>
      <c r="DK3" s="504">
        <v>6</v>
      </c>
      <c r="DL3" s="504">
        <v>6</v>
      </c>
      <c r="DM3" s="504">
        <v>6</v>
      </c>
    </row>
    <row r="4" spans="1:117" ht="16.3">
      <c r="A4" s="85" t="s">
        <v>107</v>
      </c>
      <c r="B4" s="368" t="s">
        <v>102</v>
      </c>
      <c r="C4" s="369" t="s">
        <v>103</v>
      </c>
      <c r="D4" s="369" t="s">
        <v>102</v>
      </c>
      <c r="E4" s="369" t="s">
        <v>103</v>
      </c>
      <c r="F4" s="369" t="s">
        <v>102</v>
      </c>
      <c r="G4" s="369" t="s">
        <v>103</v>
      </c>
      <c r="H4" s="369" t="s">
        <v>102</v>
      </c>
      <c r="I4" s="369" t="s">
        <v>102</v>
      </c>
      <c r="J4" s="369" t="s">
        <v>103</v>
      </c>
      <c r="K4" s="369" t="s">
        <v>102</v>
      </c>
      <c r="L4" s="369" t="s">
        <v>103</v>
      </c>
      <c r="M4" s="369" t="s">
        <v>102</v>
      </c>
      <c r="N4" s="369" t="s">
        <v>103</v>
      </c>
      <c r="O4" s="369" t="s">
        <v>102</v>
      </c>
      <c r="P4" s="369" t="s">
        <v>102</v>
      </c>
      <c r="Q4" s="369" t="s">
        <v>103</v>
      </c>
      <c r="R4" s="369" t="s">
        <v>102</v>
      </c>
      <c r="S4" s="369" t="s">
        <v>102</v>
      </c>
      <c r="T4" s="369" t="s">
        <v>103</v>
      </c>
      <c r="U4" s="369" t="s">
        <v>102</v>
      </c>
      <c r="V4" s="369" t="s">
        <v>103</v>
      </c>
      <c r="W4" s="369" t="s">
        <v>102</v>
      </c>
      <c r="X4" s="369" t="s">
        <v>103</v>
      </c>
      <c r="Y4" s="369" t="s">
        <v>102</v>
      </c>
      <c r="Z4" s="369" t="s">
        <v>102</v>
      </c>
      <c r="AA4" s="369" t="s">
        <v>102</v>
      </c>
      <c r="AB4" s="369" t="s">
        <v>103</v>
      </c>
      <c r="AC4" s="369" t="s">
        <v>102</v>
      </c>
      <c r="AD4" s="369" t="s">
        <v>103</v>
      </c>
      <c r="AE4" s="369" t="s">
        <v>102</v>
      </c>
      <c r="AF4" s="369" t="s">
        <v>103</v>
      </c>
      <c r="AG4" s="369" t="s">
        <v>102</v>
      </c>
      <c r="AH4" s="369" t="s">
        <v>103</v>
      </c>
      <c r="AI4" s="369" t="s">
        <v>102</v>
      </c>
      <c r="AJ4" s="369" t="s">
        <v>102</v>
      </c>
      <c r="AK4" s="369" t="s">
        <v>102</v>
      </c>
      <c r="AL4" s="369" t="s">
        <v>102</v>
      </c>
      <c r="AM4" s="369" t="s">
        <v>103</v>
      </c>
      <c r="AN4" s="369" t="s">
        <v>102</v>
      </c>
      <c r="AO4" s="369" t="s">
        <v>103</v>
      </c>
      <c r="AP4" s="369" t="s">
        <v>102</v>
      </c>
      <c r="AQ4" s="369" t="s">
        <v>103</v>
      </c>
      <c r="AR4" s="369" t="s">
        <v>102</v>
      </c>
      <c r="AS4" s="369" t="s">
        <v>103</v>
      </c>
      <c r="AT4" s="369" t="s">
        <v>102</v>
      </c>
      <c r="AU4" s="369" t="s">
        <v>102</v>
      </c>
      <c r="AV4" s="369" t="s">
        <v>102</v>
      </c>
      <c r="AW4" s="369" t="s">
        <v>102</v>
      </c>
      <c r="AX4" s="369" t="s">
        <v>103</v>
      </c>
      <c r="AY4" s="369" t="s">
        <v>102</v>
      </c>
      <c r="AZ4" s="369" t="s">
        <v>103</v>
      </c>
      <c r="BA4" s="369" t="s">
        <v>102</v>
      </c>
      <c r="BB4" s="369" t="s">
        <v>103</v>
      </c>
      <c r="BC4" s="369" t="s">
        <v>102</v>
      </c>
      <c r="BD4" s="369" t="s">
        <v>103</v>
      </c>
      <c r="BE4" s="369" t="s">
        <v>102</v>
      </c>
      <c r="BF4" s="369" t="s">
        <v>102</v>
      </c>
      <c r="BG4" s="369" t="s">
        <v>102</v>
      </c>
      <c r="BH4" s="505" t="s">
        <v>102</v>
      </c>
      <c r="BI4" s="502" t="s">
        <v>103</v>
      </c>
      <c r="BJ4" s="502" t="s">
        <v>102</v>
      </c>
      <c r="BK4" s="502" t="s">
        <v>103</v>
      </c>
      <c r="BL4" s="502" t="s">
        <v>102</v>
      </c>
      <c r="BM4" s="502" t="s">
        <v>103</v>
      </c>
      <c r="BN4" s="502" t="s">
        <v>102</v>
      </c>
      <c r="BO4" s="502" t="s">
        <v>102</v>
      </c>
      <c r="BP4" s="502" t="s">
        <v>103</v>
      </c>
      <c r="BQ4" s="502" t="s">
        <v>102</v>
      </c>
      <c r="BR4" s="502" t="s">
        <v>103</v>
      </c>
      <c r="BS4" s="502" t="s">
        <v>102</v>
      </c>
      <c r="BT4" s="502" t="s">
        <v>103</v>
      </c>
      <c r="BU4" s="502" t="s">
        <v>102</v>
      </c>
      <c r="BV4" s="502" t="s">
        <v>102</v>
      </c>
      <c r="BW4" s="502" t="s">
        <v>103</v>
      </c>
      <c r="BX4" s="502" t="s">
        <v>102</v>
      </c>
      <c r="BY4" s="502" t="s">
        <v>102</v>
      </c>
      <c r="BZ4" s="502" t="s">
        <v>103</v>
      </c>
      <c r="CA4" s="502" t="s">
        <v>102</v>
      </c>
      <c r="CB4" s="502" t="s">
        <v>103</v>
      </c>
      <c r="CC4" s="502" t="s">
        <v>102</v>
      </c>
      <c r="CD4" s="502" t="s">
        <v>103</v>
      </c>
      <c r="CE4" s="502" t="s">
        <v>102</v>
      </c>
      <c r="CF4" s="502" t="s">
        <v>102</v>
      </c>
      <c r="CG4" s="502" t="s">
        <v>102</v>
      </c>
      <c r="CH4" s="502" t="s">
        <v>103</v>
      </c>
      <c r="CI4" s="502" t="s">
        <v>102</v>
      </c>
      <c r="CJ4" s="502" t="s">
        <v>103</v>
      </c>
      <c r="CK4" s="502" t="s">
        <v>102</v>
      </c>
      <c r="CL4" s="502" t="s">
        <v>103</v>
      </c>
      <c r="CM4" s="502" t="s">
        <v>102</v>
      </c>
      <c r="CN4" s="502" t="s">
        <v>103</v>
      </c>
      <c r="CO4" s="502" t="s">
        <v>102</v>
      </c>
      <c r="CP4" s="502" t="s">
        <v>102</v>
      </c>
      <c r="CQ4" s="502" t="s">
        <v>102</v>
      </c>
      <c r="CR4" s="502" t="s">
        <v>102</v>
      </c>
      <c r="CS4" s="502" t="s">
        <v>103</v>
      </c>
      <c r="CT4" s="502" t="s">
        <v>102</v>
      </c>
      <c r="CU4" s="502" t="s">
        <v>103</v>
      </c>
      <c r="CV4" s="502" t="s">
        <v>102</v>
      </c>
      <c r="CW4" s="502" t="s">
        <v>103</v>
      </c>
      <c r="CX4" s="502" t="s">
        <v>102</v>
      </c>
      <c r="CY4" s="502" t="s">
        <v>103</v>
      </c>
      <c r="CZ4" s="502" t="s">
        <v>102</v>
      </c>
      <c r="DA4" s="502" t="s">
        <v>102</v>
      </c>
      <c r="DB4" s="502" t="s">
        <v>102</v>
      </c>
      <c r="DC4" s="502" t="s">
        <v>102</v>
      </c>
      <c r="DD4" s="502" t="s">
        <v>103</v>
      </c>
      <c r="DE4" s="502" t="s">
        <v>102</v>
      </c>
      <c r="DF4" s="502" t="s">
        <v>103</v>
      </c>
      <c r="DG4" s="502" t="s">
        <v>102</v>
      </c>
      <c r="DH4" s="502" t="s">
        <v>103</v>
      </c>
      <c r="DI4" s="502" t="s">
        <v>102</v>
      </c>
      <c r="DJ4" s="502" t="s">
        <v>103</v>
      </c>
      <c r="DK4" s="502" t="s">
        <v>102</v>
      </c>
      <c r="DL4" s="502" t="s">
        <v>102</v>
      </c>
      <c r="DM4" s="502" t="s">
        <v>102</v>
      </c>
    </row>
    <row r="5" spans="1:117" ht="28.2" customHeight="1">
      <c r="A5" s="355" t="s">
        <v>239</v>
      </c>
      <c r="B5" s="85" t="s">
        <v>241</v>
      </c>
      <c r="C5" s="85" t="s">
        <v>240</v>
      </c>
      <c r="D5" s="85" t="s">
        <v>240</v>
      </c>
      <c r="E5" s="85" t="s">
        <v>240</v>
      </c>
      <c r="F5" s="85" t="s">
        <v>240</v>
      </c>
      <c r="G5" s="85" t="s">
        <v>240</v>
      </c>
      <c r="H5" s="85" t="s">
        <v>240</v>
      </c>
      <c r="I5" s="85" t="s">
        <v>240</v>
      </c>
      <c r="J5" s="85" t="s">
        <v>240</v>
      </c>
      <c r="K5" s="85" t="s">
        <v>240</v>
      </c>
      <c r="L5" s="85" t="s">
        <v>240</v>
      </c>
      <c r="M5" s="85" t="s">
        <v>240</v>
      </c>
      <c r="N5" s="85" t="s">
        <v>240</v>
      </c>
      <c r="O5" s="85" t="s">
        <v>240</v>
      </c>
      <c r="P5" s="85" t="s">
        <v>240</v>
      </c>
      <c r="Q5" s="85" t="s">
        <v>240</v>
      </c>
      <c r="R5" s="85" t="s">
        <v>240</v>
      </c>
      <c r="S5" s="85" t="s">
        <v>240</v>
      </c>
      <c r="T5" s="85" t="s">
        <v>240</v>
      </c>
      <c r="U5" s="85" t="s">
        <v>240</v>
      </c>
      <c r="V5" s="85" t="s">
        <v>240</v>
      </c>
      <c r="W5" s="85" t="s">
        <v>240</v>
      </c>
      <c r="X5" s="85" t="s">
        <v>240</v>
      </c>
      <c r="Y5" s="85" t="s">
        <v>240</v>
      </c>
      <c r="Z5" s="85" t="s">
        <v>240</v>
      </c>
      <c r="AA5" s="85" t="s">
        <v>240</v>
      </c>
      <c r="AB5" s="85" t="s">
        <v>240</v>
      </c>
      <c r="AC5" s="85" t="s">
        <v>240</v>
      </c>
      <c r="AD5" s="85" t="s">
        <v>240</v>
      </c>
      <c r="AE5" s="85" t="s">
        <v>240</v>
      </c>
      <c r="AF5" s="85" t="s">
        <v>240</v>
      </c>
      <c r="AG5" s="85" t="s">
        <v>240</v>
      </c>
      <c r="AH5" s="85" t="s">
        <v>240</v>
      </c>
      <c r="AI5" s="85" t="s">
        <v>240</v>
      </c>
      <c r="AJ5" s="85" t="s">
        <v>240</v>
      </c>
      <c r="AK5" s="85" t="s">
        <v>240</v>
      </c>
      <c r="AL5" s="85" t="s">
        <v>240</v>
      </c>
      <c r="AM5" s="85" t="s">
        <v>240</v>
      </c>
      <c r="AN5" s="85" t="s">
        <v>240</v>
      </c>
      <c r="AO5" s="85" t="s">
        <v>240</v>
      </c>
      <c r="AP5" s="85" t="s">
        <v>240</v>
      </c>
      <c r="AQ5" s="85" t="s">
        <v>240</v>
      </c>
      <c r="AR5" s="85" t="s">
        <v>240</v>
      </c>
      <c r="AS5" s="85" t="s">
        <v>240</v>
      </c>
      <c r="AT5" s="85" t="s">
        <v>240</v>
      </c>
      <c r="AU5" s="85" t="s">
        <v>240</v>
      </c>
      <c r="AV5" s="85" t="s">
        <v>240</v>
      </c>
      <c r="AW5" s="85" t="s">
        <v>240</v>
      </c>
      <c r="AX5" s="85" t="s">
        <v>240</v>
      </c>
      <c r="AY5" s="85" t="s">
        <v>240</v>
      </c>
      <c r="AZ5" s="85" t="s">
        <v>240</v>
      </c>
      <c r="BA5" s="85" t="s">
        <v>240</v>
      </c>
      <c r="BB5" s="85" t="s">
        <v>240</v>
      </c>
      <c r="BC5" s="85" t="s">
        <v>240</v>
      </c>
      <c r="BD5" s="85" t="s">
        <v>240</v>
      </c>
      <c r="BE5" s="85" t="s">
        <v>240</v>
      </c>
      <c r="BF5" s="86" t="s">
        <v>240</v>
      </c>
      <c r="BG5" s="76" t="s">
        <v>240</v>
      </c>
      <c r="BH5" s="506" t="s">
        <v>241</v>
      </c>
      <c r="BI5" s="506" t="s">
        <v>240</v>
      </c>
      <c r="BJ5" s="506" t="s">
        <v>240</v>
      </c>
      <c r="BK5" s="506" t="s">
        <v>240</v>
      </c>
      <c r="BL5" s="506" t="s">
        <v>240</v>
      </c>
      <c r="BM5" s="506" t="s">
        <v>240</v>
      </c>
      <c r="BN5" s="506" t="s">
        <v>240</v>
      </c>
      <c r="BO5" s="506" t="s">
        <v>240</v>
      </c>
      <c r="BP5" s="506" t="s">
        <v>240</v>
      </c>
      <c r="BQ5" s="506" t="s">
        <v>240</v>
      </c>
      <c r="BR5" s="506" t="s">
        <v>240</v>
      </c>
      <c r="BS5" s="506" t="s">
        <v>240</v>
      </c>
      <c r="BT5" s="506" t="s">
        <v>240</v>
      </c>
      <c r="BU5" s="506" t="s">
        <v>240</v>
      </c>
      <c r="BV5" s="506" t="s">
        <v>240</v>
      </c>
      <c r="BW5" s="506" t="s">
        <v>240</v>
      </c>
      <c r="BX5" s="506" t="s">
        <v>240</v>
      </c>
      <c r="BY5" s="506" t="s">
        <v>240</v>
      </c>
      <c r="BZ5" s="506" t="s">
        <v>240</v>
      </c>
      <c r="CA5" s="506" t="s">
        <v>240</v>
      </c>
      <c r="CB5" s="506" t="s">
        <v>240</v>
      </c>
      <c r="CC5" s="506" t="s">
        <v>240</v>
      </c>
      <c r="CD5" s="506" t="s">
        <v>240</v>
      </c>
      <c r="CE5" s="506" t="s">
        <v>240</v>
      </c>
      <c r="CF5" s="506" t="s">
        <v>240</v>
      </c>
      <c r="CG5" s="506" t="s">
        <v>240</v>
      </c>
      <c r="CH5" s="506" t="s">
        <v>240</v>
      </c>
      <c r="CI5" s="506" t="s">
        <v>240</v>
      </c>
      <c r="CJ5" s="506" t="s">
        <v>240</v>
      </c>
      <c r="CK5" s="506" t="s">
        <v>240</v>
      </c>
      <c r="CL5" s="506" t="s">
        <v>240</v>
      </c>
      <c r="CM5" s="506" t="s">
        <v>240</v>
      </c>
      <c r="CN5" s="506" t="s">
        <v>240</v>
      </c>
      <c r="CO5" s="506" t="s">
        <v>240</v>
      </c>
      <c r="CP5" s="506" t="s">
        <v>240</v>
      </c>
      <c r="CQ5" s="506" t="s">
        <v>240</v>
      </c>
      <c r="CR5" s="506" t="s">
        <v>240</v>
      </c>
      <c r="CS5" s="506" t="s">
        <v>240</v>
      </c>
      <c r="CT5" s="506" t="s">
        <v>240</v>
      </c>
      <c r="CU5" s="506" t="s">
        <v>240</v>
      </c>
      <c r="CV5" s="506" t="s">
        <v>240</v>
      </c>
      <c r="CW5" s="506" t="s">
        <v>240</v>
      </c>
      <c r="CX5" s="506" t="s">
        <v>240</v>
      </c>
      <c r="CY5" s="506" t="s">
        <v>240</v>
      </c>
      <c r="CZ5" s="506" t="s">
        <v>240</v>
      </c>
      <c r="DA5" s="506" t="s">
        <v>240</v>
      </c>
      <c r="DB5" s="506" t="s">
        <v>240</v>
      </c>
      <c r="DC5" s="506" t="s">
        <v>240</v>
      </c>
      <c r="DD5" s="506" t="s">
        <v>240</v>
      </c>
      <c r="DE5" s="506" t="s">
        <v>240</v>
      </c>
      <c r="DF5" s="506" t="s">
        <v>240</v>
      </c>
      <c r="DG5" s="506" t="s">
        <v>240</v>
      </c>
      <c r="DH5" s="506" t="s">
        <v>240</v>
      </c>
      <c r="DI5" s="506" t="s">
        <v>240</v>
      </c>
      <c r="DJ5" s="506" t="s">
        <v>240</v>
      </c>
      <c r="DK5" s="506" t="s">
        <v>240</v>
      </c>
      <c r="DL5" s="507" t="s">
        <v>240</v>
      </c>
      <c r="DM5" s="508" t="s">
        <v>240</v>
      </c>
    </row>
    <row r="6" spans="1:117" ht="16.3">
      <c r="A6" s="88" t="s">
        <v>126</v>
      </c>
      <c r="B6" s="410">
        <v>124</v>
      </c>
      <c r="C6" s="371">
        <v>88</v>
      </c>
      <c r="D6" s="371">
        <v>73</v>
      </c>
      <c r="E6" s="371">
        <v>112</v>
      </c>
      <c r="F6" s="371">
        <v>109</v>
      </c>
      <c r="G6" s="371">
        <v>44</v>
      </c>
      <c r="H6" s="371">
        <v>79</v>
      </c>
      <c r="I6" s="371">
        <v>93</v>
      </c>
      <c r="J6" s="371">
        <v>57</v>
      </c>
      <c r="K6" s="371">
        <v>81</v>
      </c>
      <c r="L6" s="371">
        <v>106</v>
      </c>
      <c r="M6" s="371">
        <v>94</v>
      </c>
      <c r="N6" s="371">
        <v>33</v>
      </c>
      <c r="O6" s="371">
        <v>71</v>
      </c>
      <c r="P6" s="371">
        <v>71</v>
      </c>
      <c r="Q6" s="371">
        <v>36</v>
      </c>
      <c r="R6" s="371">
        <v>50</v>
      </c>
      <c r="S6" s="371">
        <v>82</v>
      </c>
      <c r="T6" s="371">
        <v>56</v>
      </c>
      <c r="U6" s="371">
        <v>78</v>
      </c>
      <c r="V6" s="371">
        <v>100</v>
      </c>
      <c r="W6" s="371">
        <v>65</v>
      </c>
      <c r="X6" s="371">
        <v>28</v>
      </c>
      <c r="Y6" s="371">
        <v>75</v>
      </c>
      <c r="Z6" s="371">
        <v>113</v>
      </c>
      <c r="AA6" s="371">
        <v>92</v>
      </c>
      <c r="AB6" s="371">
        <v>56</v>
      </c>
      <c r="AC6" s="371">
        <v>81</v>
      </c>
      <c r="AD6" s="371">
        <v>112</v>
      </c>
      <c r="AE6" s="371">
        <v>83</v>
      </c>
      <c r="AF6" s="371">
        <v>23</v>
      </c>
      <c r="AG6" s="371">
        <v>67</v>
      </c>
      <c r="AH6" s="371">
        <v>36</v>
      </c>
      <c r="AI6" s="371">
        <v>75</v>
      </c>
      <c r="AJ6" s="371">
        <v>48</v>
      </c>
      <c r="AK6" s="371">
        <v>119</v>
      </c>
      <c r="AL6" s="371">
        <v>59</v>
      </c>
      <c r="AM6" s="371">
        <v>47</v>
      </c>
      <c r="AN6" s="371">
        <v>68</v>
      </c>
      <c r="AO6" s="371">
        <v>103</v>
      </c>
      <c r="AP6" s="371">
        <v>65</v>
      </c>
      <c r="AQ6" s="371">
        <v>17</v>
      </c>
      <c r="AR6" s="371">
        <v>52</v>
      </c>
      <c r="AS6" s="371">
        <v>28</v>
      </c>
      <c r="AT6" s="371">
        <v>64</v>
      </c>
      <c r="AU6" s="371">
        <v>38</v>
      </c>
      <c r="AV6" s="371">
        <v>75</v>
      </c>
      <c r="AW6" s="371">
        <v>64</v>
      </c>
      <c r="AX6" s="371">
        <v>49</v>
      </c>
      <c r="AY6" s="371">
        <v>66</v>
      </c>
      <c r="AZ6" s="371">
        <v>83</v>
      </c>
      <c r="BA6" s="371">
        <v>62</v>
      </c>
      <c r="BB6" s="371">
        <v>28</v>
      </c>
      <c r="BC6" s="371">
        <v>60</v>
      </c>
      <c r="BD6" s="371">
        <v>33</v>
      </c>
      <c r="BE6" s="371">
        <v>75</v>
      </c>
      <c r="BF6" s="371">
        <v>42</v>
      </c>
      <c r="BG6" s="371">
        <v>82</v>
      </c>
      <c r="BH6" s="504">
        <v>3</v>
      </c>
      <c r="BI6" s="504">
        <v>2</v>
      </c>
      <c r="BJ6" s="504">
        <v>2</v>
      </c>
      <c r="BK6" s="504">
        <v>3</v>
      </c>
      <c r="BL6" s="504">
        <v>3</v>
      </c>
      <c r="BM6" s="504">
        <v>1</v>
      </c>
      <c r="BN6" s="504">
        <v>2</v>
      </c>
      <c r="BO6" s="504">
        <v>2</v>
      </c>
      <c r="BP6" s="504">
        <v>1</v>
      </c>
      <c r="BQ6" s="504">
        <v>2</v>
      </c>
      <c r="BR6" s="504">
        <v>3</v>
      </c>
      <c r="BS6" s="504">
        <v>2</v>
      </c>
      <c r="BT6" s="504">
        <v>1</v>
      </c>
      <c r="BU6" s="504">
        <v>2</v>
      </c>
      <c r="BV6" s="504">
        <v>2</v>
      </c>
      <c r="BW6" s="504">
        <v>1</v>
      </c>
      <c r="BX6" s="504">
        <v>1</v>
      </c>
      <c r="BY6" s="504">
        <v>2</v>
      </c>
      <c r="BZ6" s="504">
        <v>1</v>
      </c>
      <c r="CA6" s="504">
        <v>2</v>
      </c>
      <c r="CB6" s="504">
        <v>2</v>
      </c>
      <c r="CC6" s="504">
        <v>2</v>
      </c>
      <c r="CD6" s="504">
        <v>1</v>
      </c>
      <c r="CE6" s="504">
        <v>2</v>
      </c>
      <c r="CF6" s="504">
        <v>3</v>
      </c>
      <c r="CG6" s="504">
        <v>2</v>
      </c>
      <c r="CH6" s="504">
        <v>1</v>
      </c>
      <c r="CI6" s="504">
        <v>2</v>
      </c>
      <c r="CJ6" s="504">
        <v>3</v>
      </c>
      <c r="CK6" s="504">
        <v>2</v>
      </c>
      <c r="CL6" s="504">
        <v>1</v>
      </c>
      <c r="CM6" s="504">
        <v>2</v>
      </c>
      <c r="CN6" s="504">
        <v>1</v>
      </c>
      <c r="CO6" s="504">
        <v>2</v>
      </c>
      <c r="CP6" s="504">
        <v>1</v>
      </c>
      <c r="CQ6" s="504">
        <v>3</v>
      </c>
      <c r="CR6" s="504">
        <v>0</v>
      </c>
      <c r="CS6" s="504">
        <v>0</v>
      </c>
      <c r="CT6" s="504">
        <v>0</v>
      </c>
      <c r="CU6" s="504">
        <v>0</v>
      </c>
      <c r="CV6" s="504">
        <v>0</v>
      </c>
      <c r="CW6" s="504">
        <v>0</v>
      </c>
      <c r="CX6" s="504">
        <v>0</v>
      </c>
      <c r="CY6" s="504">
        <v>0</v>
      </c>
      <c r="CZ6" s="504">
        <v>0</v>
      </c>
      <c r="DA6" s="504">
        <v>0</v>
      </c>
      <c r="DB6" s="504">
        <v>0</v>
      </c>
      <c r="DC6" s="504">
        <v>0</v>
      </c>
      <c r="DD6" s="504">
        <v>0</v>
      </c>
      <c r="DE6" s="504">
        <v>0</v>
      </c>
      <c r="DF6" s="504">
        <v>0</v>
      </c>
      <c r="DG6" s="504">
        <v>0</v>
      </c>
      <c r="DH6" s="504">
        <v>0</v>
      </c>
      <c r="DI6" s="504">
        <v>0</v>
      </c>
      <c r="DJ6" s="504">
        <v>0</v>
      </c>
      <c r="DK6" s="504">
        <v>0</v>
      </c>
      <c r="DL6" s="504">
        <v>0</v>
      </c>
      <c r="DM6" s="504">
        <v>0</v>
      </c>
    </row>
    <row r="7" spans="1:117" ht="16.3">
      <c r="A7" s="89" t="s">
        <v>88</v>
      </c>
      <c r="B7" s="410">
        <v>103</v>
      </c>
      <c r="C7" s="371">
        <v>76</v>
      </c>
      <c r="D7" s="371">
        <v>71</v>
      </c>
      <c r="E7" s="371">
        <v>134</v>
      </c>
      <c r="F7" s="371">
        <v>85</v>
      </c>
      <c r="G7" s="371">
        <v>33</v>
      </c>
      <c r="H7" s="371">
        <v>60</v>
      </c>
      <c r="I7" s="371">
        <v>75</v>
      </c>
      <c r="J7" s="371">
        <v>52</v>
      </c>
      <c r="K7" s="371">
        <v>83</v>
      </c>
      <c r="L7" s="371">
        <v>107</v>
      </c>
      <c r="M7" s="371">
        <v>83</v>
      </c>
      <c r="N7" s="371">
        <v>25</v>
      </c>
      <c r="O7" s="371">
        <v>92</v>
      </c>
      <c r="P7" s="371">
        <v>67</v>
      </c>
      <c r="Q7" s="371">
        <v>28</v>
      </c>
      <c r="R7" s="371">
        <v>52</v>
      </c>
      <c r="S7" s="371">
        <v>90</v>
      </c>
      <c r="T7" s="371">
        <v>48</v>
      </c>
      <c r="U7" s="371">
        <v>90</v>
      </c>
      <c r="V7" s="371">
        <v>139</v>
      </c>
      <c r="W7" s="371">
        <v>64</v>
      </c>
      <c r="X7" s="371">
        <v>20</v>
      </c>
      <c r="Y7" s="371">
        <v>90</v>
      </c>
      <c r="Z7" s="371">
        <v>103</v>
      </c>
      <c r="AA7" s="371">
        <v>92</v>
      </c>
      <c r="AB7" s="371">
        <v>48</v>
      </c>
      <c r="AC7" s="371">
        <v>92</v>
      </c>
      <c r="AD7" s="371">
        <v>115</v>
      </c>
      <c r="AE7" s="371">
        <v>71</v>
      </c>
      <c r="AF7" s="371">
        <v>21</v>
      </c>
      <c r="AG7" s="371">
        <v>68</v>
      </c>
      <c r="AH7" s="371">
        <v>32</v>
      </c>
      <c r="AI7" s="371">
        <v>113</v>
      </c>
      <c r="AJ7" s="371">
        <v>48</v>
      </c>
      <c r="AK7" s="371">
        <v>112</v>
      </c>
      <c r="AL7" s="371">
        <v>57</v>
      </c>
      <c r="AM7" s="371">
        <v>46</v>
      </c>
      <c r="AN7" s="371">
        <v>66</v>
      </c>
      <c r="AO7" s="371">
        <v>104</v>
      </c>
      <c r="AP7" s="371">
        <v>52</v>
      </c>
      <c r="AQ7" s="371">
        <v>17</v>
      </c>
      <c r="AR7" s="371">
        <v>52</v>
      </c>
      <c r="AS7" s="371">
        <v>28</v>
      </c>
      <c r="AT7" s="371">
        <v>55</v>
      </c>
      <c r="AU7" s="371">
        <v>33</v>
      </c>
      <c r="AV7" s="371">
        <v>69</v>
      </c>
      <c r="AW7" s="371">
        <v>62</v>
      </c>
      <c r="AX7" s="371">
        <v>43</v>
      </c>
      <c r="AY7" s="371">
        <v>68</v>
      </c>
      <c r="AZ7" s="371">
        <v>79</v>
      </c>
      <c r="BA7" s="371">
        <v>49</v>
      </c>
      <c r="BB7" s="371">
        <v>22</v>
      </c>
      <c r="BC7" s="371">
        <v>55</v>
      </c>
      <c r="BD7" s="371">
        <v>21</v>
      </c>
      <c r="BE7" s="371">
        <v>58</v>
      </c>
      <c r="BF7" s="371">
        <v>44</v>
      </c>
      <c r="BG7" s="371">
        <v>71</v>
      </c>
      <c r="BH7" s="504">
        <v>2</v>
      </c>
      <c r="BI7" s="504">
        <v>2</v>
      </c>
      <c r="BJ7" s="504">
        <v>2</v>
      </c>
      <c r="BK7" s="504">
        <v>3</v>
      </c>
      <c r="BL7" s="504">
        <v>2</v>
      </c>
      <c r="BM7" s="504">
        <v>1</v>
      </c>
      <c r="BN7" s="504">
        <v>1</v>
      </c>
      <c r="BO7" s="504">
        <v>2</v>
      </c>
      <c r="BP7" s="504">
        <v>1</v>
      </c>
      <c r="BQ7" s="504">
        <v>2</v>
      </c>
      <c r="BR7" s="504">
        <v>3</v>
      </c>
      <c r="BS7" s="504">
        <v>2</v>
      </c>
      <c r="BT7" s="504">
        <v>1</v>
      </c>
      <c r="BU7" s="504">
        <v>2</v>
      </c>
      <c r="BV7" s="504">
        <v>2</v>
      </c>
      <c r="BW7" s="504">
        <v>1</v>
      </c>
      <c r="BX7" s="504">
        <v>1</v>
      </c>
      <c r="BY7" s="504">
        <v>2</v>
      </c>
      <c r="BZ7" s="504">
        <v>1</v>
      </c>
      <c r="CA7" s="504">
        <v>2</v>
      </c>
      <c r="CB7" s="504">
        <v>3</v>
      </c>
      <c r="CC7" s="504">
        <v>2</v>
      </c>
      <c r="CD7" s="504">
        <v>0</v>
      </c>
      <c r="CE7" s="504">
        <v>2</v>
      </c>
      <c r="CF7" s="504">
        <v>2</v>
      </c>
      <c r="CG7" s="504">
        <v>2</v>
      </c>
      <c r="CH7" s="504">
        <v>1</v>
      </c>
      <c r="CI7" s="504">
        <v>2</v>
      </c>
      <c r="CJ7" s="504">
        <v>3</v>
      </c>
      <c r="CK7" s="504">
        <v>2</v>
      </c>
      <c r="CL7" s="504">
        <v>0</v>
      </c>
      <c r="CM7" s="504">
        <v>2</v>
      </c>
      <c r="CN7" s="504">
        <v>1</v>
      </c>
      <c r="CO7" s="504">
        <v>3</v>
      </c>
      <c r="CP7" s="504">
        <v>1</v>
      </c>
      <c r="CQ7" s="504">
        <v>3</v>
      </c>
      <c r="CR7" s="504">
        <v>0</v>
      </c>
      <c r="CS7" s="504">
        <v>0</v>
      </c>
      <c r="CT7" s="502" t="s">
        <v>260</v>
      </c>
      <c r="CU7" s="502" t="s">
        <v>260</v>
      </c>
      <c r="CV7" s="504">
        <v>0</v>
      </c>
      <c r="CW7" s="504">
        <v>0</v>
      </c>
      <c r="CX7" s="504">
        <v>0</v>
      </c>
      <c r="CY7" s="504">
        <v>0</v>
      </c>
      <c r="CZ7" s="504">
        <v>0</v>
      </c>
      <c r="DA7" s="504">
        <v>0</v>
      </c>
      <c r="DB7" s="504">
        <v>0</v>
      </c>
      <c r="DC7" s="504">
        <v>0</v>
      </c>
      <c r="DD7" s="504">
        <v>0</v>
      </c>
      <c r="DE7" s="502" t="s">
        <v>260</v>
      </c>
      <c r="DF7" s="502" t="s">
        <v>260</v>
      </c>
      <c r="DG7" s="504">
        <v>0</v>
      </c>
      <c r="DH7" s="504">
        <v>0</v>
      </c>
      <c r="DI7" s="504">
        <v>0</v>
      </c>
      <c r="DJ7" s="504">
        <v>0</v>
      </c>
      <c r="DK7" s="504">
        <v>0</v>
      </c>
      <c r="DL7" s="504">
        <v>0</v>
      </c>
      <c r="DM7" s="504">
        <v>0</v>
      </c>
    </row>
    <row r="8" spans="1:117" ht="16.3">
      <c r="A8" s="89" t="s">
        <v>89</v>
      </c>
      <c r="B8" s="410">
        <v>109</v>
      </c>
      <c r="C8" s="371">
        <v>69</v>
      </c>
      <c r="D8" s="371">
        <v>71</v>
      </c>
      <c r="E8" s="371">
        <v>106</v>
      </c>
      <c r="F8" s="371">
        <v>93</v>
      </c>
      <c r="G8" s="371">
        <v>34</v>
      </c>
      <c r="H8" s="371">
        <v>63</v>
      </c>
      <c r="I8" s="371">
        <v>88</v>
      </c>
      <c r="J8" s="371">
        <v>45</v>
      </c>
      <c r="K8" s="371">
        <v>79</v>
      </c>
      <c r="L8" s="371">
        <v>115</v>
      </c>
      <c r="M8" s="371">
        <v>87</v>
      </c>
      <c r="N8" s="371">
        <v>20</v>
      </c>
      <c r="O8" s="371">
        <v>71</v>
      </c>
      <c r="P8" s="371">
        <v>62</v>
      </c>
      <c r="Q8" s="371">
        <v>25</v>
      </c>
      <c r="R8" s="371">
        <v>44</v>
      </c>
      <c r="S8" s="371">
        <v>82</v>
      </c>
      <c r="T8" s="371">
        <v>48</v>
      </c>
      <c r="U8" s="371">
        <v>76</v>
      </c>
      <c r="V8" s="371">
        <v>133</v>
      </c>
      <c r="W8" s="371">
        <v>63</v>
      </c>
      <c r="X8" s="371">
        <v>24</v>
      </c>
      <c r="Y8" s="371">
        <v>90</v>
      </c>
      <c r="Z8" s="369">
        <v>0</v>
      </c>
      <c r="AA8" s="371">
        <v>90</v>
      </c>
      <c r="AB8" s="371">
        <v>52</v>
      </c>
      <c r="AC8" s="371">
        <v>88</v>
      </c>
      <c r="AD8" s="371">
        <v>118</v>
      </c>
      <c r="AE8" s="371">
        <v>70</v>
      </c>
      <c r="AF8" s="371">
        <v>18</v>
      </c>
      <c r="AG8" s="371">
        <v>69</v>
      </c>
      <c r="AH8" s="371">
        <v>36</v>
      </c>
      <c r="AI8" s="371">
        <v>96</v>
      </c>
      <c r="AJ8" s="371">
        <v>46</v>
      </c>
      <c r="AK8" s="369">
        <v>0</v>
      </c>
      <c r="AL8" s="371">
        <v>62</v>
      </c>
      <c r="AM8" s="371">
        <v>47</v>
      </c>
      <c r="AN8" s="371">
        <v>65</v>
      </c>
      <c r="AO8" s="371">
        <v>84</v>
      </c>
      <c r="AP8" s="371">
        <v>78</v>
      </c>
      <c r="AQ8" s="371">
        <v>22</v>
      </c>
      <c r="AR8" s="371">
        <v>49</v>
      </c>
      <c r="AS8" s="371">
        <v>27</v>
      </c>
      <c r="AT8" s="371">
        <v>45</v>
      </c>
      <c r="AU8" s="371">
        <v>31</v>
      </c>
      <c r="AV8" s="371">
        <v>63</v>
      </c>
      <c r="AW8" s="371">
        <v>62</v>
      </c>
      <c r="AX8" s="371">
        <v>47</v>
      </c>
      <c r="AY8" s="371">
        <v>62</v>
      </c>
      <c r="AZ8" s="371">
        <v>68</v>
      </c>
      <c r="BA8" s="371">
        <v>67</v>
      </c>
      <c r="BB8" s="371">
        <v>19</v>
      </c>
      <c r="BC8" s="371">
        <v>57</v>
      </c>
      <c r="BD8" s="371">
        <v>27</v>
      </c>
      <c r="BE8" s="371">
        <v>49</v>
      </c>
      <c r="BF8" s="371">
        <v>31</v>
      </c>
      <c r="BG8" s="371">
        <v>61</v>
      </c>
      <c r="BH8" s="504">
        <v>3</v>
      </c>
      <c r="BI8" s="504">
        <v>2</v>
      </c>
      <c r="BJ8" s="504">
        <v>2</v>
      </c>
      <c r="BK8" s="504">
        <v>2</v>
      </c>
      <c r="BL8" s="504">
        <v>2</v>
      </c>
      <c r="BM8" s="504">
        <v>1</v>
      </c>
      <c r="BN8" s="504">
        <v>2</v>
      </c>
      <c r="BO8" s="504">
        <v>2</v>
      </c>
      <c r="BP8" s="504">
        <v>1</v>
      </c>
      <c r="BQ8" s="504">
        <v>2</v>
      </c>
      <c r="BR8" s="504">
        <v>3</v>
      </c>
      <c r="BS8" s="504">
        <v>2</v>
      </c>
      <c r="BT8" s="504">
        <v>0</v>
      </c>
      <c r="BU8" s="504">
        <v>2</v>
      </c>
      <c r="BV8" s="504">
        <v>1</v>
      </c>
      <c r="BW8" s="504">
        <v>1</v>
      </c>
      <c r="BX8" s="504">
        <v>1</v>
      </c>
      <c r="BY8" s="504">
        <v>2</v>
      </c>
      <c r="BZ8" s="504">
        <v>1</v>
      </c>
      <c r="CA8" s="504">
        <v>2</v>
      </c>
      <c r="CB8" s="504">
        <v>3</v>
      </c>
      <c r="CC8" s="504">
        <v>1</v>
      </c>
      <c r="CD8" s="504">
        <v>1</v>
      </c>
      <c r="CE8" s="504">
        <v>2</v>
      </c>
      <c r="CF8" s="502" t="s">
        <v>260</v>
      </c>
      <c r="CG8" s="504">
        <v>2</v>
      </c>
      <c r="CH8" s="504">
        <v>1</v>
      </c>
      <c r="CI8" s="504">
        <v>2</v>
      </c>
      <c r="CJ8" s="504">
        <v>3</v>
      </c>
      <c r="CK8" s="504">
        <v>2</v>
      </c>
      <c r="CL8" s="504">
        <v>0</v>
      </c>
      <c r="CM8" s="504">
        <v>2</v>
      </c>
      <c r="CN8" s="504">
        <v>1</v>
      </c>
      <c r="CO8" s="504">
        <v>2</v>
      </c>
      <c r="CP8" s="504">
        <v>1</v>
      </c>
      <c r="CQ8" s="502" t="s">
        <v>260</v>
      </c>
      <c r="CR8" s="504">
        <v>0</v>
      </c>
      <c r="CS8" s="504">
        <v>0</v>
      </c>
      <c r="CT8" s="504">
        <v>0</v>
      </c>
      <c r="CU8" s="504">
        <v>0</v>
      </c>
      <c r="CV8" s="502" t="s">
        <v>260</v>
      </c>
      <c r="CW8" s="502" t="s">
        <v>260</v>
      </c>
      <c r="CX8" s="504">
        <v>0</v>
      </c>
      <c r="CY8" s="504">
        <v>0</v>
      </c>
      <c r="CZ8" s="504">
        <v>0</v>
      </c>
      <c r="DA8" s="504">
        <v>0</v>
      </c>
      <c r="DB8" s="504">
        <v>0</v>
      </c>
      <c r="DC8" s="504">
        <v>0</v>
      </c>
      <c r="DD8" s="504">
        <v>0</v>
      </c>
      <c r="DE8" s="504">
        <v>0</v>
      </c>
      <c r="DF8" s="504">
        <v>0</v>
      </c>
      <c r="DG8" s="504">
        <v>0</v>
      </c>
      <c r="DH8" s="504">
        <v>0</v>
      </c>
      <c r="DI8" s="504">
        <v>0</v>
      </c>
      <c r="DJ8" s="504">
        <v>0</v>
      </c>
      <c r="DK8" s="504">
        <v>0</v>
      </c>
      <c r="DL8" s="504">
        <v>0</v>
      </c>
      <c r="DM8" s="504">
        <v>0</v>
      </c>
    </row>
    <row r="9" spans="1:117" ht="16.3">
      <c r="A9" s="90" t="s">
        <v>90</v>
      </c>
      <c r="B9" s="91">
        <v>0</v>
      </c>
      <c r="C9" s="91">
        <v>0</v>
      </c>
      <c r="D9" s="91">
        <v>0</v>
      </c>
      <c r="E9" s="91">
        <v>0</v>
      </c>
      <c r="F9" s="91">
        <v>0</v>
      </c>
      <c r="G9" s="91">
        <v>0</v>
      </c>
      <c r="H9" s="91">
        <v>0</v>
      </c>
      <c r="I9" s="91">
        <v>0</v>
      </c>
      <c r="J9" s="91">
        <v>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91">
        <v>0</v>
      </c>
      <c r="T9" s="91">
        <v>0</v>
      </c>
      <c r="U9" s="91">
        <v>0</v>
      </c>
      <c r="V9" s="91">
        <v>0</v>
      </c>
      <c r="W9" s="91">
        <v>0</v>
      </c>
      <c r="X9" s="91">
        <v>0</v>
      </c>
      <c r="Y9" s="91">
        <v>0</v>
      </c>
      <c r="Z9" s="91">
        <v>0</v>
      </c>
      <c r="AA9" s="91">
        <v>0</v>
      </c>
      <c r="AB9" s="91">
        <v>0</v>
      </c>
      <c r="AC9" s="91">
        <v>0</v>
      </c>
      <c r="AD9" s="91">
        <v>0</v>
      </c>
      <c r="AE9" s="91">
        <v>0</v>
      </c>
      <c r="AF9" s="91">
        <v>0</v>
      </c>
      <c r="AG9" s="91">
        <v>0</v>
      </c>
      <c r="AH9" s="91">
        <v>0</v>
      </c>
      <c r="AI9" s="91">
        <v>0</v>
      </c>
      <c r="AJ9" s="91">
        <v>0</v>
      </c>
      <c r="AK9" s="91">
        <v>0</v>
      </c>
      <c r="AL9" s="91">
        <v>0</v>
      </c>
      <c r="AM9" s="91">
        <v>0</v>
      </c>
      <c r="AN9" s="91">
        <v>0</v>
      </c>
      <c r="AO9" s="91">
        <v>0</v>
      </c>
      <c r="AP9" s="91">
        <v>0</v>
      </c>
      <c r="AQ9" s="91">
        <v>0</v>
      </c>
      <c r="AR9" s="91">
        <v>0</v>
      </c>
      <c r="AS9" s="91">
        <v>0</v>
      </c>
      <c r="AT9" s="91">
        <v>0</v>
      </c>
      <c r="AU9" s="91">
        <v>0</v>
      </c>
      <c r="AV9" s="91">
        <v>0</v>
      </c>
      <c r="AW9" s="91">
        <v>0</v>
      </c>
      <c r="AX9" s="91">
        <v>0</v>
      </c>
      <c r="AY9" s="91">
        <v>0</v>
      </c>
      <c r="AZ9" s="91">
        <v>0</v>
      </c>
      <c r="BA9" s="91">
        <v>0</v>
      </c>
      <c r="BB9" s="91">
        <v>0</v>
      </c>
      <c r="BC9" s="91">
        <v>0</v>
      </c>
      <c r="BD9" s="91">
        <v>0</v>
      </c>
      <c r="BE9" s="91">
        <v>0</v>
      </c>
      <c r="BF9" s="76">
        <v>0</v>
      </c>
      <c r="BG9" s="76">
        <v>0</v>
      </c>
      <c r="BH9" s="509">
        <v>0</v>
      </c>
      <c r="BI9" s="509">
        <v>0</v>
      </c>
      <c r="BJ9" s="509">
        <v>0</v>
      </c>
      <c r="BK9" s="509">
        <v>0</v>
      </c>
      <c r="BL9" s="509">
        <v>0</v>
      </c>
      <c r="BM9" s="509">
        <v>0</v>
      </c>
      <c r="BN9" s="509">
        <v>0</v>
      </c>
      <c r="BO9" s="509">
        <v>0</v>
      </c>
      <c r="BP9" s="509">
        <v>0</v>
      </c>
      <c r="BQ9" s="509">
        <v>0</v>
      </c>
      <c r="BR9" s="509">
        <v>0</v>
      </c>
      <c r="BS9" s="509">
        <v>0</v>
      </c>
      <c r="BT9" s="509">
        <v>0</v>
      </c>
      <c r="BU9" s="509">
        <v>0</v>
      </c>
      <c r="BV9" s="509">
        <v>0</v>
      </c>
      <c r="BW9" s="509">
        <v>0</v>
      </c>
      <c r="BX9" s="509">
        <v>0</v>
      </c>
      <c r="BY9" s="509">
        <v>0</v>
      </c>
      <c r="BZ9" s="509">
        <v>0</v>
      </c>
      <c r="CA9" s="509">
        <v>0</v>
      </c>
      <c r="CB9" s="509">
        <v>0</v>
      </c>
      <c r="CC9" s="509">
        <v>0</v>
      </c>
      <c r="CD9" s="509">
        <v>0</v>
      </c>
      <c r="CE9" s="509">
        <v>0</v>
      </c>
      <c r="CF9" s="509">
        <v>0</v>
      </c>
      <c r="CG9" s="509">
        <v>0</v>
      </c>
      <c r="CH9" s="509">
        <v>0</v>
      </c>
      <c r="CI9" s="509">
        <v>0</v>
      </c>
      <c r="CJ9" s="509">
        <v>0</v>
      </c>
      <c r="CK9" s="509">
        <v>0</v>
      </c>
      <c r="CL9" s="509">
        <v>0</v>
      </c>
      <c r="CM9" s="509">
        <v>0</v>
      </c>
      <c r="CN9" s="509">
        <v>0</v>
      </c>
      <c r="CO9" s="509">
        <v>0</v>
      </c>
      <c r="CP9" s="509">
        <v>0</v>
      </c>
      <c r="CQ9" s="509">
        <v>0</v>
      </c>
      <c r="CR9" s="509">
        <v>0</v>
      </c>
      <c r="CS9" s="509">
        <v>0</v>
      </c>
      <c r="CT9" s="509">
        <v>0</v>
      </c>
      <c r="CU9" s="509">
        <v>0</v>
      </c>
      <c r="CV9" s="509">
        <v>0</v>
      </c>
      <c r="CW9" s="509">
        <v>0</v>
      </c>
      <c r="CX9" s="509">
        <v>0</v>
      </c>
      <c r="CY9" s="509">
        <v>0</v>
      </c>
      <c r="CZ9" s="509">
        <v>0</v>
      </c>
      <c r="DA9" s="509">
        <v>0</v>
      </c>
      <c r="DB9" s="509">
        <v>0</v>
      </c>
      <c r="DC9" s="509">
        <v>0</v>
      </c>
      <c r="DD9" s="509">
        <v>0</v>
      </c>
      <c r="DE9" s="509">
        <v>0</v>
      </c>
      <c r="DF9" s="509">
        <v>0</v>
      </c>
      <c r="DG9" s="509">
        <v>0</v>
      </c>
      <c r="DH9" s="509">
        <v>0</v>
      </c>
      <c r="DI9" s="509">
        <v>0</v>
      </c>
      <c r="DJ9" s="509">
        <v>0</v>
      </c>
      <c r="DK9" s="509">
        <v>0</v>
      </c>
      <c r="DL9" s="508">
        <v>0</v>
      </c>
      <c r="DM9" s="508">
        <v>0</v>
      </c>
    </row>
    <row r="11" spans="1:117" ht="16.899999999999999">
      <c r="A11" s="361">
        <v>1</v>
      </c>
      <c r="B11" s="361">
        <v>2</v>
      </c>
      <c r="C11" s="361">
        <v>3</v>
      </c>
      <c r="D11" s="361">
        <v>4</v>
      </c>
      <c r="E11" s="361">
        <v>5</v>
      </c>
      <c r="F11" s="361">
        <v>6</v>
      </c>
      <c r="G11" s="361">
        <v>7</v>
      </c>
      <c r="H11" s="361">
        <v>8</v>
      </c>
      <c r="I11" s="361">
        <v>9</v>
      </c>
      <c r="J11" s="361">
        <v>1</v>
      </c>
      <c r="K11" s="361">
        <v>2</v>
      </c>
      <c r="L11" s="361">
        <v>3</v>
      </c>
      <c r="M11" s="361">
        <v>4</v>
      </c>
      <c r="N11" s="361">
        <v>5</v>
      </c>
      <c r="O11" s="361">
        <v>6</v>
      </c>
      <c r="P11" s="361">
        <v>7</v>
      </c>
      <c r="Q11" s="361">
        <v>8</v>
      </c>
      <c r="R11" s="361">
        <v>9</v>
      </c>
      <c r="S11" s="381"/>
      <c r="T11" s="381"/>
      <c r="U11" s="381"/>
      <c r="V11" s="381"/>
    </row>
    <row r="12" spans="1:117" ht="32.6">
      <c r="A12" s="91" t="s">
        <v>124</v>
      </c>
      <c r="B12" s="76" t="s">
        <v>117</v>
      </c>
      <c r="C12" s="76" t="s">
        <v>117</v>
      </c>
      <c r="D12" s="76" t="s">
        <v>117</v>
      </c>
      <c r="E12" s="84" t="s">
        <v>117</v>
      </c>
      <c r="F12" s="508" t="s">
        <v>117</v>
      </c>
      <c r="G12" s="508" t="s">
        <v>117</v>
      </c>
      <c r="H12" s="508" t="s">
        <v>117</v>
      </c>
      <c r="I12" s="510" t="s">
        <v>117</v>
      </c>
      <c r="J12" s="76" t="s">
        <v>124</v>
      </c>
      <c r="K12" s="76" t="s">
        <v>117</v>
      </c>
      <c r="L12" s="76" t="s">
        <v>117</v>
      </c>
      <c r="M12" s="76" t="s">
        <v>117</v>
      </c>
      <c r="N12" s="76" t="s">
        <v>117</v>
      </c>
      <c r="O12" s="508" t="s">
        <v>117</v>
      </c>
      <c r="P12" s="508" t="s">
        <v>117</v>
      </c>
      <c r="Q12" s="508" t="s">
        <v>117</v>
      </c>
      <c r="R12" s="508" t="s">
        <v>117</v>
      </c>
      <c r="S12" s="383"/>
      <c r="T12" s="381"/>
      <c r="U12" s="381"/>
      <c r="V12" s="381"/>
    </row>
    <row r="13" spans="1:117" s="375" customFormat="1" ht="32.6">
      <c r="A13" s="87" t="s">
        <v>125</v>
      </c>
      <c r="B13" s="77">
        <v>3</v>
      </c>
      <c r="C13" s="77">
        <v>3</v>
      </c>
      <c r="D13" s="77">
        <v>4</v>
      </c>
      <c r="E13" s="83">
        <v>4</v>
      </c>
      <c r="F13" s="511">
        <v>3</v>
      </c>
      <c r="G13" s="511">
        <v>3</v>
      </c>
      <c r="H13" s="511">
        <v>4</v>
      </c>
      <c r="I13" s="512">
        <v>4</v>
      </c>
      <c r="J13" s="388" t="s">
        <v>125</v>
      </c>
      <c r="K13" s="77">
        <v>5</v>
      </c>
      <c r="L13" s="77">
        <v>5</v>
      </c>
      <c r="M13" s="77">
        <v>6</v>
      </c>
      <c r="N13" s="77">
        <v>6</v>
      </c>
      <c r="O13" s="511">
        <v>5</v>
      </c>
      <c r="P13" s="511">
        <v>5</v>
      </c>
      <c r="Q13" s="511">
        <v>6</v>
      </c>
      <c r="R13" s="511">
        <v>6</v>
      </c>
      <c r="S13" s="382"/>
      <c r="T13" s="384"/>
      <c r="U13" s="384"/>
      <c r="V13" s="384"/>
    </row>
    <row r="14" spans="1:117" ht="16.3">
      <c r="A14" s="85" t="s">
        <v>107</v>
      </c>
      <c r="B14" s="369" t="s">
        <v>102</v>
      </c>
      <c r="C14" s="369" t="s">
        <v>103</v>
      </c>
      <c r="D14" s="369" t="s">
        <v>102</v>
      </c>
      <c r="E14" s="378" t="s">
        <v>103</v>
      </c>
      <c r="F14" s="502" t="s">
        <v>102</v>
      </c>
      <c r="G14" s="502" t="s">
        <v>103</v>
      </c>
      <c r="H14" s="502" t="s">
        <v>102</v>
      </c>
      <c r="I14" s="513" t="s">
        <v>103</v>
      </c>
      <c r="J14" s="76" t="s">
        <v>107</v>
      </c>
      <c r="K14" s="373" t="s">
        <v>103</v>
      </c>
      <c r="L14" s="373" t="s">
        <v>102</v>
      </c>
      <c r="M14" s="373" t="s">
        <v>103</v>
      </c>
      <c r="N14" s="373" t="s">
        <v>102</v>
      </c>
      <c r="O14" s="500" t="s">
        <v>103</v>
      </c>
      <c r="P14" s="500" t="s">
        <v>102</v>
      </c>
      <c r="Q14" s="500" t="s">
        <v>103</v>
      </c>
      <c r="R14" s="500" t="s">
        <v>102</v>
      </c>
      <c r="S14" s="382"/>
      <c r="T14" s="381"/>
      <c r="U14" s="381"/>
      <c r="V14" s="381"/>
    </row>
    <row r="15" spans="1:117" ht="16.3">
      <c r="A15" s="90" t="s">
        <v>239</v>
      </c>
      <c r="B15" s="90" t="s">
        <v>240</v>
      </c>
      <c r="C15" s="90" t="s">
        <v>240</v>
      </c>
      <c r="D15" s="90" t="s">
        <v>240</v>
      </c>
      <c r="E15" s="376" t="s">
        <v>240</v>
      </c>
      <c r="F15" s="514" t="s">
        <v>240</v>
      </c>
      <c r="G15" s="514" t="s">
        <v>240</v>
      </c>
      <c r="H15" s="514" t="s">
        <v>240</v>
      </c>
      <c r="I15" s="515" t="s">
        <v>240</v>
      </c>
      <c r="J15" s="90" t="s">
        <v>239</v>
      </c>
      <c r="K15" s="90" t="s">
        <v>240</v>
      </c>
      <c r="L15" s="90" t="s">
        <v>240</v>
      </c>
      <c r="M15" s="90" t="s">
        <v>240</v>
      </c>
      <c r="N15" s="90" t="s">
        <v>240</v>
      </c>
      <c r="O15" s="514" t="s">
        <v>240</v>
      </c>
      <c r="P15" s="514" t="s">
        <v>240</v>
      </c>
      <c r="Q15" s="514" t="s">
        <v>240</v>
      </c>
      <c r="R15" s="514" t="s">
        <v>240</v>
      </c>
      <c r="S15" s="385"/>
      <c r="T15" s="381"/>
      <c r="U15" s="381"/>
      <c r="V15" s="381"/>
    </row>
    <row r="16" spans="1:117" ht="41.35">
      <c r="A16" s="82" t="s">
        <v>91</v>
      </c>
      <c r="B16" s="79">
        <v>65</v>
      </c>
      <c r="C16" s="79">
        <v>36</v>
      </c>
      <c r="D16" s="79">
        <v>73</v>
      </c>
      <c r="E16" s="379">
        <v>27</v>
      </c>
      <c r="F16" s="520">
        <v>2</v>
      </c>
      <c r="G16" s="503">
        <v>1</v>
      </c>
      <c r="H16" s="521">
        <v>2</v>
      </c>
      <c r="I16" s="520">
        <v>1</v>
      </c>
      <c r="J16" s="79" t="s">
        <v>95</v>
      </c>
      <c r="K16" s="79">
        <v>63</v>
      </c>
      <c r="L16" s="79">
        <v>34</v>
      </c>
      <c r="M16" s="79">
        <v>63</v>
      </c>
      <c r="N16" s="79">
        <v>36</v>
      </c>
      <c r="O16" s="516">
        <v>0</v>
      </c>
      <c r="P16" s="516">
        <v>0</v>
      </c>
      <c r="Q16" s="516">
        <v>0</v>
      </c>
      <c r="R16" s="516">
        <v>0</v>
      </c>
      <c r="S16" s="386"/>
      <c r="T16" s="381"/>
      <c r="U16" s="381"/>
      <c r="V16" s="381"/>
    </row>
    <row r="17" spans="1:22" ht="41.35">
      <c r="A17" s="79" t="s">
        <v>92</v>
      </c>
      <c r="B17" s="79">
        <v>72</v>
      </c>
      <c r="C17" s="79">
        <v>27</v>
      </c>
      <c r="D17" s="79">
        <v>84</v>
      </c>
      <c r="E17" s="379">
        <v>30</v>
      </c>
      <c r="F17" s="520">
        <v>2</v>
      </c>
      <c r="G17" s="503">
        <v>1</v>
      </c>
      <c r="H17" s="521">
        <v>2</v>
      </c>
      <c r="I17" s="520">
        <v>1</v>
      </c>
      <c r="J17" s="81" t="s">
        <v>96</v>
      </c>
      <c r="K17" s="80">
        <v>52</v>
      </c>
      <c r="L17" s="80">
        <v>28</v>
      </c>
      <c r="M17" s="80">
        <v>52</v>
      </c>
      <c r="N17" s="80">
        <v>30</v>
      </c>
      <c r="O17" s="522">
        <v>0</v>
      </c>
      <c r="P17" s="522">
        <v>0</v>
      </c>
      <c r="Q17" s="522">
        <v>0</v>
      </c>
      <c r="R17" s="522">
        <v>0</v>
      </c>
      <c r="S17" s="386"/>
      <c r="T17" s="381"/>
      <c r="U17" s="381"/>
      <c r="V17" s="381"/>
    </row>
    <row r="18" spans="1:22" ht="41.35">
      <c r="A18" s="82" t="s">
        <v>93</v>
      </c>
      <c r="B18" s="79">
        <v>58</v>
      </c>
      <c r="C18" s="79">
        <v>23</v>
      </c>
      <c r="D18" s="79">
        <v>57</v>
      </c>
      <c r="E18" s="379">
        <v>28</v>
      </c>
      <c r="F18" s="520">
        <v>1</v>
      </c>
      <c r="G18" s="503">
        <v>1</v>
      </c>
      <c r="H18" s="521">
        <v>1</v>
      </c>
      <c r="I18" s="520">
        <v>1</v>
      </c>
      <c r="J18" s="82" t="s">
        <v>97</v>
      </c>
      <c r="K18" s="79">
        <v>54</v>
      </c>
      <c r="L18" s="79">
        <v>26</v>
      </c>
      <c r="M18" s="79">
        <v>55</v>
      </c>
      <c r="N18" s="79">
        <v>30</v>
      </c>
      <c r="O18" s="516">
        <v>0</v>
      </c>
      <c r="P18" s="516">
        <v>0</v>
      </c>
      <c r="Q18" s="516">
        <v>0</v>
      </c>
      <c r="R18" s="516">
        <v>0</v>
      </c>
      <c r="S18" s="386"/>
      <c r="T18" s="381"/>
      <c r="U18" s="381"/>
      <c r="V18" s="381"/>
    </row>
    <row r="19" spans="1:22" ht="41.35">
      <c r="A19" s="78" t="s">
        <v>90</v>
      </c>
      <c r="B19" s="374">
        <v>0</v>
      </c>
      <c r="C19" s="82">
        <v>0</v>
      </c>
      <c r="D19" s="82">
        <v>0</v>
      </c>
      <c r="E19" s="380">
        <v>0</v>
      </c>
      <c r="F19" s="517">
        <v>0</v>
      </c>
      <c r="G19" s="518">
        <v>0</v>
      </c>
      <c r="H19" s="518">
        <v>0</v>
      </c>
      <c r="I19" s="519">
        <v>0</v>
      </c>
      <c r="J19" s="79" t="s">
        <v>94</v>
      </c>
      <c r="K19" s="79">
        <v>63</v>
      </c>
      <c r="L19" s="79">
        <v>38</v>
      </c>
      <c r="M19" s="79">
        <v>63</v>
      </c>
      <c r="N19" s="79">
        <v>38</v>
      </c>
      <c r="O19" s="516">
        <v>0</v>
      </c>
      <c r="P19" s="516">
        <v>0</v>
      </c>
      <c r="Q19" s="516">
        <v>0</v>
      </c>
      <c r="R19" s="516">
        <v>0</v>
      </c>
      <c r="S19" s="386"/>
      <c r="T19" s="381"/>
      <c r="U19" s="381"/>
      <c r="V19" s="381"/>
    </row>
    <row r="20" spans="1:22" ht="35.1" customHeight="1">
      <c r="A20" s="74"/>
      <c r="B20" s="74"/>
      <c r="C20" s="74"/>
      <c r="D20" s="74"/>
      <c r="E20" s="74"/>
      <c r="J20" s="80" t="s">
        <v>98</v>
      </c>
      <c r="K20" s="80">
        <v>50</v>
      </c>
      <c r="L20" s="80">
        <v>26</v>
      </c>
      <c r="M20" s="80">
        <v>52</v>
      </c>
      <c r="N20" s="80">
        <v>28</v>
      </c>
      <c r="O20" s="522">
        <v>0</v>
      </c>
      <c r="P20" s="522">
        <v>0</v>
      </c>
      <c r="Q20" s="522">
        <v>0</v>
      </c>
      <c r="R20" s="522">
        <v>0</v>
      </c>
      <c r="S20" s="386"/>
      <c r="T20" s="381"/>
      <c r="U20" s="381"/>
      <c r="V20" s="381"/>
    </row>
    <row r="21" spans="1:22" ht="35.1" customHeight="1">
      <c r="A21" s="74"/>
      <c r="B21" s="74"/>
      <c r="C21" s="74"/>
      <c r="D21" s="74"/>
      <c r="E21" s="74"/>
      <c r="J21" s="78" t="s">
        <v>90</v>
      </c>
      <c r="K21" s="82">
        <v>0</v>
      </c>
      <c r="L21" s="82">
        <v>0</v>
      </c>
      <c r="M21" s="82">
        <v>0</v>
      </c>
      <c r="N21" s="82">
        <v>0</v>
      </c>
      <c r="O21" s="518">
        <v>0</v>
      </c>
      <c r="P21" s="518">
        <v>0</v>
      </c>
      <c r="Q21" s="518">
        <v>0</v>
      </c>
      <c r="R21" s="518">
        <v>0</v>
      </c>
      <c r="S21" s="386"/>
      <c r="T21" s="381"/>
      <c r="U21" s="381"/>
      <c r="V21" s="381"/>
    </row>
    <row r="22" spans="1:22" ht="14.4">
      <c r="F22" s="25"/>
      <c r="G22" s="25"/>
      <c r="H22" s="25"/>
      <c r="I22" s="25"/>
      <c r="J22" s="25"/>
      <c r="K22" s="25"/>
      <c r="L22" s="25"/>
      <c r="M22" s="25"/>
      <c r="N22" s="25"/>
      <c r="O22" s="377"/>
      <c r="P22" s="377"/>
      <c r="Q22" s="377"/>
      <c r="R22" s="386"/>
      <c r="S22" s="386"/>
      <c r="T22" s="381"/>
      <c r="U22" s="381"/>
      <c r="V22" s="381"/>
    </row>
    <row r="23" spans="1:22" ht="14.4">
      <c r="K23" s="387"/>
      <c r="L23" s="387"/>
      <c r="M23" s="381"/>
      <c r="N23" s="381"/>
      <c r="O23" s="25"/>
      <c r="P23" s="25"/>
      <c r="Q23" s="25"/>
      <c r="R23" s="25"/>
      <c r="S23" s="25"/>
      <c r="T23" s="381"/>
      <c r="U23" s="381"/>
      <c r="V23" s="381"/>
    </row>
    <row r="24" spans="1:22">
      <c r="K24" s="387"/>
      <c r="L24" s="387"/>
      <c r="M24" s="381"/>
      <c r="N24" s="381"/>
      <c r="O24" s="381"/>
      <c r="P24" s="381"/>
      <c r="Q24" s="381"/>
      <c r="R24" s="381"/>
      <c r="S24" s="381"/>
      <c r="T24" s="381"/>
      <c r="U24" s="381"/>
      <c r="V24" s="381"/>
    </row>
    <row r="25" spans="1:22">
      <c r="K25" s="381"/>
      <c r="L25" s="381"/>
      <c r="M25" s="381"/>
      <c r="N25" s="381"/>
      <c r="O25" s="381"/>
      <c r="P25" s="381"/>
      <c r="Q25" s="381"/>
      <c r="R25" s="381"/>
      <c r="S25" s="381"/>
      <c r="T25" s="381"/>
      <c r="U25" s="381"/>
      <c r="V25" s="381"/>
    </row>
    <row r="26" spans="1:22">
      <c r="K26" s="381"/>
      <c r="L26" s="381"/>
      <c r="M26" s="381"/>
      <c r="N26" s="381"/>
      <c r="O26" s="381"/>
      <c r="P26" s="381"/>
      <c r="Q26" s="381"/>
      <c r="R26" s="381"/>
      <c r="S26" s="381"/>
      <c r="T26" s="381"/>
      <c r="U26" s="381"/>
      <c r="V26" s="381"/>
    </row>
    <row r="27" spans="1:22">
      <c r="K27" s="381"/>
      <c r="L27" s="381"/>
      <c r="M27" s="381"/>
      <c r="N27" s="381"/>
      <c r="O27" s="381"/>
      <c r="P27" s="381"/>
      <c r="Q27" s="381"/>
      <c r="R27" s="381"/>
      <c r="S27" s="381"/>
      <c r="T27" s="381"/>
      <c r="U27" s="381"/>
      <c r="V27" s="381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3.8"/>
  <cols>
    <col min="1" max="2" width="40.375" bestFit="1" customWidth="1"/>
  </cols>
  <sheetData>
    <row r="1" spans="1:2">
      <c r="A1" t="s">
        <v>10</v>
      </c>
      <c r="B1" t="s">
        <v>11</v>
      </c>
    </row>
    <row r="2" spans="1:2">
      <c r="A2" t="s">
        <v>12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5</vt:i4>
      </vt:variant>
    </vt:vector>
  </HeadingPairs>
  <TitlesOfParts>
    <vt:vector size="11" baseType="lpstr">
      <vt:lpstr>統計表</vt:lpstr>
      <vt:lpstr>花東B表</vt:lpstr>
      <vt:lpstr>單價表</vt:lpstr>
      <vt:lpstr>試算表(參考用)</vt:lpstr>
      <vt:lpstr>工作表2</vt:lpstr>
      <vt:lpstr>抬頭</vt:lpstr>
      <vt:lpstr>統計表!Print_Area</vt:lpstr>
      <vt:lpstr>'試算表(參考用)'!Print_Titles</vt:lpstr>
      <vt:lpstr>三四英語</vt:lpstr>
      <vt:lpstr>五六英語</vt:lpstr>
      <vt:lpstr>版本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USER</cp:lastModifiedBy>
  <cp:lastPrinted>2022-08-23T07:01:45Z</cp:lastPrinted>
  <dcterms:created xsi:type="dcterms:W3CDTF">2021-09-05T06:51:06Z</dcterms:created>
  <dcterms:modified xsi:type="dcterms:W3CDTF">2022-08-30T03:53:00Z</dcterms:modified>
</cp:coreProperties>
</file>