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0980\Desktop\馬芷麟106.10.16~\111預算\111撥補與分配\111分配公告\"/>
    </mc:Choice>
  </mc:AlternateContent>
  <bookViews>
    <workbookView xWindow="480" yWindow="80" windowWidth="15480" windowHeight="6510" tabRatio="692"/>
  </bookViews>
  <sheets>
    <sheet name="111年基金來源彙整" sheetId="16" r:id="rId1"/>
    <sheet name="工作表3" sheetId="22" r:id="rId2"/>
    <sheet name="1-導師費-0811ok" sheetId="17" r:id="rId3"/>
    <sheet name="2-專輔師-0706ok" sheetId="18" r:id="rId4"/>
    <sheet name="3-合理教師員額-0811ok" sheetId="19" r:id="rId5"/>
    <sheet name="4-移用以前年度賸餘-0708ok" sheetId="23" r:id="rId6"/>
  </sheets>
  <externalReferences>
    <externalReference r:id="rId7"/>
  </externalReferences>
  <definedNames>
    <definedName name="_xlnm._FilterDatabase" localSheetId="2" hidden="1">'1-導師費-0811ok'!#REF!</definedName>
    <definedName name="_xlnm.Print_Area" localSheetId="0">'111年基金來源彙整'!$A$1:$T$29</definedName>
    <definedName name="_xlnm.Print_Area" localSheetId="2">'1-導師費-0811ok'!#REF!</definedName>
    <definedName name="_xlnm.Print_Area" localSheetId="3">'2-專輔師-0706ok'!$A$1:$E$27</definedName>
    <definedName name="_xlnm.Print_Titles" localSheetId="2">'1-導師費-0811ok'!#REF!</definedName>
    <definedName name="已屆年功頂">[1]資料庫!$S$2:$S$3</definedName>
    <definedName name="主管加給">[1]資料庫!$D$2:$D$6</definedName>
    <definedName name="教師本薪">[1]資料庫!$A$2:$A$32</definedName>
  </definedNames>
  <calcPr calcId="162913"/>
</workbook>
</file>

<file path=xl/calcChain.xml><?xml version="1.0" encoding="utf-8"?>
<calcChain xmlns="http://schemas.openxmlformats.org/spreadsheetml/2006/main">
  <c r="C29" i="16" l="1"/>
  <c r="D29" i="16"/>
  <c r="E29" i="16"/>
  <c r="F29" i="16"/>
  <c r="G29" i="16"/>
  <c r="H29" i="16"/>
  <c r="I29" i="16"/>
  <c r="J29" i="16"/>
  <c r="B29" i="16"/>
  <c r="C3" i="19" l="1"/>
  <c r="C4" i="19"/>
  <c r="C5" i="19"/>
  <c r="C6" i="19"/>
  <c r="C7" i="19"/>
  <c r="C8" i="19"/>
  <c r="C9" i="19"/>
  <c r="C10" i="19"/>
  <c r="C11" i="19"/>
  <c r="C2" i="19"/>
  <c r="O29" i="17" l="1"/>
  <c r="N29" i="17"/>
  <c r="M29" i="17"/>
  <c r="L29" i="17"/>
  <c r="K29" i="17"/>
  <c r="J29" i="17"/>
  <c r="I29" i="17"/>
  <c r="H29" i="17"/>
  <c r="G29" i="17"/>
  <c r="F29" i="17"/>
  <c r="E29" i="17"/>
  <c r="D29" i="17"/>
  <c r="R28" i="17"/>
  <c r="T28" i="17" s="1"/>
  <c r="Q28" i="17"/>
  <c r="P28" i="17"/>
  <c r="S28" i="17" s="1"/>
  <c r="C28" i="17"/>
  <c r="R27" i="17"/>
  <c r="T27" i="17" s="1"/>
  <c r="Q27" i="17"/>
  <c r="P27" i="17"/>
  <c r="S27" i="17" s="1"/>
  <c r="C27" i="17"/>
  <c r="R26" i="17"/>
  <c r="T26" i="17" s="1"/>
  <c r="Q26" i="17"/>
  <c r="P26" i="17"/>
  <c r="S26" i="17" s="1"/>
  <c r="C26" i="17"/>
  <c r="R25" i="17"/>
  <c r="T25" i="17" s="1"/>
  <c r="Q25" i="17"/>
  <c r="P25" i="17"/>
  <c r="S25" i="17" s="1"/>
  <c r="C25" i="17"/>
  <c r="R24" i="17"/>
  <c r="T24" i="17" s="1"/>
  <c r="Q24" i="17"/>
  <c r="P24" i="17"/>
  <c r="S24" i="17" s="1"/>
  <c r="C24" i="17"/>
  <c r="R23" i="17"/>
  <c r="T23" i="17" s="1"/>
  <c r="Q23" i="17"/>
  <c r="P23" i="17"/>
  <c r="S23" i="17" s="1"/>
  <c r="C23" i="17"/>
  <c r="R22" i="17"/>
  <c r="T22" i="17" s="1"/>
  <c r="Q22" i="17"/>
  <c r="P22" i="17"/>
  <c r="S22" i="17" s="1"/>
  <c r="C22" i="17"/>
  <c r="R21" i="17"/>
  <c r="T21" i="17" s="1"/>
  <c r="Q21" i="17"/>
  <c r="P21" i="17"/>
  <c r="S21" i="17" s="1"/>
  <c r="C21" i="17"/>
  <c r="R20" i="17"/>
  <c r="T20" i="17" s="1"/>
  <c r="Q20" i="17"/>
  <c r="P20" i="17"/>
  <c r="S20" i="17" s="1"/>
  <c r="C20" i="17"/>
  <c r="R19" i="17"/>
  <c r="T19" i="17" s="1"/>
  <c r="Q19" i="17"/>
  <c r="P19" i="17"/>
  <c r="S19" i="17" s="1"/>
  <c r="C19" i="17"/>
  <c r="R18" i="17"/>
  <c r="T18" i="17" s="1"/>
  <c r="Q18" i="17"/>
  <c r="P18" i="17"/>
  <c r="S18" i="17" s="1"/>
  <c r="C18" i="17"/>
  <c r="R17" i="17"/>
  <c r="T17" i="17" s="1"/>
  <c r="Q17" i="17"/>
  <c r="P17" i="17"/>
  <c r="S17" i="17" s="1"/>
  <c r="C17" i="17"/>
  <c r="R16" i="17"/>
  <c r="T16" i="17" s="1"/>
  <c r="Q16" i="17"/>
  <c r="P16" i="17"/>
  <c r="S16" i="17" s="1"/>
  <c r="C16" i="17"/>
  <c r="R15" i="17"/>
  <c r="T15" i="17" s="1"/>
  <c r="Q15" i="17"/>
  <c r="P15" i="17"/>
  <c r="S15" i="17" s="1"/>
  <c r="C15" i="17"/>
  <c r="R14" i="17"/>
  <c r="T14" i="17" s="1"/>
  <c r="Q14" i="17"/>
  <c r="P14" i="17"/>
  <c r="S14" i="17" s="1"/>
  <c r="C14" i="17"/>
  <c r="R13" i="17"/>
  <c r="T13" i="17" s="1"/>
  <c r="Q13" i="17"/>
  <c r="P13" i="17"/>
  <c r="S13" i="17" s="1"/>
  <c r="C13" i="17"/>
  <c r="R12" i="17"/>
  <c r="T12" i="17" s="1"/>
  <c r="Q12" i="17"/>
  <c r="P12" i="17"/>
  <c r="S12" i="17" s="1"/>
  <c r="C12" i="17"/>
  <c r="R11" i="17"/>
  <c r="T11" i="17" s="1"/>
  <c r="Q11" i="17"/>
  <c r="P11" i="17"/>
  <c r="S11" i="17" s="1"/>
  <c r="M11" i="17"/>
  <c r="C11" i="17"/>
  <c r="R10" i="17"/>
  <c r="T10" i="17" s="1"/>
  <c r="Q10" i="17"/>
  <c r="C10" i="17"/>
  <c r="P10" i="17" s="1"/>
  <c r="S10" i="17" s="1"/>
  <c r="R9" i="17"/>
  <c r="T9" i="17" s="1"/>
  <c r="Q9" i="17"/>
  <c r="C9" i="17"/>
  <c r="P9" i="17" s="1"/>
  <c r="S9" i="17" s="1"/>
  <c r="R8" i="17"/>
  <c r="T8" i="17" s="1"/>
  <c r="Q8" i="17"/>
  <c r="G8" i="17"/>
  <c r="C8" i="17"/>
  <c r="P8" i="17" s="1"/>
  <c r="S8" i="17" s="1"/>
  <c r="R7" i="17"/>
  <c r="T7" i="17" s="1"/>
  <c r="C7" i="17"/>
  <c r="Q7" i="17" s="1"/>
  <c r="R6" i="17"/>
  <c r="T6" i="17" s="1"/>
  <c r="C6" i="17"/>
  <c r="Q6" i="17" s="1"/>
  <c r="R5" i="17"/>
  <c r="R29" i="17" s="1"/>
  <c r="C5" i="17"/>
  <c r="C29" i="17" s="1"/>
  <c r="T5" i="17" l="1"/>
  <c r="T29" i="17" s="1"/>
  <c r="P5" i="17"/>
  <c r="P6" i="17"/>
  <c r="S6" i="17" s="1"/>
  <c r="P7" i="17"/>
  <c r="S7" i="17" s="1"/>
  <c r="Q5" i="17"/>
  <c r="Q29" i="17" s="1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8" i="16"/>
  <c r="N4" i="16"/>
  <c r="Q17" i="23"/>
  <c r="P17" i="23"/>
  <c r="O17" i="23"/>
  <c r="N17" i="23"/>
  <c r="M17" i="23"/>
  <c r="K17" i="23"/>
  <c r="J17" i="23"/>
  <c r="I17" i="23"/>
  <c r="H17" i="23"/>
  <c r="G17" i="23"/>
  <c r="F17" i="23"/>
  <c r="D17" i="23"/>
  <c r="C17" i="23"/>
  <c r="R16" i="23"/>
  <c r="L16" i="23"/>
  <c r="T16" i="23" s="1"/>
  <c r="E16" i="23"/>
  <c r="R15" i="23"/>
  <c r="L15" i="23"/>
  <c r="T15" i="23" s="1"/>
  <c r="E15" i="23"/>
  <c r="R14" i="23"/>
  <c r="T14" i="23" s="1"/>
  <c r="L14" i="23"/>
  <c r="E14" i="23"/>
  <c r="R13" i="23"/>
  <c r="L13" i="23"/>
  <c r="T13" i="23" s="1"/>
  <c r="E13" i="23"/>
  <c r="R12" i="23"/>
  <c r="L12" i="23"/>
  <c r="T12" i="23" s="1"/>
  <c r="E12" i="23"/>
  <c r="R11" i="23"/>
  <c r="T11" i="23" s="1"/>
  <c r="L11" i="23"/>
  <c r="E11" i="23"/>
  <c r="R10" i="23"/>
  <c r="L10" i="23"/>
  <c r="T10" i="23" s="1"/>
  <c r="E10" i="23"/>
  <c r="R9" i="23"/>
  <c r="L9" i="23"/>
  <c r="T9" i="23" s="1"/>
  <c r="E9" i="23"/>
  <c r="R8" i="23"/>
  <c r="T8" i="23" s="1"/>
  <c r="L8" i="23"/>
  <c r="E8" i="23"/>
  <c r="R7" i="23"/>
  <c r="L7" i="23"/>
  <c r="L17" i="23" s="1"/>
  <c r="E7" i="23"/>
  <c r="E17" i="23" s="1"/>
  <c r="R6" i="23"/>
  <c r="L6" i="23"/>
  <c r="T6" i="23" s="1"/>
  <c r="E6" i="23"/>
  <c r="S5" i="17" l="1"/>
  <c r="S29" i="17" s="1"/>
  <c r="P29" i="17"/>
  <c r="R17" i="23"/>
  <c r="T7" i="23"/>
  <c r="T17" i="23" s="1"/>
  <c r="B5" i="16" l="1"/>
  <c r="C5" i="16"/>
  <c r="B6" i="16"/>
  <c r="C6" i="16"/>
  <c r="B7" i="16"/>
  <c r="C7" i="16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20" i="16"/>
  <c r="C20" i="16"/>
  <c r="B21" i="16"/>
  <c r="C21" i="16"/>
  <c r="B22" i="16"/>
  <c r="C22" i="16"/>
  <c r="B23" i="16"/>
  <c r="C23" i="16"/>
  <c r="B24" i="16"/>
  <c r="C24" i="16"/>
  <c r="B25" i="16"/>
  <c r="C25" i="16"/>
  <c r="B26" i="16"/>
  <c r="C26" i="16"/>
  <c r="B27" i="16"/>
  <c r="C27" i="16"/>
  <c r="C4" i="16"/>
  <c r="B4" i="16"/>
  <c r="D5" i="16" l="1"/>
  <c r="E5" i="16"/>
  <c r="D6" i="16"/>
  <c r="E6" i="16"/>
  <c r="D7" i="16"/>
  <c r="E7" i="16"/>
  <c r="D8" i="16"/>
  <c r="E8" i="16"/>
  <c r="D9" i="16"/>
  <c r="E9" i="16"/>
  <c r="D10" i="16"/>
  <c r="E10" i="16"/>
  <c r="D11" i="16"/>
  <c r="E11" i="16"/>
  <c r="D12" i="16"/>
  <c r="E12" i="16"/>
  <c r="D13" i="16"/>
  <c r="E13" i="16"/>
  <c r="D14" i="16"/>
  <c r="E14" i="16"/>
  <c r="D15" i="16"/>
  <c r="E15" i="16"/>
  <c r="D16" i="16"/>
  <c r="E16" i="16"/>
  <c r="D17" i="16"/>
  <c r="E17" i="16"/>
  <c r="D18" i="16"/>
  <c r="E18" i="16"/>
  <c r="D19" i="16"/>
  <c r="E19" i="16"/>
  <c r="D20" i="16"/>
  <c r="E20" i="16"/>
  <c r="D21" i="16"/>
  <c r="E21" i="16"/>
  <c r="D22" i="16"/>
  <c r="E22" i="16"/>
  <c r="D23" i="16"/>
  <c r="E23" i="16"/>
  <c r="D24" i="16"/>
  <c r="E24" i="16"/>
  <c r="D25" i="16"/>
  <c r="E25" i="16"/>
  <c r="D26" i="16"/>
  <c r="E26" i="16"/>
  <c r="D27" i="16"/>
  <c r="E27" i="16"/>
  <c r="E4" i="16"/>
  <c r="D4" i="16"/>
  <c r="C26" i="18"/>
  <c r="E26" i="18" s="1"/>
  <c r="E25" i="18"/>
  <c r="D25" i="18"/>
  <c r="C25" i="18"/>
  <c r="C24" i="18"/>
  <c r="E24" i="18" s="1"/>
  <c r="E23" i="18"/>
  <c r="D23" i="18"/>
  <c r="C23" i="18"/>
  <c r="C22" i="18"/>
  <c r="E22" i="18" s="1"/>
  <c r="E21" i="18"/>
  <c r="D21" i="18"/>
  <c r="C21" i="18"/>
  <c r="C20" i="18"/>
  <c r="E20" i="18" s="1"/>
  <c r="E19" i="18"/>
  <c r="D19" i="18"/>
  <c r="C19" i="18"/>
  <c r="C18" i="18"/>
  <c r="E18" i="18" s="1"/>
  <c r="E17" i="18"/>
  <c r="D17" i="18"/>
  <c r="C17" i="18"/>
  <c r="C16" i="18"/>
  <c r="E16" i="18" s="1"/>
  <c r="E15" i="18"/>
  <c r="D15" i="18"/>
  <c r="C15" i="18"/>
  <c r="C14" i="18"/>
  <c r="E14" i="18" s="1"/>
  <c r="E13" i="18"/>
  <c r="D13" i="18"/>
  <c r="C13" i="18"/>
  <c r="C12" i="18"/>
  <c r="E12" i="18" s="1"/>
  <c r="E11" i="18"/>
  <c r="D11" i="18"/>
  <c r="C11" i="18"/>
  <c r="C10" i="18"/>
  <c r="E10" i="18" s="1"/>
  <c r="E9" i="18"/>
  <c r="D9" i="18"/>
  <c r="C9" i="18"/>
  <c r="C8" i="18"/>
  <c r="E8" i="18" s="1"/>
  <c r="E7" i="18"/>
  <c r="D7" i="18"/>
  <c r="C7" i="18"/>
  <c r="C6" i="18"/>
  <c r="E6" i="18" s="1"/>
  <c r="E5" i="18"/>
  <c r="D5" i="18"/>
  <c r="C5" i="18"/>
  <c r="C4" i="18"/>
  <c r="E4" i="18" s="1"/>
  <c r="E3" i="18"/>
  <c r="D3" i="18"/>
  <c r="C3" i="18"/>
  <c r="D4" i="18" l="1"/>
  <c r="D6" i="18"/>
  <c r="D8" i="18"/>
  <c r="D10" i="18"/>
  <c r="D12" i="18"/>
  <c r="D14" i="18"/>
  <c r="D16" i="18"/>
  <c r="D18" i="18"/>
  <c r="D20" i="18"/>
  <c r="D22" i="18"/>
  <c r="D24" i="18"/>
  <c r="D26" i="18"/>
  <c r="D28" i="22"/>
  <c r="C28" i="22"/>
  <c r="B28" i="22"/>
  <c r="O5" i="16" l="1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4" i="16"/>
  <c r="C12" i="19"/>
  <c r="B12" i="19"/>
  <c r="S29" i="16" l="1"/>
  <c r="T28" i="16"/>
  <c r="Q28" i="16"/>
  <c r="T27" i="16"/>
  <c r="Q27" i="16"/>
  <c r="Q5" i="16"/>
  <c r="T5" i="16"/>
  <c r="Q6" i="16"/>
  <c r="T6" i="16"/>
  <c r="Q7" i="16"/>
  <c r="T7" i="16"/>
  <c r="Q8" i="16"/>
  <c r="T8" i="16"/>
  <c r="Q9" i="16"/>
  <c r="T9" i="16"/>
  <c r="Q10" i="16"/>
  <c r="T10" i="16"/>
  <c r="Q11" i="16"/>
  <c r="T11" i="16"/>
  <c r="Q12" i="16"/>
  <c r="T12" i="16"/>
  <c r="Q13" i="16"/>
  <c r="T13" i="16"/>
  <c r="Q14" i="16"/>
  <c r="T14" i="16"/>
  <c r="Q15" i="16"/>
  <c r="T15" i="16"/>
  <c r="Q16" i="16"/>
  <c r="T16" i="16"/>
  <c r="Q17" i="16"/>
  <c r="T17" i="16"/>
  <c r="Q18" i="16"/>
  <c r="T18" i="16"/>
  <c r="Q19" i="16"/>
  <c r="T19" i="16"/>
  <c r="Q20" i="16"/>
  <c r="T20" i="16"/>
  <c r="Q21" i="16"/>
  <c r="T21" i="16"/>
  <c r="Q22" i="16"/>
  <c r="T22" i="16"/>
  <c r="Q23" i="16"/>
  <c r="T23" i="16"/>
  <c r="Q24" i="16"/>
  <c r="T24" i="16"/>
  <c r="Q25" i="16"/>
  <c r="T25" i="16"/>
  <c r="Q26" i="16"/>
  <c r="T26" i="16"/>
  <c r="T4" i="16"/>
  <c r="Q4" i="16"/>
  <c r="R4" i="16" s="1"/>
  <c r="R23" i="16" l="1"/>
  <c r="R19" i="16"/>
  <c r="R15" i="16"/>
  <c r="R11" i="16"/>
  <c r="R7" i="16"/>
  <c r="R24" i="16"/>
  <c r="T29" i="16"/>
  <c r="R20" i="16"/>
  <c r="R16" i="16"/>
  <c r="R12" i="16"/>
  <c r="R6" i="16"/>
  <c r="R25" i="16"/>
  <c r="R22" i="16"/>
  <c r="R17" i="16"/>
  <c r="R14" i="16"/>
  <c r="R9" i="16"/>
  <c r="R28" i="16"/>
  <c r="R26" i="16"/>
  <c r="R21" i="16"/>
  <c r="R18" i="16"/>
  <c r="R13" i="16"/>
  <c r="R10" i="16"/>
  <c r="R8" i="16"/>
  <c r="R27" i="16"/>
  <c r="R5" i="16"/>
  <c r="B27" i="18"/>
  <c r="C27" i="18"/>
  <c r="D27" i="18"/>
  <c r="E27" i="18"/>
  <c r="N29" i="16"/>
  <c r="Q29" i="16"/>
  <c r="P29" i="16"/>
  <c r="M29" i="16"/>
  <c r="L29" i="16"/>
  <c r="K29" i="16"/>
  <c r="O29" i="16" l="1"/>
  <c r="R29" i="16"/>
</calcChain>
</file>

<file path=xl/comments1.xml><?xml version="1.0" encoding="utf-8"?>
<comments xmlns="http://schemas.openxmlformats.org/spreadsheetml/2006/main">
  <authors>
    <author>張瑋芩</author>
    <author>user</author>
    <author>廖尉辰</author>
  </authors>
  <commentList>
    <comment ref="N2" authorId="0" shapeId="0">
      <text>
        <r>
          <rPr>
            <b/>
            <sz val="9"/>
            <color indexed="81"/>
            <rFont val="細明體"/>
            <family val="3"/>
            <charset val="136"/>
          </rPr>
          <t>張瑋芩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用途別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移用以前年度賸餘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細明體"/>
            <family val="3"/>
            <charset val="136"/>
          </rPr>
          <t>可留存數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 xml:space="preserve">那一欄
</t>
        </r>
      </text>
    </comment>
    <comment ref="O2" authorId="1" shapeId="0">
      <text>
        <r>
          <rPr>
            <sz val="12"/>
            <color indexed="81"/>
            <rFont val="新細明體"/>
            <family val="1"/>
            <charset val="136"/>
          </rPr>
          <t>(K)=(A)+(B)+(C)+(E)+(G)+(H)+(I)+(J)+(R)</t>
        </r>
      </text>
    </comment>
    <comment ref="B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106學年度員額編製(班級數-集中)*1000*12月</t>
        </r>
      </text>
    </comment>
    <comment ref="C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106學年度員額編製集中式班*4000*12月</t>
        </r>
      </text>
    </comment>
    <comment ref="M5" authorId="2" shapeId="0">
      <text>
        <r>
          <rPr>
            <b/>
            <sz val="9"/>
            <color indexed="81"/>
            <rFont val="Tahoma"/>
            <family val="2"/>
          </rPr>
          <t>1,193,750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110</t>
        </r>
        <r>
          <rPr>
            <sz val="9"/>
            <color indexed="81"/>
            <rFont val="細明體"/>
            <family val="3"/>
            <charset val="136"/>
          </rPr>
          <t>年移用基金賸餘數金額≦可用累計留存賸餘數金額</t>
        </r>
      </text>
    </comment>
    <comment ref="T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1.111</t>
        </r>
        <r>
          <rPr>
            <sz val="9"/>
            <color indexed="81"/>
            <rFont val="細明體"/>
            <family val="3"/>
            <charset val="136"/>
          </rPr>
          <t>年移用基金賸餘數金額≦可用累計留存賸餘
  數金額。
(「可用累計留存賸餘數金額」請參閱左下方第2工作頁「109年累計留存賸餘數(參考資料)」中「截至目前累計留存賸餘數(C=A-B)」欄)
2.請於須編列之項目填寫金額；無須編列之項目，金額請填「0」。配合預算編列，金額請編列至「千元」。
3.請勿更動表格格式及公式。</t>
        </r>
      </text>
    </comment>
  </commentList>
</comments>
</file>

<file path=xl/sharedStrings.xml><?xml version="1.0" encoding="utf-8"?>
<sst xmlns="http://schemas.openxmlformats.org/spreadsheetml/2006/main" count="234" uniqueCount="226">
  <si>
    <t>計畫型補助款</t>
    <phoneticPr fontId="5" type="noConversion"/>
  </si>
  <si>
    <t>花崗國中</t>
    <phoneticPr fontId="5" type="noConversion"/>
  </si>
  <si>
    <t>國風國中</t>
    <phoneticPr fontId="5" type="noConversion"/>
  </si>
  <si>
    <t>玉東國中</t>
    <phoneticPr fontId="5" type="noConversion"/>
  </si>
  <si>
    <t>富北國中</t>
    <phoneticPr fontId="5" type="noConversion"/>
  </si>
  <si>
    <t>合計</t>
    <phoneticPr fontId="5" type="noConversion"/>
  </si>
  <si>
    <t>南平中學</t>
    <phoneticPr fontId="5" type="noConversion"/>
  </si>
  <si>
    <t>學校名稱</t>
    <phoneticPr fontId="5" type="noConversion"/>
  </si>
  <si>
    <t>美崙國中</t>
    <phoneticPr fontId="5" type="noConversion"/>
  </si>
  <si>
    <t>自強國中</t>
    <phoneticPr fontId="5" type="noConversion"/>
  </si>
  <si>
    <t>秀林國中</t>
    <phoneticPr fontId="5" type="noConversion"/>
  </si>
  <si>
    <t>新城國中</t>
    <phoneticPr fontId="5" type="noConversion"/>
  </si>
  <si>
    <t>宜昌國中</t>
    <phoneticPr fontId="5" type="noConversion"/>
  </si>
  <si>
    <t>化仁國中</t>
    <phoneticPr fontId="5" type="noConversion"/>
  </si>
  <si>
    <t>吉安國中</t>
    <phoneticPr fontId="5" type="noConversion"/>
  </si>
  <si>
    <t>平和國中</t>
    <phoneticPr fontId="5" type="noConversion"/>
  </si>
  <si>
    <t>壽豐國中</t>
    <phoneticPr fontId="5" type="noConversion"/>
  </si>
  <si>
    <t>鳳林國中</t>
    <phoneticPr fontId="5" type="noConversion"/>
  </si>
  <si>
    <t>萬榮國中</t>
    <phoneticPr fontId="5" type="noConversion"/>
  </si>
  <si>
    <t>光復國中</t>
    <phoneticPr fontId="5" type="noConversion"/>
  </si>
  <si>
    <t>富源國中</t>
    <phoneticPr fontId="5" type="noConversion"/>
  </si>
  <si>
    <t>瑞穗國中</t>
    <phoneticPr fontId="5" type="noConversion"/>
  </si>
  <si>
    <t>三民國中</t>
    <phoneticPr fontId="5" type="noConversion"/>
  </si>
  <si>
    <t>玉里國中</t>
    <phoneticPr fontId="5" type="noConversion"/>
  </si>
  <si>
    <t>富里國中</t>
    <phoneticPr fontId="5" type="noConversion"/>
  </si>
  <si>
    <t>豐濱國中</t>
    <phoneticPr fontId="5" type="noConversion"/>
  </si>
  <si>
    <t>東里國中</t>
    <phoneticPr fontId="5" type="noConversion"/>
  </si>
  <si>
    <t>收支對列</t>
    <phoneticPr fontId="5" type="noConversion"/>
  </si>
  <si>
    <t>體育高中</t>
    <phoneticPr fontId="5" type="noConversion"/>
  </si>
  <si>
    <t>導師費
(1000元/班/月)
(A)</t>
    <phoneticPr fontId="5" type="noConversion"/>
  </si>
  <si>
    <t>身心障礙
集中式導師費
(4000元/班/月)
(B)</t>
    <phoneticPr fontId="5" type="noConversion"/>
  </si>
  <si>
    <t>專任輔導教師
(計畫型)
(C)</t>
    <phoneticPr fontId="5" type="noConversion"/>
  </si>
  <si>
    <t>專任輔導教師
(縣配合)
(D)</t>
    <phoneticPr fontId="5" type="noConversion"/>
  </si>
  <si>
    <t>慈暉班
(計畫型)
(E)</t>
    <phoneticPr fontId="5" type="noConversion"/>
  </si>
  <si>
    <t>慈暉班
(縣配合)
(F)</t>
    <phoneticPr fontId="5" type="noConversion"/>
  </si>
  <si>
    <t>移用以前年度賸餘
(J)</t>
    <phoneticPr fontId="5" type="noConversion"/>
  </si>
  <si>
    <t>各國民中學概算額度
(基金用途)
(L)</t>
    <phoneticPr fontId="5" type="noConversion"/>
  </si>
  <si>
    <t>縣負擔款
(N)=(L)-(K)-(M)+(O)</t>
    <phoneticPr fontId="5" type="noConversion"/>
  </si>
  <si>
    <t>調整至千元
(O)</t>
    <phoneticPr fontId="5" type="noConversion"/>
  </si>
  <si>
    <r>
      <t>審查意見書</t>
    </r>
    <r>
      <rPr>
        <b/>
        <sz val="12"/>
        <color indexed="8"/>
        <rFont val="新細明體"/>
        <family val="1"/>
        <charset val="136"/>
      </rPr>
      <t>縣庫撥款收入</t>
    </r>
    <phoneticPr fontId="5" type="noConversion"/>
  </si>
  <si>
    <r>
      <t>預算書</t>
    </r>
    <r>
      <rPr>
        <b/>
        <sz val="12"/>
        <color indexed="8"/>
        <rFont val="新細明體"/>
        <family val="1"/>
        <charset val="136"/>
      </rPr>
      <t>上基金來源總數
(P)=(L)-(J)</t>
    </r>
    <phoneticPr fontId="5" type="noConversion"/>
  </si>
  <si>
    <t>營養師
(縣配合)
(Q)</t>
    <phoneticPr fontId="5" type="noConversion"/>
  </si>
  <si>
    <t>自有收入</t>
    <phoneticPr fontId="5" type="noConversion"/>
  </si>
  <si>
    <t>縣配合款
(M)=(D)+(F)+(Q)</t>
    <phoneticPr fontId="5" type="noConversion"/>
  </si>
  <si>
    <t>營養師(計畫型)
(G)</t>
    <phoneticPr fontId="5" type="noConversion"/>
  </si>
  <si>
    <t>一般性補助款(I)</t>
    <phoneticPr fontId="5" type="noConversion"/>
  </si>
  <si>
    <t>學校留存數充作財源</t>
    <phoneticPr fontId="5" type="noConversion"/>
  </si>
  <si>
    <t>109學年度班級數</t>
    <phoneticPr fontId="5" type="noConversion"/>
  </si>
  <si>
    <t>學校名稱</t>
  </si>
  <si>
    <t>編號</t>
  </si>
  <si>
    <t>普通班*</t>
    <phoneticPr fontId="5" type="noConversion"/>
  </si>
  <si>
    <t>導師費(不需掣據)</t>
    <phoneticPr fontId="5" type="noConversion"/>
  </si>
  <si>
    <t>合計</t>
    <phoneticPr fontId="27" type="noConversion"/>
  </si>
  <si>
    <t>縣配合款</t>
    <phoneticPr fontId="27" type="noConversion"/>
  </si>
  <si>
    <t>中央補助款</t>
    <phoneticPr fontId="27" type="noConversion"/>
  </si>
  <si>
    <t>核定金額</t>
    <phoneticPr fontId="27" type="noConversion"/>
  </si>
  <si>
    <t>專任輔導教師員額</t>
    <phoneticPr fontId="27" type="noConversion"/>
  </si>
  <si>
    <t>學校</t>
    <phoneticPr fontId="27" type="noConversion"/>
  </si>
  <si>
    <t>營養師＆南平中學
(I)</t>
    <phoneticPr fontId="5" type="noConversion"/>
  </si>
  <si>
    <r>
      <t>小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計</t>
    </r>
  </si>
  <si>
    <t>偏遠國中
合理員額</t>
  </si>
  <si>
    <t>經費</t>
    <phoneticPr fontId="22" type="noConversion"/>
  </si>
  <si>
    <t xml:space="preserve">偏遠地區合理教師員額
( R)
</t>
    <phoneticPr fontId="14" type="noConversion"/>
  </si>
  <si>
    <t>15310美崙國中</t>
    <phoneticPr fontId="5" type="noConversion"/>
  </si>
  <si>
    <t>15311花崗國中</t>
    <phoneticPr fontId="5" type="noConversion"/>
  </si>
  <si>
    <t>15312國風國中</t>
    <phoneticPr fontId="5" type="noConversion"/>
  </si>
  <si>
    <t>15313自強國中</t>
    <phoneticPr fontId="5" type="noConversion"/>
  </si>
  <si>
    <t>15315秀林國中</t>
    <phoneticPr fontId="5" type="noConversion"/>
  </si>
  <si>
    <t>15316新城國中</t>
    <phoneticPr fontId="5" type="noConversion"/>
  </si>
  <si>
    <t>15317宜昌國中</t>
    <phoneticPr fontId="5" type="noConversion"/>
  </si>
  <si>
    <t>15318化仁國中</t>
    <phoneticPr fontId="5" type="noConversion"/>
  </si>
  <si>
    <t>15320吉安國中</t>
    <phoneticPr fontId="5" type="noConversion"/>
  </si>
  <si>
    <t>15321平和國中</t>
    <phoneticPr fontId="5" type="noConversion"/>
  </si>
  <si>
    <t>15322壽豐國中</t>
    <phoneticPr fontId="5" type="noConversion"/>
  </si>
  <si>
    <t>15325鳳林國中</t>
    <phoneticPr fontId="5" type="noConversion"/>
  </si>
  <si>
    <t>15326萬榮國中</t>
    <phoneticPr fontId="5" type="noConversion"/>
  </si>
  <si>
    <t>15327光復國中</t>
    <phoneticPr fontId="5" type="noConversion"/>
  </si>
  <si>
    <t>15328富源國中</t>
    <phoneticPr fontId="5" type="noConversion"/>
  </si>
  <si>
    <t>15329瑞穗國中</t>
    <phoneticPr fontId="5" type="noConversion"/>
  </si>
  <si>
    <t>15330三民國中</t>
    <phoneticPr fontId="5" type="noConversion"/>
  </si>
  <si>
    <t>15332玉里國中</t>
    <phoneticPr fontId="5" type="noConversion"/>
  </si>
  <si>
    <t>15333玉東國中</t>
    <phoneticPr fontId="5" type="noConversion"/>
  </si>
  <si>
    <t>15334富北國中</t>
    <phoneticPr fontId="5" type="noConversion"/>
  </si>
  <si>
    <t>15335富里國中</t>
    <phoneticPr fontId="5" type="noConversion"/>
  </si>
  <si>
    <t>15336豐濱國中</t>
    <phoneticPr fontId="5" type="noConversion"/>
  </si>
  <si>
    <t>15337東里國中</t>
    <phoneticPr fontId="5" type="noConversion"/>
  </si>
  <si>
    <t>15338南平中學</t>
    <phoneticPr fontId="5" type="noConversion"/>
  </si>
  <si>
    <t>15800體育高中</t>
    <phoneticPr fontId="5" type="noConversion"/>
  </si>
  <si>
    <t>基金來源</t>
    <phoneticPr fontId="22" type="noConversion"/>
  </si>
  <si>
    <t>基金用途</t>
    <phoneticPr fontId="22" type="noConversion"/>
  </si>
  <si>
    <t>移用留存數</t>
    <phoneticPr fontId="22" type="noConversion"/>
  </si>
  <si>
    <t>高國中合計</t>
    <phoneticPr fontId="22" type="noConversion"/>
  </si>
  <si>
    <t>國中合計(公式)</t>
    <phoneticPr fontId="22" type="noConversion"/>
  </si>
  <si>
    <t>111年高國中基金來源分析_體中及各國民中學</t>
    <phoneticPr fontId="5" type="noConversion"/>
  </si>
  <si>
    <t>美崙國中</t>
  </si>
  <si>
    <t>花崗國中</t>
  </si>
  <si>
    <t>國風國中</t>
  </si>
  <si>
    <t>自強國中</t>
  </si>
  <si>
    <t>秀林國中</t>
  </si>
  <si>
    <t>新城國中</t>
  </si>
  <si>
    <t>宜昌國中</t>
  </si>
  <si>
    <t>化仁國中</t>
  </si>
  <si>
    <t>吉安國中</t>
  </si>
  <si>
    <t>平和國中</t>
  </si>
  <si>
    <t>壽豐國中</t>
  </si>
  <si>
    <t>鳳林國中</t>
  </si>
  <si>
    <t>萬榮國中</t>
  </si>
  <si>
    <t>光復國中</t>
  </si>
  <si>
    <t>富源國中</t>
  </si>
  <si>
    <t>瑞穗國中</t>
  </si>
  <si>
    <t>三民國中</t>
  </si>
  <si>
    <t>玉里國中</t>
  </si>
  <si>
    <t>玉東國中</t>
  </si>
  <si>
    <t>富北國中</t>
  </si>
  <si>
    <t>富里國中</t>
  </si>
  <si>
    <t>豐濱國中</t>
  </si>
  <si>
    <t>東里國中</t>
  </si>
  <si>
    <t>南平中學</t>
    <phoneticPr fontId="27" type="noConversion"/>
  </si>
  <si>
    <t>花蓮縣111年輔導人力運用計畫-專任輔導教師人事費編列表</t>
    <phoneticPr fontId="27" type="noConversion"/>
  </si>
  <si>
    <r>
      <t>請學校核對報送教育處之"</t>
    </r>
    <r>
      <rPr>
        <sz val="12"/>
        <color theme="1"/>
        <rFont val="新細明體"/>
        <family val="1"/>
        <charset val="136"/>
        <scheme val="minor"/>
      </rPr>
      <t>111年度基金來源預算總表"
(H)</t>
    </r>
    <phoneticPr fontId="5" type="noConversion"/>
  </si>
  <si>
    <t>體育班*</t>
    <phoneticPr fontId="5" type="noConversion"/>
  </si>
  <si>
    <t>藝術才能班*</t>
    <phoneticPr fontId="5" type="noConversion"/>
  </si>
  <si>
    <t>集中式特教班</t>
    <phoneticPr fontId="5" type="noConversion"/>
  </si>
  <si>
    <r>
      <t>巡迴輔導班</t>
    </r>
    <r>
      <rPr>
        <sz val="10"/>
        <rFont val="標楷體"/>
        <family val="4"/>
        <charset val="136"/>
      </rPr>
      <t>(含資優)</t>
    </r>
    <phoneticPr fontId="5" type="noConversion"/>
  </si>
  <si>
    <r>
      <rPr>
        <sz val="10"/>
        <rFont val="標楷體"/>
        <family val="4"/>
        <charset val="136"/>
      </rPr>
      <t>分散式</t>
    </r>
    <r>
      <rPr>
        <sz val="12"/>
        <rFont val="標楷體"/>
        <family val="4"/>
        <charset val="136"/>
      </rPr>
      <t>資源班</t>
    </r>
    <r>
      <rPr>
        <sz val="10"/>
        <rFont val="標楷體"/>
        <family val="4"/>
        <charset val="136"/>
      </rPr>
      <t>(含資優)</t>
    </r>
    <phoneticPr fontId="5" type="noConversion"/>
  </si>
  <si>
    <t>不含集中式特教班
(A)</t>
    <phoneticPr fontId="5" type="noConversion"/>
  </si>
  <si>
    <r>
      <t>導師總數</t>
    </r>
    <r>
      <rPr>
        <sz val="16"/>
        <color indexed="10"/>
        <rFont val="標楷體"/>
        <family val="4"/>
        <charset val="136"/>
      </rPr>
      <t>(B)</t>
    </r>
    <phoneticPr fontId="5" type="noConversion"/>
  </si>
  <si>
    <r>
      <t>第二導師總數</t>
    </r>
    <r>
      <rPr>
        <sz val="16"/>
        <color indexed="10"/>
        <rFont val="標楷體"/>
        <family val="4"/>
        <charset val="136"/>
      </rPr>
      <t>(C)</t>
    </r>
    <phoneticPr fontId="5" type="noConversion"/>
  </si>
  <si>
    <r>
      <rPr>
        <sz val="14"/>
        <rFont val="標楷體"/>
        <family val="4"/>
        <charset val="136"/>
      </rPr>
      <t xml:space="preserve">不含集中式教教班之導師費
</t>
    </r>
    <r>
      <rPr>
        <sz val="12"/>
        <rFont val="Times New Roman"/>
        <family val="1"/>
      </rPr>
      <t>(A×1000)×12
(111/</t>
    </r>
    <r>
      <rPr>
        <sz val="12"/>
        <rFont val="標楷體"/>
        <family val="4"/>
        <charset val="136"/>
      </rPr>
      <t>1</t>
    </r>
    <r>
      <rPr>
        <sz val="12"/>
        <rFont val="Times New Roman"/>
        <family val="1"/>
      </rPr>
      <t>-12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5" type="noConversion"/>
  </si>
  <si>
    <t>110學年度班級數</t>
    <phoneticPr fontId="5" type="noConversion"/>
  </si>
  <si>
    <t>與109學年度班級數比較</t>
    <phoneticPr fontId="5" type="noConversion"/>
  </si>
  <si>
    <t>教師數</t>
    <phoneticPr fontId="5" type="noConversion"/>
  </si>
  <si>
    <t>班級數</t>
    <phoneticPr fontId="5" type="noConversion"/>
  </si>
  <si>
    <r>
      <rPr>
        <sz val="12"/>
        <rFont val="標楷體"/>
        <family val="4"/>
        <charset val="136"/>
      </rPr>
      <t>國中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含南平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校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合計</t>
    </r>
    <phoneticPr fontId="5" type="noConversion"/>
  </si>
  <si>
    <t>111年度本縣所屬各級學校移用基金賸餘數預算調查表</t>
    <phoneticPr fontId="42" type="noConversion"/>
  </si>
  <si>
    <t>單位：新臺幣千元</t>
    <phoneticPr fontId="42" type="noConversion"/>
  </si>
  <si>
    <t>學校名稱</t>
    <phoneticPr fontId="42" type="noConversion"/>
  </si>
  <si>
    <t>承辦人姓名(職稱)及電話</t>
    <phoneticPr fontId="42" type="noConversion"/>
  </si>
  <si>
    <t>累計留存賸餘數(元)</t>
    <phoneticPr fontId="42" type="noConversion"/>
  </si>
  <si>
    <t>歲出預算科目(千元)</t>
    <phoneticPr fontId="42" type="noConversion"/>
  </si>
  <si>
    <t>備註</t>
    <phoneticPr fontId="42" type="noConversion"/>
  </si>
  <si>
    <t>109年度累計留存賸餘數(核定數)
(A)</t>
    <phoneticPr fontId="42" type="noConversion"/>
  </si>
  <si>
    <t>110年度移用留存歷年賸餘併決算(截至6/28為止) (B)</t>
    <phoneticPr fontId="42" type="noConversion"/>
  </si>
  <si>
    <t>可用累計留存賸餘數
(C=A-B)</t>
    <phoneticPr fontId="42" type="noConversion"/>
  </si>
  <si>
    <t>高中及高職/國民中學/國民小學教育計畫-各校經常門分支計畫</t>
    <phoneticPr fontId="42" type="noConversion"/>
  </si>
  <si>
    <t>建築及設備計畫-由學校編列執行之營建及修繕工程/由學校編列執行之其他設備</t>
    <phoneticPr fontId="42" type="noConversion"/>
  </si>
  <si>
    <t>用途說明【資本門需說明購置項目】</t>
    <phoneticPr fontId="42" type="noConversion"/>
  </si>
  <si>
    <t>經資門總計</t>
    <phoneticPr fontId="42" type="noConversion"/>
  </si>
  <si>
    <t>252一般房屋修護費</t>
    <phoneticPr fontId="42" type="noConversion"/>
  </si>
  <si>
    <t>255機械及設備修護費</t>
    <phoneticPr fontId="42" type="noConversion"/>
  </si>
  <si>
    <t>257雜項設備修護費</t>
    <phoneticPr fontId="42" type="noConversion"/>
  </si>
  <si>
    <t>27D計時與計件人員酬金</t>
    <phoneticPr fontId="42" type="noConversion"/>
  </si>
  <si>
    <t>321辦公(事務)用品</t>
    <phoneticPr fontId="42" type="noConversion"/>
  </si>
  <si>
    <t>32Y其他用品消耗</t>
    <phoneticPr fontId="42" type="noConversion"/>
  </si>
  <si>
    <t>經常門合計</t>
    <phoneticPr fontId="42" type="noConversion"/>
  </si>
  <si>
    <t>513擴充改良房屋建築及設備
 【資本門需1萬元以上】</t>
    <phoneticPr fontId="42" type="noConversion"/>
  </si>
  <si>
    <t>514購置機械及設備 【資本門需1萬元以上】</t>
    <phoneticPr fontId="42" type="noConversion"/>
  </si>
  <si>
    <t>515購置交通及運輸設備【資本門需1萬元以上】</t>
    <phoneticPr fontId="42" type="noConversion"/>
  </si>
  <si>
    <t>516購置雜項設備 【資本門需1萬元以上】</t>
    <phoneticPr fontId="42" type="noConversion"/>
  </si>
  <si>
    <t>521購置電腦軟體 【資本門需1萬元以上】</t>
    <phoneticPr fontId="42" type="noConversion"/>
  </si>
  <si>
    <t>資本門合計</t>
  </si>
  <si>
    <t>林鴻吉 8462610#303</t>
    <phoneticPr fontId="42" type="noConversion"/>
  </si>
  <si>
    <t>514 購置機械及設備：
汰換總務處、輔導室冷氣機2台 100千元
汰換行政用電腦3台 75千元
515購置交通及運輸設備：
學校廣播系統擴大機更換2台 42千元
購置音箱2台 38千元
516購置雜項設備：
汰換飲水機1台 99千元
521購置電腦軟體
新增雲端差勤系統1式 20千元
共計374千元</t>
    <phoneticPr fontId="42" type="noConversion"/>
  </si>
  <si>
    <t>趙麗美(會計主任)8343950</t>
    <phoneticPr fontId="42" type="noConversion"/>
  </si>
  <si>
    <t>事務組長鄭棋鴻8579338#102</t>
    <phoneticPr fontId="42" type="noConversion"/>
  </si>
  <si>
    <t>郭鴻涓
8520803#801</t>
    <phoneticPr fontId="42" type="noConversion"/>
  </si>
  <si>
    <t>蔡莉貞主任8543471#122</t>
    <phoneticPr fontId="42" type="noConversion"/>
  </si>
  <si>
    <t>謝博鈞主任
03-876-1101#214</t>
    <phoneticPr fontId="42" type="noConversion"/>
  </si>
  <si>
    <t xml:space="preserve"> 購買教學設備(電腦、平板)</t>
    <phoneticPr fontId="42" type="noConversion"/>
  </si>
  <si>
    <t>謝博鈞主任
03-870-1027</t>
    <phoneticPr fontId="42" type="noConversion"/>
  </si>
  <si>
    <t>蔡明和總務主任8811002-19</t>
    <phoneticPr fontId="42" type="noConversion"/>
  </si>
  <si>
    <t>50000更換行政及導師電腦 20000購買動力鏈鋸</t>
    <phoneticPr fontId="42" type="noConversion"/>
  </si>
  <si>
    <t>賴科位/總務主任</t>
    <phoneticPr fontId="42" type="noConversion"/>
  </si>
  <si>
    <t>陳柏齊</t>
    <phoneticPr fontId="42" type="noConversion"/>
  </si>
  <si>
    <t>總務主任 038830006*31</t>
  </si>
  <si>
    <t>財務(檔案)用全自動鑽孔機</t>
  </si>
  <si>
    <t>高國中合計</t>
    <phoneticPr fontId="42" type="noConversion"/>
  </si>
  <si>
    <t>體育高中</t>
    <phoneticPr fontId="42" type="noConversion"/>
  </si>
  <si>
    <t>國風國中</t>
    <phoneticPr fontId="42" type="noConversion"/>
  </si>
  <si>
    <t>自強國中</t>
    <phoneticPr fontId="42" type="noConversion"/>
  </si>
  <si>
    <t>宜昌國中</t>
    <phoneticPr fontId="42" type="noConversion"/>
  </si>
  <si>
    <t>化仁國中</t>
    <phoneticPr fontId="42" type="noConversion"/>
  </si>
  <si>
    <t>鳳林國中</t>
    <phoneticPr fontId="42" type="noConversion"/>
  </si>
  <si>
    <t>光復國中</t>
    <phoneticPr fontId="42" type="noConversion"/>
  </si>
  <si>
    <t>富源國中</t>
    <phoneticPr fontId="42" type="noConversion"/>
  </si>
  <si>
    <t>瑞穗國中</t>
    <phoneticPr fontId="42" type="noConversion"/>
  </si>
  <si>
    <t>玉東國中</t>
    <phoneticPr fontId="42" type="noConversion"/>
  </si>
  <si>
    <t>富里國中</t>
    <phoneticPr fontId="42" type="noConversion"/>
  </si>
  <si>
    <r>
      <t>110</t>
    </r>
    <r>
      <rPr>
        <sz val="16"/>
        <rFont val="標楷體"/>
        <family val="4"/>
        <charset val="136"/>
      </rPr>
      <t>學年度課稅配套之「公私立國民中小學調整教師授課節數及導師費」編列於各校</t>
    </r>
    <r>
      <rPr>
        <sz val="16"/>
        <rFont val="Times New Roman"/>
        <family val="1"/>
      </rPr>
      <t>111</t>
    </r>
    <r>
      <rPr>
        <sz val="16"/>
        <rFont val="標楷體"/>
        <family val="4"/>
        <charset val="136"/>
      </rPr>
      <t>年度預算一覽表</t>
    </r>
    <r>
      <rPr>
        <sz val="16"/>
        <rFont val="Times New Roman"/>
        <family val="1"/>
      </rPr>
      <t>_</t>
    </r>
    <r>
      <rPr>
        <sz val="16"/>
        <color indexed="10"/>
        <rFont val="Times New Roman"/>
        <family val="1"/>
      </rPr>
      <t>1100810</t>
    </r>
    <r>
      <rPr>
        <sz val="16"/>
        <color indexed="10"/>
        <rFont val="標楷體"/>
        <family val="4"/>
        <charset val="136"/>
      </rPr>
      <t>修</t>
    </r>
    <phoneticPr fontId="5" type="noConversion"/>
  </si>
  <si>
    <t>美崙國中</t>
    <phoneticPr fontId="22" type="noConversion"/>
  </si>
  <si>
    <t>花崗國中</t>
    <phoneticPr fontId="22" type="noConversion"/>
  </si>
  <si>
    <t>國風國中</t>
    <phoneticPr fontId="22" type="noConversion"/>
  </si>
  <si>
    <t>自強國中</t>
    <phoneticPr fontId="22" type="noConversion"/>
  </si>
  <si>
    <t>秀林國中</t>
    <phoneticPr fontId="22" type="noConversion"/>
  </si>
  <si>
    <t>新城國中</t>
    <phoneticPr fontId="22" type="noConversion"/>
  </si>
  <si>
    <t>宜昌國中</t>
    <phoneticPr fontId="22" type="noConversion"/>
  </si>
  <si>
    <t>化仁國中</t>
    <phoneticPr fontId="22" type="noConversion"/>
  </si>
  <si>
    <t>吉安國中</t>
    <phoneticPr fontId="22" type="noConversion"/>
  </si>
  <si>
    <t>平和國中</t>
    <phoneticPr fontId="22" type="noConversion"/>
  </si>
  <si>
    <t>壽豐國中</t>
    <phoneticPr fontId="22" type="noConversion"/>
  </si>
  <si>
    <t>鳳林國中</t>
    <phoneticPr fontId="22" type="noConversion"/>
  </si>
  <si>
    <t>萬榮國中</t>
    <phoneticPr fontId="22" type="noConversion"/>
  </si>
  <si>
    <t>光復國中</t>
    <phoneticPr fontId="22" type="noConversion"/>
  </si>
  <si>
    <t>富源國中</t>
    <phoneticPr fontId="22" type="noConversion"/>
  </si>
  <si>
    <t>瑞穗國中</t>
    <phoneticPr fontId="22" type="noConversion"/>
  </si>
  <si>
    <t>三民國中</t>
    <phoneticPr fontId="22" type="noConversion"/>
  </si>
  <si>
    <t>玉里國中</t>
    <phoneticPr fontId="22" type="noConversion"/>
  </si>
  <si>
    <t>玉東國中</t>
    <phoneticPr fontId="22" type="noConversion"/>
  </si>
  <si>
    <t>富北國中</t>
    <phoneticPr fontId="22" type="noConversion"/>
  </si>
  <si>
    <t>富里國中</t>
    <phoneticPr fontId="22" type="noConversion"/>
  </si>
  <si>
    <t>豐濱國中</t>
    <phoneticPr fontId="22" type="noConversion"/>
  </si>
  <si>
    <t>東里國中</t>
    <phoneticPr fontId="22" type="noConversion"/>
  </si>
  <si>
    <r>
      <t>南平中學</t>
    </r>
    <r>
      <rPr>
        <sz val="12"/>
        <rFont val="Times New Roman"/>
        <family val="1"/>
      </rPr>
      <t/>
    </r>
    <phoneticPr fontId="5" type="noConversion"/>
  </si>
  <si>
    <t>集中式特教班導師費
(C×4000)×12
(111/1-12月)</t>
    <phoneticPr fontId="5" type="noConversion"/>
  </si>
  <si>
    <t>平和國中(偏遠)</t>
  </si>
  <si>
    <t>萬榮國中(偏遠)</t>
  </si>
  <si>
    <t>光復國中(偏遠)</t>
  </si>
  <si>
    <t>富源國中(偏遠)</t>
  </si>
  <si>
    <t>瑞穗國中(偏遠)</t>
  </si>
  <si>
    <t>三民國中(特偏)</t>
  </si>
  <si>
    <t>玉東國中(特偏)</t>
  </si>
  <si>
    <t>富北國中(偏遠)</t>
  </si>
  <si>
    <t>富里國中(偏遠)</t>
  </si>
  <si>
    <t>豐濱國中(特偏)</t>
  </si>
  <si>
    <t>備註：依110學年度公立中等以下學校員額編制表內合理員額x70萬/人計算</t>
    <phoneticPr fontId="22" type="noConversion"/>
  </si>
  <si>
    <r>
      <t>合計
(左列加總，</t>
    </r>
    <r>
      <rPr>
        <b/>
        <sz val="12"/>
        <color indexed="10"/>
        <rFont val="新細明體"/>
        <family val="1"/>
        <charset val="136"/>
      </rPr>
      <t xml:space="preserve">除專輔師、慈輝班、營養師之縣配合款)
</t>
    </r>
    <r>
      <rPr>
        <b/>
        <sz val="12"/>
        <color indexed="8"/>
        <rFont val="新細明體"/>
        <family val="1"/>
        <charset val="136"/>
      </rPr>
      <t>(K)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</si>
</sst>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(* #,##0_);_(* \(#,##0\);_(* \-_);_(@_)"/>
    <numFmt numFmtId="179" formatCode="#,##0_);[Red]\(#,##0\)"/>
    <numFmt numFmtId="180" formatCode="_-* #,##0_-;\-* #,##0_-;_-* &quot;-&quot;?_-;_-@_-"/>
    <numFmt numFmtId="181" formatCode="0_);[Red]\(0\)"/>
    <numFmt numFmtId="182" formatCode="0_ "/>
    <numFmt numFmtId="183" formatCode="#,##0_);\(#,##0\)"/>
  </numFmts>
  <fonts count="46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1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u/>
      <sz val="14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9"/>
      <color indexed="81"/>
      <name val="細明體"/>
      <family val="3"/>
      <charset val="136"/>
    </font>
    <font>
      <u/>
      <sz val="12"/>
      <color theme="1"/>
      <name val="新細明體"/>
      <family val="1"/>
      <charset val="136"/>
      <scheme val="minor"/>
    </font>
    <font>
      <b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sz val="16"/>
      <name val="Times New Roman"/>
      <family val="1"/>
    </font>
    <font>
      <sz val="16"/>
      <color indexed="10"/>
      <name val="Times New Roman"/>
      <family val="1"/>
    </font>
    <font>
      <sz val="20"/>
      <name val="Times New Roman"/>
      <family val="1"/>
    </font>
    <font>
      <sz val="16"/>
      <color indexed="10"/>
      <name val="標楷體"/>
      <family val="4"/>
      <charset val="136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8"/>
      <name val="標楷體"/>
      <family val="4"/>
      <charset val="136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0"/>
      <color indexed="8"/>
      <name val="ARIAL"/>
      <family val="2"/>
    </font>
    <font>
      <b/>
      <sz val="12"/>
      <color indexed="8"/>
      <name val="標楷體"/>
      <family val="4"/>
      <charset val="136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5" fillId="0" borderId="0"/>
    <xf numFmtId="43" fontId="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8" fontId="15" fillId="0" borderId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4" fillId="0" borderId="0">
      <alignment vertical="top"/>
    </xf>
  </cellStyleXfs>
  <cellXfs count="206">
    <xf numFmtId="0" fontId="0" fillId="0" borderId="0" xfId="0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0" fontId="0" fillId="0" borderId="0" xfId="0" applyAlignment="1">
      <alignment vertical="center" shrinkToFit="1"/>
    </xf>
    <xf numFmtId="0" fontId="4" fillId="7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1" fillId="0" borderId="0" xfId="8">
      <alignment vertical="center"/>
    </xf>
    <xf numFmtId="180" fontId="26" fillId="0" borderId="18" xfId="8" applyNumberFormat="1" applyFont="1" applyBorder="1">
      <alignment vertical="center"/>
    </xf>
    <xf numFmtId="177" fontId="26" fillId="0" borderId="18" xfId="8" applyNumberFormat="1" applyFont="1" applyBorder="1">
      <alignment vertical="center"/>
    </xf>
    <xf numFmtId="181" fontId="26" fillId="0" borderId="18" xfId="8" applyNumberFormat="1" applyFont="1" applyBorder="1" applyAlignment="1">
      <alignment horizontal="center" vertical="center"/>
    </xf>
    <xf numFmtId="0" fontId="26" fillId="0" borderId="31" xfId="8" applyFont="1" applyBorder="1" applyAlignment="1">
      <alignment horizontal="right" vertical="center"/>
    </xf>
    <xf numFmtId="181" fontId="9" fillId="0" borderId="1" xfId="10" applyNumberFormat="1" applyFont="1" applyFill="1" applyBorder="1" applyAlignment="1">
      <alignment horizontal="center" vertical="center" wrapText="1"/>
    </xf>
    <xf numFmtId="0" fontId="9" fillId="0" borderId="22" xfId="10" applyFont="1" applyFill="1" applyBorder="1" applyAlignment="1">
      <alignment horizontal="center" vertical="center" wrapText="1"/>
    </xf>
    <xf numFmtId="181" fontId="26" fillId="0" borderId="1" xfId="10" applyNumberFormat="1" applyFont="1" applyFill="1" applyBorder="1" applyAlignment="1">
      <alignment horizontal="center" vertical="center" wrapText="1"/>
    </xf>
    <xf numFmtId="181" fontId="1" fillId="0" borderId="0" xfId="8" applyNumberFormat="1">
      <alignment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shrinkToFit="1"/>
    </xf>
    <xf numFmtId="182" fontId="30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83" fontId="30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177" fontId="28" fillId="0" borderId="1" xfId="3" applyNumberFormat="1" applyFont="1" applyBorder="1" applyAlignment="1">
      <alignment horizontal="center" vertical="center"/>
    </xf>
    <xf numFmtId="177" fontId="33" fillId="0" borderId="1" xfId="3" applyNumberFormat="1" applyFont="1" applyBorder="1">
      <alignment vertical="center"/>
    </xf>
    <xf numFmtId="177" fontId="33" fillId="0" borderId="0" xfId="3" applyNumberFormat="1" applyFont="1">
      <alignment vertical="center"/>
    </xf>
    <xf numFmtId="0" fontId="28" fillId="0" borderId="1" xfId="0" applyFont="1" applyBorder="1" applyAlignment="1">
      <alignment horizontal="center" vertical="center"/>
    </xf>
    <xf numFmtId="0" fontId="24" fillId="0" borderId="1" xfId="10" applyFont="1" applyFill="1" applyBorder="1" applyAlignment="1">
      <alignment horizontal="center" vertical="center"/>
    </xf>
    <xf numFmtId="0" fontId="28" fillId="0" borderId="1" xfId="1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177" fontId="26" fillId="0" borderId="1" xfId="3" applyNumberFormat="1" applyFont="1" applyBorder="1">
      <alignment vertical="center"/>
    </xf>
    <xf numFmtId="180" fontId="26" fillId="0" borderId="1" xfId="0" applyNumberFormat="1" applyFont="1" applyBorder="1">
      <alignment vertical="center"/>
    </xf>
    <xf numFmtId="180" fontId="26" fillId="0" borderId="15" xfId="0" applyNumberFormat="1" applyFont="1" applyBorder="1">
      <alignment vertical="center"/>
    </xf>
    <xf numFmtId="0" fontId="36" fillId="16" borderId="34" xfId="0" applyFont="1" applyFill="1" applyBorder="1" applyAlignment="1">
      <alignment horizontal="center" vertical="center"/>
    </xf>
    <xf numFmtId="0" fontId="36" fillId="16" borderId="37" xfId="0" applyFont="1" applyFill="1" applyBorder="1" applyAlignment="1">
      <alignment horizontal="center" vertical="center"/>
    </xf>
    <xf numFmtId="0" fontId="36" fillId="16" borderId="21" xfId="0" applyFont="1" applyFill="1" applyBorder="1" applyAlignment="1">
      <alignment horizontal="center" vertical="center"/>
    </xf>
    <xf numFmtId="0" fontId="36" fillId="16" borderId="26" xfId="0" applyFont="1" applyFill="1" applyBorder="1" applyAlignment="1">
      <alignment horizontal="center" vertical="center"/>
    </xf>
    <xf numFmtId="0" fontId="9" fillId="16" borderId="31" xfId="0" applyFont="1" applyFill="1" applyBorder="1" applyAlignment="1">
      <alignment horizontal="center" vertical="center"/>
    </xf>
    <xf numFmtId="0" fontId="9" fillId="16" borderId="30" xfId="0" applyFont="1" applyFill="1" applyBorder="1" applyAlignment="1">
      <alignment horizontal="center" vertical="center"/>
    </xf>
    <xf numFmtId="0" fontId="23" fillId="16" borderId="10" xfId="0" applyFont="1" applyFill="1" applyBorder="1" applyAlignment="1">
      <alignment horizontal="center" vertical="center" wrapText="1"/>
    </xf>
    <xf numFmtId="0" fontId="23" fillId="16" borderId="13" xfId="0" applyFont="1" applyFill="1" applyBorder="1" applyAlignment="1">
      <alignment horizontal="center" vertical="center" wrapText="1"/>
    </xf>
    <xf numFmtId="0" fontId="23" fillId="16" borderId="8" xfId="0" applyFont="1" applyFill="1" applyBorder="1" applyAlignment="1">
      <alignment horizontal="center" vertical="center" wrapText="1"/>
    </xf>
    <xf numFmtId="0" fontId="9" fillId="16" borderId="9" xfId="0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 vertical="center" wrapText="1"/>
    </xf>
    <xf numFmtId="0" fontId="39" fillId="11" borderId="27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176" fontId="39" fillId="14" borderId="25" xfId="0" applyNumberFormat="1" applyFont="1" applyFill="1" applyBorder="1" applyAlignment="1">
      <alignment horizontal="center" vertical="center"/>
    </xf>
    <xf numFmtId="176" fontId="39" fillId="14" borderId="21" xfId="0" applyNumberFormat="1" applyFont="1" applyFill="1" applyBorder="1" applyAlignment="1">
      <alignment horizontal="center" vertical="center"/>
    </xf>
    <xf numFmtId="176" fontId="39" fillId="11" borderId="29" xfId="0" applyNumberFormat="1" applyFont="1" applyFill="1" applyBorder="1" applyAlignment="1">
      <alignment horizontal="center" vertical="center"/>
    </xf>
    <xf numFmtId="176" fontId="39" fillId="12" borderId="24" xfId="0" applyNumberFormat="1" applyFont="1" applyFill="1" applyBorder="1" applyAlignment="1">
      <alignment horizontal="center" vertical="center"/>
    </xf>
    <xf numFmtId="176" fontId="39" fillId="0" borderId="25" xfId="0" applyNumberFormat="1" applyFont="1" applyFill="1" applyBorder="1" applyAlignment="1">
      <alignment horizontal="center" vertical="center"/>
    </xf>
    <xf numFmtId="0" fontId="39" fillId="14" borderId="25" xfId="0" applyFont="1" applyFill="1" applyBorder="1" applyAlignment="1">
      <alignment horizontal="center" vertical="center"/>
    </xf>
    <xf numFmtId="179" fontId="39" fillId="14" borderId="25" xfId="7" applyNumberFormat="1" applyFont="1" applyFill="1" applyBorder="1" applyAlignment="1">
      <alignment horizontal="center" vertical="center"/>
    </xf>
    <xf numFmtId="179" fontId="39" fillId="0" borderId="25" xfId="7" applyNumberFormat="1" applyFont="1" applyFill="1" applyBorder="1" applyAlignment="1">
      <alignment horizontal="center" vertical="center"/>
    </xf>
    <xf numFmtId="179" fontId="39" fillId="0" borderId="24" xfId="7" applyNumberFormat="1" applyFont="1" applyFill="1" applyBorder="1" applyAlignment="1">
      <alignment horizontal="center" vertical="center"/>
    </xf>
    <xf numFmtId="179" fontId="39" fillId="0" borderId="40" xfId="7" applyNumberFormat="1" applyFont="1" applyBorder="1">
      <alignment vertical="center"/>
    </xf>
    <xf numFmtId="179" fontId="39" fillId="0" borderId="25" xfId="7" applyNumberFormat="1" applyFont="1" applyBorder="1">
      <alignment vertical="center"/>
    </xf>
    <xf numFmtId="179" fontId="38" fillId="0" borderId="21" xfId="7" applyNumberFormat="1" applyFont="1" applyBorder="1">
      <alignment vertical="center"/>
    </xf>
    <xf numFmtId="179" fontId="38" fillId="0" borderId="23" xfId="7" applyNumberFormat="1" applyFont="1" applyBorder="1">
      <alignment vertical="center"/>
    </xf>
    <xf numFmtId="0" fontId="39" fillId="11" borderId="22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176" fontId="39" fillId="14" borderId="1" xfId="0" applyNumberFormat="1" applyFont="1" applyFill="1" applyBorder="1" applyAlignment="1">
      <alignment horizontal="center" vertical="center"/>
    </xf>
    <xf numFmtId="176" fontId="39" fillId="11" borderId="1" xfId="0" applyNumberFormat="1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/>
    </xf>
    <xf numFmtId="0" fontId="39" fillId="14" borderId="1" xfId="0" applyFont="1" applyFill="1" applyBorder="1" applyAlignment="1">
      <alignment horizontal="center" vertical="center"/>
    </xf>
    <xf numFmtId="179" fontId="39" fillId="14" borderId="1" xfId="7" applyNumberFormat="1" applyFont="1" applyFill="1" applyBorder="1" applyAlignment="1">
      <alignment horizontal="center" vertical="center"/>
    </xf>
    <xf numFmtId="179" fontId="39" fillId="0" borderId="1" xfId="7" applyNumberFormat="1" applyFont="1" applyFill="1" applyBorder="1" applyAlignment="1">
      <alignment horizontal="center" vertical="center"/>
    </xf>
    <xf numFmtId="179" fontId="39" fillId="0" borderId="15" xfId="7" applyNumberFormat="1" applyFont="1" applyFill="1" applyBorder="1" applyAlignment="1">
      <alignment horizontal="center" vertical="center"/>
    </xf>
    <xf numFmtId="179" fontId="39" fillId="0" borderId="1" xfId="7" applyNumberFormat="1" applyFont="1" applyBorder="1">
      <alignment vertical="center"/>
    </xf>
    <xf numFmtId="176" fontId="39" fillId="11" borderId="24" xfId="0" applyNumberFormat="1" applyFont="1" applyFill="1" applyBorder="1" applyAlignment="1">
      <alignment horizontal="center" vertical="center"/>
    </xf>
    <xf numFmtId="0" fontId="39" fillId="11" borderId="20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 wrapText="1"/>
    </xf>
    <xf numFmtId="176" fontId="39" fillId="14" borderId="28" xfId="0" applyNumberFormat="1" applyFont="1" applyFill="1" applyBorder="1" applyAlignment="1">
      <alignment horizontal="center" vertical="center"/>
    </xf>
    <xf numFmtId="176" fontId="39" fillId="0" borderId="28" xfId="0" applyNumberFormat="1" applyFont="1" applyFill="1" applyBorder="1" applyAlignment="1">
      <alignment horizontal="center" vertical="center"/>
    </xf>
    <xf numFmtId="0" fontId="39" fillId="14" borderId="28" xfId="0" applyFont="1" applyFill="1" applyBorder="1" applyAlignment="1">
      <alignment horizontal="center" vertical="center" wrapText="1"/>
    </xf>
    <xf numFmtId="179" fontId="39" fillId="14" borderId="28" xfId="7" applyNumberFormat="1" applyFont="1" applyFill="1" applyBorder="1" applyAlignment="1">
      <alignment horizontal="center" vertical="center"/>
    </xf>
    <xf numFmtId="179" fontId="39" fillId="0" borderId="28" xfId="7" applyNumberFormat="1" applyFont="1" applyFill="1" applyBorder="1" applyAlignment="1">
      <alignment horizontal="center" vertical="center"/>
    </xf>
    <xf numFmtId="179" fontId="39" fillId="0" borderId="16" xfId="7" applyNumberFormat="1" applyFont="1" applyFill="1" applyBorder="1" applyAlignment="1">
      <alignment horizontal="center" vertical="center"/>
    </xf>
    <xf numFmtId="179" fontId="39" fillId="0" borderId="41" xfId="7" applyNumberFormat="1" applyFont="1" applyBorder="1">
      <alignment vertical="center"/>
    </xf>
    <xf numFmtId="179" fontId="39" fillId="0" borderId="42" xfId="7" applyNumberFormat="1" applyFont="1" applyBorder="1">
      <alignment vertical="center"/>
    </xf>
    <xf numFmtId="179" fontId="39" fillId="0" borderId="28" xfId="7" applyNumberFormat="1" applyFont="1" applyBorder="1">
      <alignment vertical="center"/>
    </xf>
    <xf numFmtId="179" fontId="38" fillId="0" borderId="43" xfId="7" applyNumberFormat="1" applyFont="1" applyBorder="1">
      <alignment vertical="center"/>
    </xf>
    <xf numFmtId="176" fontId="39" fillId="4" borderId="13" xfId="0" applyNumberFormat="1" applyFont="1" applyFill="1" applyBorder="1">
      <alignment vertical="center"/>
    </xf>
    <xf numFmtId="176" fontId="39" fillId="4" borderId="13" xfId="0" applyNumberFormat="1" applyFont="1" applyFill="1" applyBorder="1" applyAlignment="1">
      <alignment horizontal="center" vertical="center"/>
    </xf>
    <xf numFmtId="176" fontId="39" fillId="4" borderId="6" xfId="0" applyNumberFormat="1" applyFont="1" applyFill="1" applyBorder="1" applyAlignment="1">
      <alignment horizontal="center" vertical="center"/>
    </xf>
    <xf numFmtId="176" fontId="39" fillId="4" borderId="12" xfId="0" applyNumberFormat="1" applyFont="1" applyFill="1" applyBorder="1" applyAlignment="1">
      <alignment horizontal="center" vertical="center"/>
    </xf>
    <xf numFmtId="176" fontId="40" fillId="4" borderId="6" xfId="0" applyNumberFormat="1" applyFont="1" applyFill="1" applyBorder="1">
      <alignment vertical="center"/>
    </xf>
    <xf numFmtId="176" fontId="40" fillId="4" borderId="11" xfId="0" applyNumberFormat="1" applyFont="1" applyFill="1" applyBorder="1">
      <alignment vertical="center"/>
    </xf>
    <xf numFmtId="0" fontId="24" fillId="0" borderId="0" xfId="0" applyFont="1" applyBorder="1" applyAlignment="1">
      <alignment horizontal="center" wrapText="1"/>
    </xf>
    <xf numFmtId="0" fontId="9" fillId="0" borderId="41" xfId="0" applyFont="1" applyBorder="1" applyAlignment="1">
      <alignment horizontal="right" shrinkToFit="1"/>
    </xf>
    <xf numFmtId="0" fontId="9" fillId="15" borderId="45" xfId="0" applyFont="1" applyFill="1" applyBorder="1" applyAlignment="1">
      <alignment horizontal="center" vertical="center" wrapText="1"/>
    </xf>
    <xf numFmtId="0" fontId="9" fillId="15" borderId="46" xfId="0" applyFont="1" applyFill="1" applyBorder="1" applyAlignment="1">
      <alignment horizontal="center" vertical="center" wrapText="1"/>
    </xf>
    <xf numFmtId="0" fontId="43" fillId="15" borderId="47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43" fillId="15" borderId="1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179" fontId="29" fillId="0" borderId="1" xfId="11" applyNumberFormat="1" applyFont="1" applyFill="1" applyBorder="1" applyAlignment="1">
      <alignment vertical="center" shrinkToFit="1"/>
    </xf>
    <xf numFmtId="179" fontId="9" fillId="0" borderId="1" xfId="0" applyNumberFormat="1" applyFont="1" applyBorder="1" applyAlignment="1">
      <alignment horizontal="center" vertical="center" shrinkToFit="1"/>
    </xf>
    <xf numFmtId="179" fontId="9" fillId="0" borderId="1" xfId="0" applyNumberFormat="1" applyFont="1" applyBorder="1" applyAlignment="1">
      <alignment horizontal="right" vertical="center" shrinkToFit="1"/>
    </xf>
    <xf numFmtId="179" fontId="9" fillId="0" borderId="52" xfId="0" applyNumberFormat="1" applyFont="1" applyBorder="1" applyAlignment="1">
      <alignment vertical="center"/>
    </xf>
    <xf numFmtId="179" fontId="9" fillId="0" borderId="50" xfId="0" applyNumberFormat="1" applyFont="1" applyBorder="1" applyAlignment="1">
      <alignment vertical="center"/>
    </xf>
    <xf numFmtId="179" fontId="43" fillId="0" borderId="50" xfId="0" applyNumberFormat="1" applyFont="1" applyBorder="1" applyAlignment="1">
      <alignment vertical="center"/>
    </xf>
    <xf numFmtId="179" fontId="9" fillId="0" borderId="46" xfId="0" applyNumberFormat="1" applyFont="1" applyBorder="1" applyAlignment="1">
      <alignment vertical="center"/>
    </xf>
    <xf numFmtId="179" fontId="43" fillId="0" borderId="46" xfId="0" applyNumberFormat="1" applyFont="1" applyBorder="1" applyAlignment="1">
      <alignment vertical="center"/>
    </xf>
    <xf numFmtId="0" fontId="23" fillId="0" borderId="50" xfId="0" applyFont="1" applyBorder="1" applyAlignment="1">
      <alignment horizontal="left" vertical="center" wrapText="1"/>
    </xf>
    <xf numFmtId="179" fontId="43" fillId="0" borderId="51" xfId="0" applyNumberFormat="1" applyFont="1" applyBorder="1" applyAlignment="1">
      <alignment vertical="center"/>
    </xf>
    <xf numFmtId="0" fontId="9" fillId="0" borderId="53" xfId="0" applyFont="1" applyBorder="1" applyAlignment="1">
      <alignment horizontal="center" vertical="center" wrapText="1"/>
    </xf>
    <xf numFmtId="0" fontId="9" fillId="19" borderId="50" xfId="0" applyFont="1" applyFill="1" applyBorder="1" applyAlignment="1">
      <alignment horizontal="center" vertical="center" wrapText="1"/>
    </xf>
    <xf numFmtId="179" fontId="9" fillId="0" borderId="54" xfId="0" applyNumberFormat="1" applyFont="1" applyBorder="1" applyAlignment="1">
      <alignment vertical="center"/>
    </xf>
    <xf numFmtId="179" fontId="9" fillId="0" borderId="55" xfId="0" applyNumberFormat="1" applyFont="1" applyBorder="1" applyAlignment="1">
      <alignment vertical="center"/>
    </xf>
    <xf numFmtId="179" fontId="9" fillId="0" borderId="1" xfId="0" applyNumberFormat="1" applyFont="1" applyBorder="1" applyAlignment="1">
      <alignment vertical="center"/>
    </xf>
    <xf numFmtId="179" fontId="43" fillId="0" borderId="45" xfId="0" applyNumberFormat="1" applyFont="1" applyBorder="1" applyAlignment="1">
      <alignment vertical="center"/>
    </xf>
    <xf numFmtId="38" fontId="9" fillId="0" borderId="52" xfId="0" applyNumberFormat="1" applyFont="1" applyBorder="1" applyAlignment="1">
      <alignment vertical="center"/>
    </xf>
    <xf numFmtId="38" fontId="9" fillId="0" borderId="50" xfId="0" applyNumberFormat="1" applyFont="1" applyBorder="1" applyAlignment="1">
      <alignment vertical="center"/>
    </xf>
    <xf numFmtId="38" fontId="43" fillId="0" borderId="50" xfId="0" applyNumberFormat="1" applyFont="1" applyBorder="1" applyAlignment="1">
      <alignment vertical="center"/>
    </xf>
    <xf numFmtId="38" fontId="9" fillId="0" borderId="46" xfId="0" applyNumberFormat="1" applyFont="1" applyBorder="1" applyAlignment="1">
      <alignment vertical="center"/>
    </xf>
    <xf numFmtId="38" fontId="9" fillId="0" borderId="47" xfId="0" applyNumberFormat="1" applyFont="1" applyBorder="1" applyAlignment="1">
      <alignment vertical="center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179" fontId="45" fillId="20" borderId="1" xfId="11" applyNumberFormat="1" applyFont="1" applyFill="1" applyBorder="1" applyAlignment="1">
      <alignment vertical="center" shrinkToFit="1"/>
    </xf>
    <xf numFmtId="0" fontId="43" fillId="20" borderId="53" xfId="0" applyFont="1" applyFill="1" applyBorder="1" applyAlignment="1">
      <alignment horizontal="center" vertical="center" wrapText="1"/>
    </xf>
    <xf numFmtId="176" fontId="39" fillId="21" borderId="21" xfId="0" applyNumberFormat="1" applyFont="1" applyFill="1" applyBorder="1" applyAlignment="1">
      <alignment horizontal="center" vertical="center"/>
    </xf>
    <xf numFmtId="176" fontId="39" fillId="21" borderId="24" xfId="0" applyNumberFormat="1" applyFont="1" applyFill="1" applyBorder="1" applyAlignment="1">
      <alignment horizontal="center" vertical="center"/>
    </xf>
    <xf numFmtId="179" fontId="38" fillId="21" borderId="21" xfId="7" applyNumberFormat="1" applyFont="1" applyFill="1" applyBorder="1">
      <alignment vertical="center"/>
    </xf>
    <xf numFmtId="179" fontId="38" fillId="21" borderId="17" xfId="7" applyNumberFormat="1" applyFont="1" applyFill="1" applyBorder="1">
      <alignment vertical="center"/>
    </xf>
    <xf numFmtId="0" fontId="9" fillId="0" borderId="0" xfId="6" applyFont="1" applyAlignment="1">
      <alignment vertical="center" wrapText="1"/>
    </xf>
    <xf numFmtId="177" fontId="6" fillId="0" borderId="1" xfId="3" applyNumberFormat="1" applyFont="1" applyFill="1" applyBorder="1">
      <alignment vertical="center"/>
    </xf>
    <xf numFmtId="176" fontId="0" fillId="12" borderId="1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24" fillId="16" borderId="35" xfId="0" applyFont="1" applyFill="1" applyBorder="1" applyAlignment="1">
      <alignment horizontal="center" vertical="center" wrapText="1"/>
    </xf>
    <xf numFmtId="0" fontId="24" fillId="15" borderId="6" xfId="0" applyFont="1" applyFill="1" applyBorder="1" applyAlignment="1">
      <alignment horizontal="center" vertical="center"/>
    </xf>
    <xf numFmtId="0" fontId="24" fillId="15" borderId="5" xfId="0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39" fillId="4" borderId="35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 wrapText="1"/>
    </xf>
    <xf numFmtId="0" fontId="9" fillId="16" borderId="35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9" fillId="16" borderId="38" xfId="0" applyFont="1" applyFill="1" applyBorder="1" applyAlignment="1">
      <alignment horizontal="center" vertical="center" wrapText="1"/>
    </xf>
    <xf numFmtId="0" fontId="25" fillId="16" borderId="39" xfId="0" applyFont="1" applyFill="1" applyBorder="1" applyAlignment="1">
      <alignment horizontal="center" vertical="center" wrapText="1"/>
    </xf>
    <xf numFmtId="0" fontId="25" fillId="16" borderId="9" xfId="0" applyFont="1" applyFill="1" applyBorder="1" applyAlignment="1">
      <alignment horizontal="center" vertical="center" wrapText="1"/>
    </xf>
    <xf numFmtId="0" fontId="24" fillId="16" borderId="39" xfId="0" applyFont="1" applyFill="1" applyBorder="1" applyAlignment="1">
      <alignment horizontal="center" vertical="center" wrapText="1"/>
    </xf>
    <xf numFmtId="0" fontId="24" fillId="16" borderId="9" xfId="0" applyFont="1" applyFill="1" applyBorder="1" applyAlignment="1">
      <alignment horizontal="center" vertical="center" wrapText="1"/>
    </xf>
    <xf numFmtId="0" fontId="38" fillId="15" borderId="34" xfId="0" applyFont="1" applyFill="1" applyBorder="1" applyAlignment="1">
      <alignment horizontal="center" vertical="center" wrapText="1"/>
    </xf>
    <xf numFmtId="0" fontId="38" fillId="15" borderId="10" xfId="0" applyFont="1" applyFill="1" applyBorder="1" applyAlignment="1">
      <alignment horizontal="center" vertical="center" wrapText="1"/>
    </xf>
    <xf numFmtId="0" fontId="25" fillId="15" borderId="32" xfId="0" applyFont="1" applyFill="1" applyBorder="1" applyAlignment="1">
      <alignment horizontal="center" vertical="center" wrapText="1"/>
    </xf>
    <xf numFmtId="0" fontId="38" fillId="15" borderId="7" xfId="0" applyFont="1" applyFill="1" applyBorder="1" applyAlignment="1">
      <alignment horizontal="center" vertical="center" wrapText="1"/>
    </xf>
    <xf numFmtId="0" fontId="28" fillId="0" borderId="6" xfId="8" applyFont="1" applyBorder="1" applyAlignment="1">
      <alignment horizontal="center" vertical="center"/>
    </xf>
    <xf numFmtId="0" fontId="28" fillId="0" borderId="35" xfId="8" applyFont="1" applyBorder="1" applyAlignment="1">
      <alignment horizontal="center" vertical="center"/>
    </xf>
    <xf numFmtId="0" fontId="28" fillId="0" borderId="5" xfId="8" applyFont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9" fillId="15" borderId="28" xfId="0" applyFont="1" applyFill="1" applyBorder="1" applyAlignment="1">
      <alignment horizontal="center" vertical="center" wrapText="1"/>
    </xf>
    <xf numFmtId="0" fontId="9" fillId="15" borderId="48" xfId="0" applyFont="1" applyFill="1" applyBorder="1" applyAlignment="1">
      <alignment horizontal="center" vertical="center" wrapText="1"/>
    </xf>
    <xf numFmtId="0" fontId="43" fillId="15" borderId="19" xfId="0" applyFont="1" applyFill="1" applyBorder="1" applyAlignment="1">
      <alignment horizontal="center" vertical="center" wrapText="1"/>
    </xf>
    <xf numFmtId="0" fontId="43" fillId="15" borderId="49" xfId="0" applyFont="1" applyFill="1" applyBorder="1" applyAlignment="1">
      <alignment horizontal="center" vertical="center" wrapText="1"/>
    </xf>
    <xf numFmtId="0" fontId="43" fillId="20" borderId="56" xfId="0" applyFont="1" applyFill="1" applyBorder="1" applyAlignment="1">
      <alignment horizontal="center" vertical="center" wrapText="1"/>
    </xf>
    <xf numFmtId="0" fontId="43" fillId="20" borderId="57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5" fillId="17" borderId="1" xfId="0" applyFont="1" applyFill="1" applyBorder="1" applyAlignment="1">
      <alignment horizontal="center" vertical="center" wrapText="1"/>
    </xf>
    <xf numFmtId="0" fontId="25" fillId="15" borderId="3" xfId="0" applyFont="1" applyFill="1" applyBorder="1" applyAlignment="1">
      <alignment horizontal="center" wrapText="1"/>
    </xf>
    <xf numFmtId="0" fontId="9" fillId="18" borderId="44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43" fillId="17" borderId="1" xfId="0" applyFont="1" applyFill="1" applyBorder="1" applyAlignment="1">
      <alignment horizontal="center" vertical="center" wrapText="1"/>
    </xf>
  </cellXfs>
  <cellStyles count="12">
    <cellStyle name="一般" xfId="0" builtinId="0"/>
    <cellStyle name="一般 2" xfId="1"/>
    <cellStyle name="一般 2 2" xfId="10"/>
    <cellStyle name="一般 3" xfId="2"/>
    <cellStyle name="一般 4" xfId="6"/>
    <cellStyle name="一般 5" xfId="8"/>
    <cellStyle name="一般_FROM瀞予-各國小106年度財源計算表-彙整" xfId="11"/>
    <cellStyle name="千分位" xfId="3" builtinId="3"/>
    <cellStyle name="千分位 2" xfId="7"/>
    <cellStyle name="千分位 3" xfId="9"/>
    <cellStyle name="千分位[0] 2" xfId="4"/>
    <cellStyle name="千分位[0]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80CMCDGP/106&#24180;&#22283;&#39640;&#20013;&#38928;&#31639;&#32232;&#35069;(&#23416;&#26657;)/106&#24180;&#22283;&#20013;&#20154;&#20107;&#36027;&#27010;&#31639;&#27284;&#26696;&#24409;&#32317;/106&#24180;&#20154;&#20107;&#36027;&#35373;&#31639;-329&#29790;&#31319;&#22283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填表說明"/>
      <sheetName val="人事費概算表"/>
      <sheetName val="公務人員"/>
      <sheetName val="教育人員1-7月"/>
      <sheetName val="教育人員8-12月 "/>
      <sheetName val="工友"/>
      <sheetName val="資料庫"/>
      <sheetName val="公健保分級表"/>
      <sheetName val="勞健保分級表 "/>
      <sheetName val="勞保費分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90</v>
          </cell>
          <cell r="D2">
            <v>3740</v>
          </cell>
          <cell r="S2" t="str">
            <v>是</v>
          </cell>
        </row>
        <row r="3">
          <cell r="A3">
            <v>100</v>
          </cell>
          <cell r="D3">
            <v>4220</v>
          </cell>
          <cell r="S3" t="str">
            <v>否</v>
          </cell>
        </row>
        <row r="4">
          <cell r="A4">
            <v>110</v>
          </cell>
          <cell r="D4">
            <v>5140</v>
          </cell>
        </row>
        <row r="5">
          <cell r="A5">
            <v>120</v>
          </cell>
          <cell r="D5">
            <v>6740</v>
          </cell>
        </row>
        <row r="6">
          <cell r="A6">
            <v>130</v>
          </cell>
          <cell r="D6">
            <v>8700</v>
          </cell>
        </row>
        <row r="7">
          <cell r="A7">
            <v>140</v>
          </cell>
        </row>
        <row r="8">
          <cell r="A8">
            <v>150</v>
          </cell>
        </row>
        <row r="9">
          <cell r="A9">
            <v>160</v>
          </cell>
        </row>
        <row r="10">
          <cell r="A10">
            <v>170</v>
          </cell>
        </row>
        <row r="11">
          <cell r="A11">
            <v>180</v>
          </cell>
        </row>
        <row r="12">
          <cell r="A12">
            <v>190</v>
          </cell>
        </row>
        <row r="13">
          <cell r="A13">
            <v>200</v>
          </cell>
        </row>
        <row r="14">
          <cell r="A14">
            <v>210</v>
          </cell>
        </row>
        <row r="15">
          <cell r="A15">
            <v>220</v>
          </cell>
        </row>
        <row r="16">
          <cell r="A16">
            <v>230</v>
          </cell>
        </row>
        <row r="17">
          <cell r="A17">
            <v>245</v>
          </cell>
        </row>
        <row r="18">
          <cell r="A18">
            <v>260</v>
          </cell>
        </row>
        <row r="19">
          <cell r="A19">
            <v>275</v>
          </cell>
        </row>
        <row r="20">
          <cell r="A20">
            <v>290</v>
          </cell>
        </row>
        <row r="21">
          <cell r="A21">
            <v>310</v>
          </cell>
        </row>
        <row r="22">
          <cell r="A22">
            <v>330</v>
          </cell>
        </row>
        <row r="23">
          <cell r="A23">
            <v>350</v>
          </cell>
        </row>
        <row r="24">
          <cell r="A24">
            <v>370</v>
          </cell>
        </row>
        <row r="25">
          <cell r="A25">
            <v>390</v>
          </cell>
        </row>
        <row r="26">
          <cell r="A26">
            <v>410</v>
          </cell>
        </row>
        <row r="27">
          <cell r="A27">
            <v>430</v>
          </cell>
        </row>
        <row r="28">
          <cell r="A28">
            <v>450</v>
          </cell>
        </row>
        <row r="29">
          <cell r="A29">
            <v>475</v>
          </cell>
        </row>
        <row r="30">
          <cell r="A30">
            <v>500</v>
          </cell>
        </row>
        <row r="31">
          <cell r="A31">
            <v>525</v>
          </cell>
        </row>
        <row r="32">
          <cell r="A32">
            <v>550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T30"/>
  <sheetViews>
    <sheetView tabSelected="1" view="pageBreakPreview" zoomScale="85" zoomScaleNormal="100" zoomScaleSheetLayoutView="85" workbookViewId="0">
      <pane xSplit="1" ySplit="3" topLeftCell="B9" activePane="bottomRight" state="frozen"/>
      <selection pane="topRight" activeCell="B1" sqref="B1"/>
      <selection pane="bottomLeft" activeCell="A4" sqref="A4"/>
      <selection pane="bottomRight" activeCell="G15" sqref="G15"/>
    </sheetView>
  </sheetViews>
  <sheetFormatPr defaultRowHeight="17" x14ac:dyDescent="0.4"/>
  <cols>
    <col min="1" max="1" width="9.90625" customWidth="1"/>
    <col min="2" max="2" width="10.90625" customWidth="1"/>
    <col min="3" max="3" width="14.08984375" customWidth="1"/>
    <col min="4" max="4" width="11.26953125" customWidth="1"/>
    <col min="5" max="5" width="12.453125" customWidth="1"/>
    <col min="6" max="6" width="10" customWidth="1"/>
    <col min="7" max="7" width="8.7265625" customWidth="1"/>
    <col min="8" max="8" width="7.90625" customWidth="1"/>
    <col min="9" max="9" width="8.453125" customWidth="1"/>
    <col min="10" max="10" width="11.26953125" customWidth="1"/>
    <col min="11" max="11" width="10.90625" customWidth="1"/>
    <col min="12" max="12" width="11.08984375" customWidth="1"/>
    <col min="13" max="13" width="10.90625" customWidth="1"/>
    <col min="14" max="14" width="12.26953125" customWidth="1"/>
    <col min="15" max="15" width="13.36328125" customWidth="1"/>
    <col min="16" max="16" width="13.6328125" customWidth="1"/>
    <col min="17" max="17" width="13.453125" customWidth="1"/>
    <col min="18" max="18" width="13.90625" customWidth="1"/>
    <col min="19" max="19" width="6.36328125" customWidth="1"/>
    <col min="20" max="20" width="13.6328125" customWidth="1"/>
  </cols>
  <sheetData>
    <row r="1" spans="1:20" ht="26.25" customHeight="1" x14ac:dyDescent="0.4">
      <c r="A1" s="150" t="s">
        <v>93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1"/>
      <c r="S1" s="152"/>
      <c r="T1" s="152"/>
    </row>
    <row r="2" spans="1:20" ht="45.75" customHeight="1" x14ac:dyDescent="0.4">
      <c r="A2" s="151" t="s">
        <v>7</v>
      </c>
      <c r="B2" s="163" t="s">
        <v>0</v>
      </c>
      <c r="C2" s="164"/>
      <c r="D2" s="164"/>
      <c r="E2" s="164"/>
      <c r="F2" s="164"/>
      <c r="G2" s="164"/>
      <c r="H2" s="164"/>
      <c r="I2" s="164"/>
      <c r="J2" s="165"/>
      <c r="K2" s="4" t="s">
        <v>42</v>
      </c>
      <c r="L2" s="5" t="s">
        <v>27</v>
      </c>
      <c r="M2" s="10" t="s">
        <v>45</v>
      </c>
      <c r="N2" s="15" t="s">
        <v>46</v>
      </c>
      <c r="O2" s="153" t="s">
        <v>225</v>
      </c>
      <c r="P2" s="154" t="s">
        <v>36</v>
      </c>
      <c r="Q2" s="156" t="s">
        <v>39</v>
      </c>
      <c r="R2" s="157"/>
      <c r="S2" s="158"/>
      <c r="T2" s="159" t="s">
        <v>40</v>
      </c>
    </row>
    <row r="3" spans="1:20" ht="88.5" customHeight="1" x14ac:dyDescent="0.4">
      <c r="A3" s="151"/>
      <c r="B3" s="17" t="s">
        <v>29</v>
      </c>
      <c r="C3" s="3" t="s">
        <v>30</v>
      </c>
      <c r="D3" s="16" t="s">
        <v>31</v>
      </c>
      <c r="E3" s="3" t="s">
        <v>32</v>
      </c>
      <c r="F3" s="3" t="s">
        <v>33</v>
      </c>
      <c r="G3" s="3" t="s">
        <v>34</v>
      </c>
      <c r="H3" s="3" t="s">
        <v>44</v>
      </c>
      <c r="I3" s="3" t="s">
        <v>41</v>
      </c>
      <c r="J3" s="3" t="s">
        <v>62</v>
      </c>
      <c r="K3" s="161" t="s">
        <v>119</v>
      </c>
      <c r="L3" s="162"/>
      <c r="M3" s="14" t="s">
        <v>58</v>
      </c>
      <c r="N3" s="30" t="s">
        <v>35</v>
      </c>
      <c r="O3" s="151"/>
      <c r="P3" s="155"/>
      <c r="Q3" s="8" t="s">
        <v>43</v>
      </c>
      <c r="R3" s="8" t="s">
        <v>37</v>
      </c>
      <c r="S3" s="8" t="s">
        <v>38</v>
      </c>
      <c r="T3" s="160"/>
    </row>
    <row r="4" spans="1:20" s="29" customFormat="1" ht="25.5" customHeight="1" x14ac:dyDescent="0.4">
      <c r="A4" s="11" t="s">
        <v>8</v>
      </c>
      <c r="B4" s="6">
        <f>VLOOKUP(A4,'1-導師費-0811ok'!B:T,18,FALSE)</f>
        <v>192000</v>
      </c>
      <c r="C4" s="1">
        <f>VLOOKUP(A4,'1-導師費-0811ok'!B:T,19,FALSE)</f>
        <v>48000</v>
      </c>
      <c r="D4" s="1">
        <f>VLOOKUP(A4,'2-專輔師-0706ok'!A:E,4,FALSE)</f>
        <v>1440000</v>
      </c>
      <c r="E4" s="1">
        <f>VLOOKUP(A4,'2-專輔師-0706ok'!A:E,5,FALSE)</f>
        <v>160000</v>
      </c>
      <c r="F4" s="1"/>
      <c r="G4" s="1"/>
      <c r="H4" s="1"/>
      <c r="I4" s="1"/>
      <c r="J4" s="1"/>
      <c r="K4" s="1">
        <v>11000</v>
      </c>
      <c r="L4" s="1">
        <v>206000</v>
      </c>
      <c r="M4" s="1"/>
      <c r="N4" s="12">
        <f>IFERROR(VLOOKUP(A4,'4-移用以前年度賸餘-0708ok'!A:U,20,FALSE),0)*1000</f>
        <v>0</v>
      </c>
      <c r="O4" s="1">
        <f>B4+C4+D4+F4+H4+K4+L4+M4+N4+J4</f>
        <v>1897000</v>
      </c>
      <c r="P4" s="1">
        <v>103377000</v>
      </c>
      <c r="Q4" s="1">
        <f t="shared" ref="Q4:Q28" si="0">E4+G4+I4</f>
        <v>160000</v>
      </c>
      <c r="R4" s="1">
        <f t="shared" ref="R4:R28" si="1">P4-O4-Q4+S4</f>
        <v>101320000</v>
      </c>
      <c r="S4" s="2"/>
      <c r="T4" s="1">
        <f>P4-N4</f>
        <v>103377000</v>
      </c>
    </row>
    <row r="5" spans="1:20" s="29" customFormat="1" ht="25.5" customHeight="1" x14ac:dyDescent="0.4">
      <c r="A5" s="11" t="s">
        <v>1</v>
      </c>
      <c r="B5" s="6">
        <f>VLOOKUP(A5,'1-導師費-0811ok'!B:T,18,FALSE)</f>
        <v>552000</v>
      </c>
      <c r="C5" s="1">
        <f>VLOOKUP(A5,'1-導師費-0811ok'!B:T,19,FALSE)</f>
        <v>48000</v>
      </c>
      <c r="D5" s="1">
        <f>VLOOKUP(A5,'2-專輔師-0706ok'!A:E,4,FALSE)</f>
        <v>2160000</v>
      </c>
      <c r="E5" s="1">
        <f>VLOOKUP(A5,'2-專輔師-0706ok'!A:E,5,FALSE)</f>
        <v>240000</v>
      </c>
      <c r="F5" s="1"/>
      <c r="G5" s="1"/>
      <c r="H5" s="1"/>
      <c r="I5" s="1"/>
      <c r="J5" s="1"/>
      <c r="K5" s="1">
        <v>12000</v>
      </c>
      <c r="L5" s="1">
        <v>578000</v>
      </c>
      <c r="M5" s="148">
        <v>1194000</v>
      </c>
      <c r="N5" s="12">
        <f>IFERROR(VLOOKUP(A5,'4-移用以前年度賸餘-0708ok'!A:U,20,FALSE),0)*1000</f>
        <v>0</v>
      </c>
      <c r="O5" s="1">
        <f t="shared" ref="O5:O29" si="2">B5+C5+D5+F5+H5+K5+L5+M5+N5+J5</f>
        <v>4544000</v>
      </c>
      <c r="P5" s="12">
        <v>212591000</v>
      </c>
      <c r="Q5" s="1">
        <f t="shared" si="0"/>
        <v>240000</v>
      </c>
      <c r="R5" s="1">
        <f t="shared" si="1"/>
        <v>207807000</v>
      </c>
      <c r="S5" s="2"/>
      <c r="T5" s="1">
        <f t="shared" ref="T5:T26" si="3">P5-N5</f>
        <v>212591000</v>
      </c>
    </row>
    <row r="6" spans="1:20" s="29" customFormat="1" ht="25.5" customHeight="1" x14ac:dyDescent="0.4">
      <c r="A6" s="11" t="s">
        <v>2</v>
      </c>
      <c r="B6" s="6">
        <f>VLOOKUP(A6,'1-導師費-0811ok'!B:T,18,FALSE)</f>
        <v>684000</v>
      </c>
      <c r="C6" s="1">
        <f>VLOOKUP(A6,'1-導師費-0811ok'!B:T,19,FALSE)</f>
        <v>96000</v>
      </c>
      <c r="D6" s="1">
        <f>VLOOKUP(A6,'2-專輔師-0706ok'!A:E,4,FALSE)</f>
        <v>2160000</v>
      </c>
      <c r="E6" s="1">
        <f>VLOOKUP(A6,'2-專輔師-0706ok'!A:E,5,FALSE)</f>
        <v>240000</v>
      </c>
      <c r="F6" s="1"/>
      <c r="G6" s="1"/>
      <c r="H6" s="12">
        <v>672000</v>
      </c>
      <c r="I6" s="1">
        <v>168000</v>
      </c>
      <c r="J6" s="1"/>
      <c r="K6" s="1">
        <v>15000</v>
      </c>
      <c r="L6" s="1">
        <v>778000</v>
      </c>
      <c r="M6" s="1"/>
      <c r="N6" s="12">
        <f>IFERROR(VLOOKUP(A6,'4-移用以前年度賸餘-0708ok'!A:U,20,FALSE),0)*1000</f>
        <v>220000</v>
      </c>
      <c r="O6" s="1">
        <f t="shared" si="2"/>
        <v>4625000</v>
      </c>
      <c r="P6" s="12">
        <v>269099000</v>
      </c>
      <c r="Q6" s="1">
        <f t="shared" si="0"/>
        <v>408000</v>
      </c>
      <c r="R6" s="1">
        <f t="shared" si="1"/>
        <v>264066000</v>
      </c>
      <c r="S6" s="2"/>
      <c r="T6" s="1">
        <f t="shared" si="3"/>
        <v>268879000</v>
      </c>
    </row>
    <row r="7" spans="1:20" s="29" customFormat="1" ht="25.5" customHeight="1" x14ac:dyDescent="0.4">
      <c r="A7" s="11" t="s">
        <v>9</v>
      </c>
      <c r="B7" s="6">
        <f>VLOOKUP(A7,'1-導師費-0811ok'!B:T,18,FALSE)</f>
        <v>300000</v>
      </c>
      <c r="C7" s="1">
        <f>VLOOKUP(A7,'1-導師費-0811ok'!B:T,19,FALSE)</f>
        <v>0</v>
      </c>
      <c r="D7" s="1">
        <f>VLOOKUP(A7,'2-專輔師-0706ok'!A:E,4,FALSE)</f>
        <v>1440000</v>
      </c>
      <c r="E7" s="1">
        <f>VLOOKUP(A7,'2-專輔師-0706ok'!A:E,5,FALSE)</f>
        <v>160000</v>
      </c>
      <c r="F7" s="1"/>
      <c r="G7" s="1"/>
      <c r="H7" s="1"/>
      <c r="I7" s="1"/>
      <c r="J7" s="1"/>
      <c r="K7" s="9">
        <v>21000</v>
      </c>
      <c r="L7" s="1">
        <v>904000</v>
      </c>
      <c r="M7" s="1"/>
      <c r="N7" s="12">
        <f>IFERROR(VLOOKUP(A7,'4-移用以前年度賸餘-0708ok'!A:U,20,FALSE),0)*1000</f>
        <v>200000</v>
      </c>
      <c r="O7" s="1">
        <f t="shared" si="2"/>
        <v>2865000</v>
      </c>
      <c r="P7" s="1">
        <v>113501000</v>
      </c>
      <c r="Q7" s="1">
        <f t="shared" si="0"/>
        <v>160000</v>
      </c>
      <c r="R7" s="1">
        <f t="shared" si="1"/>
        <v>110476000</v>
      </c>
      <c r="S7" s="2"/>
      <c r="T7" s="1">
        <f t="shared" si="3"/>
        <v>113301000</v>
      </c>
    </row>
    <row r="8" spans="1:20" s="29" customFormat="1" ht="25.5" customHeight="1" x14ac:dyDescent="0.4">
      <c r="A8" s="11" t="s">
        <v>10</v>
      </c>
      <c r="B8" s="6">
        <f>VLOOKUP(A8,'1-導師費-0811ok'!B:T,18,FALSE)</f>
        <v>132000</v>
      </c>
      <c r="C8" s="1">
        <f>VLOOKUP(A8,'1-導師費-0811ok'!B:T,19,FALSE)</f>
        <v>48000</v>
      </c>
      <c r="D8" s="1">
        <f>VLOOKUP(A8,'2-專輔師-0706ok'!A:E,4,FALSE)</f>
        <v>720000</v>
      </c>
      <c r="E8" s="1">
        <f>VLOOKUP(A8,'2-專輔師-0706ok'!A:E,5,FALSE)</f>
        <v>80000</v>
      </c>
      <c r="F8" s="149">
        <v>3831000</v>
      </c>
      <c r="G8" s="149">
        <v>869000</v>
      </c>
      <c r="H8" s="1"/>
      <c r="I8" s="1"/>
      <c r="J8" s="1"/>
      <c r="K8" s="1">
        <v>3000</v>
      </c>
      <c r="L8" s="1">
        <v>21000</v>
      </c>
      <c r="M8" s="1"/>
      <c r="N8" s="12">
        <f>IFERROR(VLOOKUP(A8,'4-移用以前年度賸餘-0708ok'!A:U,20,FALSE),0)*1000</f>
        <v>0</v>
      </c>
      <c r="O8" s="1">
        <f t="shared" si="2"/>
        <v>4755000</v>
      </c>
      <c r="P8" s="1">
        <v>59405000</v>
      </c>
      <c r="Q8" s="1">
        <f t="shared" si="0"/>
        <v>949000</v>
      </c>
      <c r="R8" s="1">
        <f t="shared" si="1"/>
        <v>53701000</v>
      </c>
      <c r="S8" s="2"/>
      <c r="T8" s="1">
        <f t="shared" si="3"/>
        <v>59405000</v>
      </c>
    </row>
    <row r="9" spans="1:20" s="29" customFormat="1" ht="25.5" customHeight="1" x14ac:dyDescent="0.4">
      <c r="A9" s="11" t="s">
        <v>11</v>
      </c>
      <c r="B9" s="6">
        <f>VLOOKUP(A9,'1-導師費-0811ok'!B:T,18,FALSE)</f>
        <v>132000</v>
      </c>
      <c r="C9" s="1">
        <f>VLOOKUP(A9,'1-導師費-0811ok'!B:T,19,FALSE)</f>
        <v>48000</v>
      </c>
      <c r="D9" s="1">
        <f>VLOOKUP(A9,'2-專輔師-0706ok'!A:E,4,FALSE)</f>
        <v>720000</v>
      </c>
      <c r="E9" s="1">
        <f>VLOOKUP(A9,'2-專輔師-0706ok'!A:E,5,FALSE)</f>
        <v>80000</v>
      </c>
      <c r="F9" s="1"/>
      <c r="G9" s="1"/>
      <c r="H9" s="1"/>
      <c r="I9" s="1"/>
      <c r="J9" s="1"/>
      <c r="K9" s="9">
        <v>2000</v>
      </c>
      <c r="L9" s="1">
        <v>110000</v>
      </c>
      <c r="M9" s="1"/>
      <c r="N9" s="12">
        <f>IFERROR(VLOOKUP(A9,'4-移用以前年度賸餘-0708ok'!A:U,20,FALSE),0)*1000</f>
        <v>0</v>
      </c>
      <c r="O9" s="1">
        <f t="shared" si="2"/>
        <v>1012000</v>
      </c>
      <c r="P9" s="1">
        <v>60230000</v>
      </c>
      <c r="Q9" s="1">
        <f t="shared" si="0"/>
        <v>80000</v>
      </c>
      <c r="R9" s="1">
        <f t="shared" si="1"/>
        <v>59138000</v>
      </c>
      <c r="S9" s="2"/>
      <c r="T9" s="1">
        <f t="shared" si="3"/>
        <v>60230000</v>
      </c>
    </row>
    <row r="10" spans="1:20" s="29" customFormat="1" ht="25.5" customHeight="1" x14ac:dyDescent="0.4">
      <c r="A10" s="11" t="s">
        <v>12</v>
      </c>
      <c r="B10" s="6">
        <f>VLOOKUP(A10,'1-導師費-0811ok'!B:T,18,FALSE)</f>
        <v>384000</v>
      </c>
      <c r="C10" s="1">
        <f>VLOOKUP(A10,'1-導師費-0811ok'!B:T,19,FALSE)</f>
        <v>0</v>
      </c>
      <c r="D10" s="1">
        <f>VLOOKUP(A10,'2-專輔師-0706ok'!A:E,4,FALSE)</f>
        <v>1440000</v>
      </c>
      <c r="E10" s="1">
        <f>VLOOKUP(A10,'2-專輔師-0706ok'!A:E,5,FALSE)</f>
        <v>160000</v>
      </c>
      <c r="F10" s="1"/>
      <c r="G10" s="1"/>
      <c r="H10" s="1"/>
      <c r="I10" s="1"/>
      <c r="J10" s="1"/>
      <c r="K10" s="1">
        <v>13000</v>
      </c>
      <c r="L10" s="1">
        <v>607000</v>
      </c>
      <c r="M10" s="1"/>
      <c r="N10" s="12">
        <f>IFERROR(VLOOKUP(A10,'4-移用以前年度賸餘-0708ok'!A:U,20,FALSE),0)*1000</f>
        <v>300000</v>
      </c>
      <c r="O10" s="1">
        <f t="shared" si="2"/>
        <v>2744000</v>
      </c>
      <c r="P10" s="1">
        <v>158517000</v>
      </c>
      <c r="Q10" s="1">
        <f t="shared" si="0"/>
        <v>160000</v>
      </c>
      <c r="R10" s="1">
        <f t="shared" si="1"/>
        <v>155613000</v>
      </c>
      <c r="S10" s="2"/>
      <c r="T10" s="1">
        <f t="shared" si="3"/>
        <v>158217000</v>
      </c>
    </row>
    <row r="11" spans="1:20" s="29" customFormat="1" ht="25.5" customHeight="1" x14ac:dyDescent="0.4">
      <c r="A11" s="11" t="s">
        <v>13</v>
      </c>
      <c r="B11" s="6">
        <f>VLOOKUP(A11,'1-導師費-0811ok'!B:T,18,FALSE)</f>
        <v>192000</v>
      </c>
      <c r="C11" s="1">
        <f>VLOOKUP(A11,'1-導師費-0811ok'!B:T,19,FALSE)</f>
        <v>0</v>
      </c>
      <c r="D11" s="1">
        <f>VLOOKUP(A11,'2-專輔師-0706ok'!A:E,4,FALSE)</f>
        <v>720000</v>
      </c>
      <c r="E11" s="1">
        <f>VLOOKUP(A11,'2-專輔師-0706ok'!A:E,5,FALSE)</f>
        <v>80000</v>
      </c>
      <c r="F11" s="1"/>
      <c r="G11" s="1"/>
      <c r="H11" s="1"/>
      <c r="I11" s="1"/>
      <c r="J11" s="1"/>
      <c r="K11" s="1">
        <v>3000</v>
      </c>
      <c r="L11" s="1">
        <v>500000</v>
      </c>
      <c r="M11" s="1"/>
      <c r="N11" s="12">
        <f>IFERROR(VLOOKUP(A11,'4-移用以前年度賸餘-0708ok'!A:U,20,FALSE),0)*1000</f>
        <v>250000</v>
      </c>
      <c r="O11" s="1">
        <f t="shared" si="2"/>
        <v>1665000</v>
      </c>
      <c r="P11" s="1">
        <v>75256000</v>
      </c>
      <c r="Q11" s="1">
        <f t="shared" si="0"/>
        <v>80000</v>
      </c>
      <c r="R11" s="1">
        <f t="shared" si="1"/>
        <v>73511000</v>
      </c>
      <c r="S11" s="2"/>
      <c r="T11" s="1">
        <f t="shared" si="3"/>
        <v>75006000</v>
      </c>
    </row>
    <row r="12" spans="1:20" s="29" customFormat="1" ht="25.5" customHeight="1" x14ac:dyDescent="0.4">
      <c r="A12" s="11" t="s">
        <v>14</v>
      </c>
      <c r="B12" s="6">
        <f>VLOOKUP(A12,'1-導師費-0811ok'!B:T,18,FALSE)</f>
        <v>120000</v>
      </c>
      <c r="C12" s="1">
        <f>VLOOKUP(A12,'1-導師費-0811ok'!B:T,19,FALSE)</f>
        <v>0</v>
      </c>
      <c r="D12" s="1">
        <f>VLOOKUP(A12,'2-專輔師-0706ok'!A:E,4,FALSE)</f>
        <v>720000</v>
      </c>
      <c r="E12" s="1">
        <f>VLOOKUP(A12,'2-專輔師-0706ok'!A:E,5,FALSE)</f>
        <v>80000</v>
      </c>
      <c r="F12" s="1"/>
      <c r="G12" s="1"/>
      <c r="H12" s="1"/>
      <c r="I12" s="1"/>
      <c r="J12" s="1"/>
      <c r="K12" s="1">
        <v>3000</v>
      </c>
      <c r="L12" s="1">
        <v>60000</v>
      </c>
      <c r="M12" s="1"/>
      <c r="N12" s="12">
        <f>IFERROR(VLOOKUP(A12,'4-移用以前年度賸餘-0708ok'!A:U,20,FALSE),0)*1000</f>
        <v>0</v>
      </c>
      <c r="O12" s="1">
        <f t="shared" si="2"/>
        <v>903000</v>
      </c>
      <c r="P12" s="1">
        <v>72451000</v>
      </c>
      <c r="Q12" s="1">
        <f t="shared" si="0"/>
        <v>80000</v>
      </c>
      <c r="R12" s="1">
        <f t="shared" si="1"/>
        <v>71468000</v>
      </c>
      <c r="S12" s="2"/>
      <c r="T12" s="1">
        <f t="shared" si="3"/>
        <v>72451000</v>
      </c>
    </row>
    <row r="13" spans="1:20" s="29" customFormat="1" ht="25.5" customHeight="1" x14ac:dyDescent="0.4">
      <c r="A13" s="11" t="s">
        <v>15</v>
      </c>
      <c r="B13" s="6">
        <f>VLOOKUP(A13,'1-導師費-0811ok'!B:T,18,FALSE)</f>
        <v>60000</v>
      </c>
      <c r="C13" s="1">
        <f>VLOOKUP(A13,'1-導師費-0811ok'!B:T,19,FALSE)</f>
        <v>0</v>
      </c>
      <c r="D13" s="1">
        <f>VLOOKUP(A13,'2-專輔師-0706ok'!A:E,4,FALSE)</f>
        <v>720000</v>
      </c>
      <c r="E13" s="1">
        <f>VLOOKUP(A13,'2-專輔師-0706ok'!A:E,5,FALSE)</f>
        <v>80000</v>
      </c>
      <c r="F13" s="1"/>
      <c r="G13" s="1"/>
      <c r="H13" s="1"/>
      <c r="I13" s="1"/>
      <c r="J13" s="1">
        <v>2800000</v>
      </c>
      <c r="K13" s="12">
        <v>16000</v>
      </c>
      <c r="L13" s="1">
        <v>40000</v>
      </c>
      <c r="M13" s="1"/>
      <c r="N13" s="12">
        <f>IFERROR(VLOOKUP(A13,'4-移用以前年度賸餘-0708ok'!A:U,20,FALSE),0)*1000</f>
        <v>0</v>
      </c>
      <c r="O13" s="1">
        <f t="shared" si="2"/>
        <v>3636000</v>
      </c>
      <c r="P13" s="1">
        <v>36954000</v>
      </c>
      <c r="Q13" s="1">
        <f t="shared" si="0"/>
        <v>80000</v>
      </c>
      <c r="R13" s="1">
        <f t="shared" si="1"/>
        <v>33238000</v>
      </c>
      <c r="S13" s="2"/>
      <c r="T13" s="1">
        <f t="shared" si="3"/>
        <v>36954000</v>
      </c>
    </row>
    <row r="14" spans="1:20" s="29" customFormat="1" ht="25.5" customHeight="1" x14ac:dyDescent="0.4">
      <c r="A14" s="11" t="s">
        <v>16</v>
      </c>
      <c r="B14" s="6">
        <f>VLOOKUP(A14,'1-導師費-0811ok'!B:T,18,FALSE)</f>
        <v>72000</v>
      </c>
      <c r="C14" s="1">
        <f>VLOOKUP(A14,'1-導師費-0811ok'!B:T,19,FALSE)</f>
        <v>0</v>
      </c>
      <c r="D14" s="1">
        <f>VLOOKUP(A14,'2-專輔師-0706ok'!A:E,4,FALSE)</f>
        <v>720000</v>
      </c>
      <c r="E14" s="1">
        <f>VLOOKUP(A14,'2-專輔師-0706ok'!A:E,5,FALSE)</f>
        <v>80000</v>
      </c>
      <c r="F14" s="1"/>
      <c r="G14" s="1"/>
      <c r="H14" s="1"/>
      <c r="I14" s="1"/>
      <c r="J14" s="1"/>
      <c r="K14" s="9">
        <v>21000</v>
      </c>
      <c r="L14" s="1">
        <v>30000</v>
      </c>
      <c r="M14" s="1"/>
      <c r="N14" s="12">
        <f>IFERROR(VLOOKUP(A14,'4-移用以前年度賸餘-0708ok'!A:U,20,FALSE),0)*1000</f>
        <v>0</v>
      </c>
      <c r="O14" s="1">
        <f t="shared" si="2"/>
        <v>843000</v>
      </c>
      <c r="P14" s="1">
        <v>36875000</v>
      </c>
      <c r="Q14" s="1">
        <f t="shared" si="0"/>
        <v>80000</v>
      </c>
      <c r="R14" s="1">
        <f t="shared" si="1"/>
        <v>35952000</v>
      </c>
      <c r="S14" s="2"/>
      <c r="T14" s="1">
        <f t="shared" si="3"/>
        <v>36875000</v>
      </c>
    </row>
    <row r="15" spans="1:20" s="29" customFormat="1" ht="25.5" customHeight="1" x14ac:dyDescent="0.4">
      <c r="A15" s="11" t="s">
        <v>17</v>
      </c>
      <c r="B15" s="6">
        <f>VLOOKUP(A15,'1-導師費-0811ok'!B:T,18,FALSE)</f>
        <v>132000</v>
      </c>
      <c r="C15" s="1">
        <f>VLOOKUP(A15,'1-導師費-0811ok'!B:T,19,FALSE)</f>
        <v>48000</v>
      </c>
      <c r="D15" s="1">
        <f>VLOOKUP(A15,'2-專輔師-0706ok'!A:E,4,FALSE)</f>
        <v>720000</v>
      </c>
      <c r="E15" s="1">
        <f>VLOOKUP(A15,'2-專輔師-0706ok'!A:E,5,FALSE)</f>
        <v>80000</v>
      </c>
      <c r="F15" s="1"/>
      <c r="G15" s="1"/>
      <c r="H15" s="1"/>
      <c r="I15" s="1"/>
      <c r="J15" s="1"/>
      <c r="K15" s="1">
        <v>101000</v>
      </c>
      <c r="L15" s="1">
        <v>65000</v>
      </c>
      <c r="M15" s="1"/>
      <c r="N15" s="12">
        <f>IFERROR(VLOOKUP(A15,'4-移用以前年度賸餘-0708ok'!A:U,20,FALSE),0)*1000</f>
        <v>150000</v>
      </c>
      <c r="O15" s="1">
        <f t="shared" si="2"/>
        <v>1216000</v>
      </c>
      <c r="P15" s="1">
        <v>54930000</v>
      </c>
      <c r="Q15" s="1">
        <f t="shared" si="0"/>
        <v>80000</v>
      </c>
      <c r="R15" s="1">
        <f t="shared" si="1"/>
        <v>53634000</v>
      </c>
      <c r="S15" s="2"/>
      <c r="T15" s="1">
        <f t="shared" si="3"/>
        <v>54780000</v>
      </c>
    </row>
    <row r="16" spans="1:20" s="29" customFormat="1" ht="25.5" customHeight="1" x14ac:dyDescent="0.4">
      <c r="A16" s="11" t="s">
        <v>18</v>
      </c>
      <c r="B16" s="6">
        <f>VLOOKUP(A16,'1-導師費-0811ok'!B:T,18,FALSE)</f>
        <v>36000</v>
      </c>
      <c r="C16" s="1">
        <f>VLOOKUP(A16,'1-導師費-0811ok'!B:T,19,FALSE)</f>
        <v>0</v>
      </c>
      <c r="D16" s="1">
        <f>VLOOKUP(A16,'2-專輔師-0706ok'!A:E,4,FALSE)</f>
        <v>720000</v>
      </c>
      <c r="E16" s="1">
        <f>VLOOKUP(A16,'2-專輔師-0706ok'!A:E,5,FALSE)</f>
        <v>80000</v>
      </c>
      <c r="F16" s="1"/>
      <c r="G16" s="1"/>
      <c r="H16" s="1"/>
      <c r="I16" s="1"/>
      <c r="J16" s="1">
        <v>2800000</v>
      </c>
      <c r="K16" s="1">
        <v>1000</v>
      </c>
      <c r="L16" s="1">
        <v>10000</v>
      </c>
      <c r="M16" s="1"/>
      <c r="N16" s="12">
        <f>IFERROR(VLOOKUP(A16,'4-移用以前年度賸餘-0708ok'!A:U,20,FALSE),0)*1000</f>
        <v>0</v>
      </c>
      <c r="O16" s="1">
        <f t="shared" si="2"/>
        <v>3567000</v>
      </c>
      <c r="P16" s="1">
        <v>21743000</v>
      </c>
      <c r="Q16" s="1">
        <f t="shared" si="0"/>
        <v>80000</v>
      </c>
      <c r="R16" s="1">
        <f t="shared" si="1"/>
        <v>18096000</v>
      </c>
      <c r="S16" s="2"/>
      <c r="T16" s="1">
        <f t="shared" si="3"/>
        <v>21743000</v>
      </c>
    </row>
    <row r="17" spans="1:20" s="29" customFormat="1" ht="25.5" customHeight="1" x14ac:dyDescent="0.4">
      <c r="A17" s="11" t="s">
        <v>19</v>
      </c>
      <c r="B17" s="6">
        <f>VLOOKUP(A17,'1-導師費-0811ok'!B:T,18,FALSE)</f>
        <v>120000</v>
      </c>
      <c r="C17" s="1">
        <f>VLOOKUP(A17,'1-導師費-0811ok'!B:T,19,FALSE)</f>
        <v>0</v>
      </c>
      <c r="D17" s="1">
        <f>VLOOKUP(A17,'2-專輔師-0706ok'!A:E,4,FALSE)</f>
        <v>720000</v>
      </c>
      <c r="E17" s="1">
        <f>VLOOKUP(A17,'2-專輔師-0706ok'!A:E,5,FALSE)</f>
        <v>80000</v>
      </c>
      <c r="F17" s="1"/>
      <c r="G17" s="1"/>
      <c r="H17" s="1"/>
      <c r="I17" s="1"/>
      <c r="J17" s="1">
        <v>2800000</v>
      </c>
      <c r="K17" s="1">
        <v>15000</v>
      </c>
      <c r="L17" s="1">
        <v>178000</v>
      </c>
      <c r="M17" s="1"/>
      <c r="N17" s="12">
        <f>IFERROR(VLOOKUP(A17,'4-移用以前年度賸餘-0708ok'!A:U,20,FALSE),0)*1000</f>
        <v>10000</v>
      </c>
      <c r="O17" s="1">
        <f t="shared" si="2"/>
        <v>3843000</v>
      </c>
      <c r="P17" s="1">
        <v>58424000</v>
      </c>
      <c r="Q17" s="1">
        <f t="shared" si="0"/>
        <v>80000</v>
      </c>
      <c r="R17" s="1">
        <f t="shared" si="1"/>
        <v>54501000</v>
      </c>
      <c r="S17" s="2"/>
      <c r="T17" s="1">
        <f t="shared" si="3"/>
        <v>58414000</v>
      </c>
    </row>
    <row r="18" spans="1:20" s="29" customFormat="1" ht="25.5" customHeight="1" x14ac:dyDescent="0.4">
      <c r="A18" s="11" t="s">
        <v>20</v>
      </c>
      <c r="B18" s="6">
        <f>VLOOKUP(A18,'1-導師費-0811ok'!B:T,18,FALSE)</f>
        <v>36000</v>
      </c>
      <c r="C18" s="1">
        <f>VLOOKUP(A18,'1-導師費-0811ok'!B:T,19,FALSE)</f>
        <v>0</v>
      </c>
      <c r="D18" s="1">
        <f>VLOOKUP(A18,'2-專輔師-0706ok'!A:E,4,FALSE)</f>
        <v>720000</v>
      </c>
      <c r="E18" s="1">
        <f>VLOOKUP(A18,'2-專輔師-0706ok'!A:E,5,FALSE)</f>
        <v>80000</v>
      </c>
      <c r="F18" s="1"/>
      <c r="G18" s="1"/>
      <c r="H18" s="1"/>
      <c r="I18" s="1"/>
      <c r="J18" s="1">
        <v>2800000</v>
      </c>
      <c r="K18" s="1">
        <v>61000</v>
      </c>
      <c r="L18" s="1">
        <v>60000</v>
      </c>
      <c r="M18" s="1"/>
      <c r="N18" s="12">
        <f>IFERROR(VLOOKUP(A18,'4-移用以前年度賸餘-0708ok'!A:U,20,FALSE),0)*1000</f>
        <v>100000</v>
      </c>
      <c r="O18" s="1">
        <f t="shared" si="2"/>
        <v>3777000</v>
      </c>
      <c r="P18" s="1">
        <v>24216000</v>
      </c>
      <c r="Q18" s="1">
        <f t="shared" si="0"/>
        <v>80000</v>
      </c>
      <c r="R18" s="1">
        <f t="shared" si="1"/>
        <v>20359000</v>
      </c>
      <c r="S18" s="2"/>
      <c r="T18" s="1">
        <f t="shared" si="3"/>
        <v>24116000</v>
      </c>
    </row>
    <row r="19" spans="1:20" s="29" customFormat="1" ht="25.5" customHeight="1" x14ac:dyDescent="0.4">
      <c r="A19" s="11" t="s">
        <v>21</v>
      </c>
      <c r="B19" s="6">
        <f>VLOOKUP(A19,'1-導師費-0811ok'!B:T,18,FALSE)</f>
        <v>132000</v>
      </c>
      <c r="C19" s="1">
        <f>VLOOKUP(A19,'1-導師費-0811ok'!B:T,19,FALSE)</f>
        <v>48000</v>
      </c>
      <c r="D19" s="1">
        <f>VLOOKUP(A19,'2-專輔師-0706ok'!A:E,4,FALSE)</f>
        <v>720000</v>
      </c>
      <c r="E19" s="1">
        <f>VLOOKUP(A19,'2-專輔師-0706ok'!A:E,5,FALSE)</f>
        <v>80000</v>
      </c>
      <c r="F19" s="1"/>
      <c r="G19" s="1"/>
      <c r="H19" s="1"/>
      <c r="I19" s="1"/>
      <c r="J19" s="1">
        <v>3500000</v>
      </c>
      <c r="K19" s="1">
        <v>90000</v>
      </c>
      <c r="L19" s="1">
        <v>156000</v>
      </c>
      <c r="M19" s="1"/>
      <c r="N19" s="12">
        <f>IFERROR(VLOOKUP(A19,'4-移用以前年度賸餘-0708ok'!A:U,20,FALSE),0)*1000</f>
        <v>50000</v>
      </c>
      <c r="O19" s="1">
        <f t="shared" si="2"/>
        <v>4696000</v>
      </c>
      <c r="P19" s="1">
        <v>68504000</v>
      </c>
      <c r="Q19" s="1">
        <f t="shared" si="0"/>
        <v>80000</v>
      </c>
      <c r="R19" s="1">
        <f t="shared" si="1"/>
        <v>63728000</v>
      </c>
      <c r="S19" s="2"/>
      <c r="T19" s="1">
        <f t="shared" si="3"/>
        <v>68454000</v>
      </c>
    </row>
    <row r="20" spans="1:20" s="29" customFormat="1" ht="25.5" customHeight="1" x14ac:dyDescent="0.4">
      <c r="A20" s="11" t="s">
        <v>22</v>
      </c>
      <c r="B20" s="6">
        <f>VLOOKUP(A20,'1-導師費-0811ok'!B:T,18,FALSE)</f>
        <v>72000</v>
      </c>
      <c r="C20" s="1">
        <f>VLOOKUP(A20,'1-導師費-0811ok'!B:T,19,FALSE)</f>
        <v>0</v>
      </c>
      <c r="D20" s="1">
        <f>VLOOKUP(A20,'2-專輔師-0706ok'!A:E,4,FALSE)</f>
        <v>720000</v>
      </c>
      <c r="E20" s="1">
        <f>VLOOKUP(A20,'2-專輔師-0706ok'!A:E,5,FALSE)</f>
        <v>80000</v>
      </c>
      <c r="F20" s="1"/>
      <c r="G20" s="1"/>
      <c r="H20" s="1"/>
      <c r="I20" s="1"/>
      <c r="J20" s="1">
        <v>2800000</v>
      </c>
      <c r="K20" s="9">
        <v>17000</v>
      </c>
      <c r="L20" s="1">
        <v>54000</v>
      </c>
      <c r="M20" s="1"/>
      <c r="N20" s="12">
        <f>IFERROR(VLOOKUP(A20,'4-移用以前年度賸餘-0708ok'!A:U,20,FALSE),0)*1000</f>
        <v>0</v>
      </c>
      <c r="O20" s="1">
        <f t="shared" si="2"/>
        <v>3663000</v>
      </c>
      <c r="P20" s="1">
        <v>28608000</v>
      </c>
      <c r="Q20" s="1">
        <f t="shared" si="0"/>
        <v>80000</v>
      </c>
      <c r="R20" s="1">
        <f t="shared" si="1"/>
        <v>24865000</v>
      </c>
      <c r="S20" s="2"/>
      <c r="T20" s="1">
        <f t="shared" si="3"/>
        <v>28608000</v>
      </c>
    </row>
    <row r="21" spans="1:20" s="29" customFormat="1" ht="25.5" customHeight="1" x14ac:dyDescent="0.4">
      <c r="A21" s="11" t="s">
        <v>23</v>
      </c>
      <c r="B21" s="6">
        <f>VLOOKUP(A21,'1-導師費-0811ok'!B:T,18,FALSE)</f>
        <v>240000</v>
      </c>
      <c r="C21" s="1">
        <f>VLOOKUP(A21,'1-導師費-0811ok'!B:T,19,FALSE)</f>
        <v>48000</v>
      </c>
      <c r="D21" s="1">
        <f>VLOOKUP(A21,'2-專輔師-0706ok'!A:E,4,FALSE)</f>
        <v>1440000</v>
      </c>
      <c r="E21" s="1">
        <f>VLOOKUP(A21,'2-專輔師-0706ok'!A:E,5,FALSE)</f>
        <v>160000</v>
      </c>
      <c r="F21" s="1"/>
      <c r="G21" s="1"/>
      <c r="H21" s="1"/>
      <c r="I21" s="1"/>
      <c r="J21" s="1"/>
      <c r="K21" s="1">
        <v>36000</v>
      </c>
      <c r="L21" s="1">
        <v>40000</v>
      </c>
      <c r="M21" s="1"/>
      <c r="N21" s="12">
        <f>IFERROR(VLOOKUP(A21,'4-移用以前年度賸餘-0708ok'!A:U,20,FALSE),0)*1000</f>
        <v>0</v>
      </c>
      <c r="O21" s="1">
        <f t="shared" si="2"/>
        <v>1804000</v>
      </c>
      <c r="P21" s="1">
        <v>101968000</v>
      </c>
      <c r="Q21" s="1">
        <f t="shared" si="0"/>
        <v>160000</v>
      </c>
      <c r="R21" s="1">
        <f t="shared" si="1"/>
        <v>100004000</v>
      </c>
      <c r="S21" s="2"/>
      <c r="T21" s="1">
        <f t="shared" si="3"/>
        <v>101968000</v>
      </c>
    </row>
    <row r="22" spans="1:20" s="29" customFormat="1" ht="25.5" customHeight="1" x14ac:dyDescent="0.4">
      <c r="A22" s="11" t="s">
        <v>3</v>
      </c>
      <c r="B22" s="6">
        <f>VLOOKUP(A22,'1-導師費-0811ok'!B:T,18,FALSE)</f>
        <v>60000</v>
      </c>
      <c r="C22" s="1">
        <f>VLOOKUP(A22,'1-導師費-0811ok'!B:T,19,FALSE)</f>
        <v>0</v>
      </c>
      <c r="D22" s="1">
        <f>VLOOKUP(A22,'2-專輔師-0706ok'!A:E,4,FALSE)</f>
        <v>720000</v>
      </c>
      <c r="E22" s="1">
        <f>VLOOKUP(A22,'2-專輔師-0706ok'!A:E,5,FALSE)</f>
        <v>80000</v>
      </c>
      <c r="F22" s="1"/>
      <c r="G22" s="1"/>
      <c r="H22" s="1"/>
      <c r="I22" s="1"/>
      <c r="J22" s="1">
        <v>2800000</v>
      </c>
      <c r="K22" s="1">
        <v>5000</v>
      </c>
      <c r="L22" s="1">
        <v>100000</v>
      </c>
      <c r="M22" s="1"/>
      <c r="N22" s="12">
        <f>IFERROR(VLOOKUP(A22,'4-移用以前年度賸餘-0708ok'!A:U,20,FALSE),0)*1000</f>
        <v>200000</v>
      </c>
      <c r="O22" s="1">
        <f t="shared" si="2"/>
        <v>3885000</v>
      </c>
      <c r="P22" s="1">
        <v>30960000</v>
      </c>
      <c r="Q22" s="1">
        <f t="shared" si="0"/>
        <v>80000</v>
      </c>
      <c r="R22" s="1">
        <f t="shared" si="1"/>
        <v>26995000</v>
      </c>
      <c r="S22" s="2"/>
      <c r="T22" s="1">
        <f t="shared" si="3"/>
        <v>30760000</v>
      </c>
    </row>
    <row r="23" spans="1:20" s="29" customFormat="1" ht="25.5" customHeight="1" x14ac:dyDescent="0.4">
      <c r="A23" s="11" t="s">
        <v>4</v>
      </c>
      <c r="B23" s="6">
        <f>VLOOKUP(A23,'1-導師費-0811ok'!B:T,18,FALSE)</f>
        <v>48000</v>
      </c>
      <c r="C23" s="1">
        <f>VLOOKUP(A23,'1-導師費-0811ok'!B:T,19,FALSE)</f>
        <v>0</v>
      </c>
      <c r="D23" s="1">
        <f>VLOOKUP(A23,'2-專輔師-0706ok'!A:E,4,FALSE)</f>
        <v>720000</v>
      </c>
      <c r="E23" s="1">
        <f>VLOOKUP(A23,'2-專輔師-0706ok'!A:E,5,FALSE)</f>
        <v>80000</v>
      </c>
      <c r="F23" s="1"/>
      <c r="G23" s="1"/>
      <c r="H23" s="1"/>
      <c r="I23" s="1"/>
      <c r="J23" s="1">
        <v>2800000</v>
      </c>
      <c r="K23" s="1">
        <v>38000</v>
      </c>
      <c r="L23" s="1">
        <v>8000</v>
      </c>
      <c r="M23" s="1"/>
      <c r="N23" s="12">
        <f>IFERROR(VLOOKUP(A23,'4-移用以前年度賸餘-0708ok'!A:U,20,FALSE),0)*1000</f>
        <v>0</v>
      </c>
      <c r="O23" s="1">
        <f t="shared" si="2"/>
        <v>3614000</v>
      </c>
      <c r="P23" s="1">
        <v>23389000</v>
      </c>
      <c r="Q23" s="1">
        <f t="shared" si="0"/>
        <v>80000</v>
      </c>
      <c r="R23" s="1">
        <f t="shared" si="1"/>
        <v>19695000</v>
      </c>
      <c r="S23" s="2"/>
      <c r="T23" s="1">
        <f t="shared" si="3"/>
        <v>23389000</v>
      </c>
    </row>
    <row r="24" spans="1:20" s="29" customFormat="1" ht="25.5" customHeight="1" x14ac:dyDescent="0.4">
      <c r="A24" s="11" t="s">
        <v>24</v>
      </c>
      <c r="B24" s="6">
        <f>VLOOKUP(A24,'1-導師費-0811ok'!B:T,18,FALSE)</f>
        <v>48000</v>
      </c>
      <c r="C24" s="1">
        <f>VLOOKUP(A24,'1-導師費-0811ok'!B:T,19,FALSE)</f>
        <v>48000</v>
      </c>
      <c r="D24" s="1">
        <f>VLOOKUP(A24,'2-專輔師-0706ok'!A:E,4,FALSE)</f>
        <v>720000</v>
      </c>
      <c r="E24" s="1">
        <f>VLOOKUP(A24,'2-專輔師-0706ok'!A:E,5,FALSE)</f>
        <v>80000</v>
      </c>
      <c r="F24" s="1"/>
      <c r="G24" s="1"/>
      <c r="H24" s="1"/>
      <c r="I24" s="1"/>
      <c r="J24" s="1">
        <v>2800000</v>
      </c>
      <c r="K24" s="12">
        <v>27000</v>
      </c>
      <c r="L24" s="1">
        <v>5000</v>
      </c>
      <c r="M24" s="1"/>
      <c r="N24" s="12">
        <f>IFERROR(VLOOKUP(A24,'4-移用以前年度賸餘-0708ok'!A:U,20,FALSE),0)*1000</f>
        <v>80000</v>
      </c>
      <c r="O24" s="1">
        <f t="shared" si="2"/>
        <v>3728000</v>
      </c>
      <c r="P24" s="1">
        <v>36536000</v>
      </c>
      <c r="Q24" s="1">
        <f t="shared" si="0"/>
        <v>80000</v>
      </c>
      <c r="R24" s="1">
        <f t="shared" si="1"/>
        <v>32728000</v>
      </c>
      <c r="S24" s="2"/>
      <c r="T24" s="1">
        <f t="shared" si="3"/>
        <v>36456000</v>
      </c>
    </row>
    <row r="25" spans="1:20" s="29" customFormat="1" ht="25.5" customHeight="1" x14ac:dyDescent="0.4">
      <c r="A25" s="11" t="s">
        <v>25</v>
      </c>
      <c r="B25" s="6">
        <f>VLOOKUP(A25,'1-導師費-0811ok'!B:T,18,FALSE)</f>
        <v>48000</v>
      </c>
      <c r="C25" s="1">
        <f>VLOOKUP(A25,'1-導師費-0811ok'!B:T,19,FALSE)</f>
        <v>0</v>
      </c>
      <c r="D25" s="1">
        <f>VLOOKUP(A25,'2-專輔師-0706ok'!A:E,4,FALSE)</f>
        <v>720000</v>
      </c>
      <c r="E25" s="1">
        <f>VLOOKUP(A25,'2-專輔師-0706ok'!A:E,5,FALSE)</f>
        <v>80000</v>
      </c>
      <c r="F25" s="1"/>
      <c r="G25" s="1"/>
      <c r="H25" s="1"/>
      <c r="I25" s="1"/>
      <c r="J25" s="1">
        <v>2800000</v>
      </c>
      <c r="K25" s="1">
        <v>3000</v>
      </c>
      <c r="L25" s="1">
        <v>30000</v>
      </c>
      <c r="M25" s="1"/>
      <c r="N25" s="12">
        <f>IFERROR(VLOOKUP(A25,'4-移用以前年度賸餘-0708ok'!A:U,20,FALSE),0)*1000</f>
        <v>0</v>
      </c>
      <c r="O25" s="1">
        <f t="shared" si="2"/>
        <v>3601000</v>
      </c>
      <c r="P25" s="1">
        <v>29941000</v>
      </c>
      <c r="Q25" s="1">
        <f t="shared" si="0"/>
        <v>80000</v>
      </c>
      <c r="R25" s="1">
        <f t="shared" si="1"/>
        <v>26260000</v>
      </c>
      <c r="S25" s="2"/>
      <c r="T25" s="1">
        <f t="shared" si="3"/>
        <v>29941000</v>
      </c>
    </row>
    <row r="26" spans="1:20" s="29" customFormat="1" ht="25.5" customHeight="1" x14ac:dyDescent="0.4">
      <c r="A26" s="11" t="s">
        <v>26</v>
      </c>
      <c r="B26" s="6">
        <f>VLOOKUP(A26,'1-導師費-0811ok'!B:T,18,FALSE)</f>
        <v>36000</v>
      </c>
      <c r="C26" s="1">
        <f>VLOOKUP(A26,'1-導師費-0811ok'!B:T,19,FALSE)</f>
        <v>0</v>
      </c>
      <c r="D26" s="1">
        <f>VLOOKUP(A26,'2-專輔師-0706ok'!A:E,4,FALSE)</f>
        <v>720000</v>
      </c>
      <c r="E26" s="1">
        <f>VLOOKUP(A26,'2-專輔師-0706ok'!A:E,5,FALSE)</f>
        <v>80000</v>
      </c>
      <c r="F26" s="1"/>
      <c r="G26" s="1"/>
      <c r="H26" s="2"/>
      <c r="I26" s="1"/>
      <c r="J26" s="1"/>
      <c r="K26" s="1">
        <v>1000</v>
      </c>
      <c r="L26" s="1">
        <v>0</v>
      </c>
      <c r="M26" s="1"/>
      <c r="N26" s="12">
        <f>IFERROR(VLOOKUP(A26,'4-移用以前年度賸餘-0708ok'!A:U,20,FALSE),0)*1000</f>
        <v>0</v>
      </c>
      <c r="O26" s="1">
        <f t="shared" si="2"/>
        <v>757000</v>
      </c>
      <c r="P26" s="1">
        <v>19470000</v>
      </c>
      <c r="Q26" s="1">
        <f t="shared" si="0"/>
        <v>80000</v>
      </c>
      <c r="R26" s="1">
        <f t="shared" si="1"/>
        <v>18633000</v>
      </c>
      <c r="S26" s="2"/>
      <c r="T26" s="1">
        <f t="shared" si="3"/>
        <v>19470000</v>
      </c>
    </row>
    <row r="27" spans="1:20" s="29" customFormat="1" ht="25.5" customHeight="1" x14ac:dyDescent="0.4">
      <c r="A27" s="13" t="s">
        <v>6</v>
      </c>
      <c r="B27" s="6">
        <f>VLOOKUP(A27,'1-導師費-0811ok'!B:T,18,FALSE)</f>
        <v>36000</v>
      </c>
      <c r="C27" s="1">
        <f>VLOOKUP(A27,'1-導師費-0811ok'!B:T,19,FALSE)</f>
        <v>0</v>
      </c>
      <c r="D27" s="1">
        <f>VLOOKUP(A27,'2-專輔師-0706ok'!A:E,4,FALSE)</f>
        <v>720000</v>
      </c>
      <c r="E27" s="1">
        <f>VLOOKUP(A27,'2-專輔師-0706ok'!A:E,5,FALSE)</f>
        <v>80000</v>
      </c>
      <c r="F27" s="1"/>
      <c r="G27" s="1"/>
      <c r="H27" s="1"/>
      <c r="I27" s="1"/>
      <c r="J27" s="1"/>
      <c r="K27" s="1">
        <v>121000</v>
      </c>
      <c r="L27" s="1">
        <v>28000</v>
      </c>
      <c r="M27" s="1">
        <v>26242000</v>
      </c>
      <c r="N27" s="12">
        <v>7864000</v>
      </c>
      <c r="O27" s="1">
        <f t="shared" si="2"/>
        <v>35011000</v>
      </c>
      <c r="P27" s="1">
        <v>35364000</v>
      </c>
      <c r="Q27" s="1">
        <f t="shared" si="0"/>
        <v>80000</v>
      </c>
      <c r="R27" s="1">
        <f t="shared" si="1"/>
        <v>273000</v>
      </c>
      <c r="S27" s="2"/>
      <c r="T27" s="1">
        <f t="shared" ref="T27:T28" si="4">P27-N27</f>
        <v>27500000</v>
      </c>
    </row>
    <row r="28" spans="1:20" s="29" customFormat="1" ht="25.5" customHeight="1" x14ac:dyDescent="0.4">
      <c r="A28" s="13" t="s">
        <v>28</v>
      </c>
      <c r="B28" s="6"/>
      <c r="C28" s="1"/>
      <c r="D28" s="1"/>
      <c r="E28" s="1"/>
      <c r="F28" s="1"/>
      <c r="G28" s="1"/>
      <c r="H28" s="1"/>
      <c r="I28" s="1"/>
      <c r="J28" s="1"/>
      <c r="K28" s="1">
        <v>2547000</v>
      </c>
      <c r="L28" s="1">
        <v>1375000</v>
      </c>
      <c r="M28" s="1"/>
      <c r="N28" s="12">
        <f>IFERROR(VLOOKUP(A28,'4-移用以前年度賸餘-0708ok'!A:U,20,FALSE),0)*1000</f>
        <v>374000</v>
      </c>
      <c r="O28" s="1">
        <f t="shared" si="2"/>
        <v>4296000</v>
      </c>
      <c r="P28" s="12">
        <v>59027000</v>
      </c>
      <c r="Q28" s="1">
        <f t="shared" si="0"/>
        <v>0</v>
      </c>
      <c r="R28" s="1">
        <f t="shared" si="1"/>
        <v>54731000</v>
      </c>
      <c r="S28" s="1"/>
      <c r="T28" s="1">
        <f t="shared" si="4"/>
        <v>58653000</v>
      </c>
    </row>
    <row r="29" spans="1:20" s="29" customFormat="1" ht="25.5" customHeight="1" x14ac:dyDescent="0.4">
      <c r="A29" s="11" t="s">
        <v>5</v>
      </c>
      <c r="B29" s="6">
        <f>SUM(B4:B28)</f>
        <v>3864000</v>
      </c>
      <c r="C29" s="6">
        <f t="shared" ref="C29:J29" si="5">SUM(C4:C28)</f>
        <v>480000</v>
      </c>
      <c r="D29" s="6">
        <f t="shared" si="5"/>
        <v>23040000</v>
      </c>
      <c r="E29" s="6">
        <f t="shared" si="5"/>
        <v>2560000</v>
      </c>
      <c r="F29" s="6">
        <f t="shared" si="5"/>
        <v>3831000</v>
      </c>
      <c r="G29" s="6">
        <f t="shared" si="5"/>
        <v>869000</v>
      </c>
      <c r="H29" s="6">
        <f t="shared" si="5"/>
        <v>672000</v>
      </c>
      <c r="I29" s="6">
        <f t="shared" si="5"/>
        <v>168000</v>
      </c>
      <c r="J29" s="6">
        <f t="shared" si="5"/>
        <v>28700000</v>
      </c>
      <c r="K29" s="6">
        <f t="shared" ref="K29:T29" si="6">SUM(K4:K28)</f>
        <v>3183000</v>
      </c>
      <c r="L29" s="6">
        <f t="shared" si="6"/>
        <v>5943000</v>
      </c>
      <c r="M29" s="6">
        <f t="shared" si="6"/>
        <v>27436000</v>
      </c>
      <c r="N29" s="6">
        <f t="shared" si="6"/>
        <v>9798000</v>
      </c>
      <c r="O29" s="1">
        <f t="shared" si="2"/>
        <v>106947000</v>
      </c>
      <c r="P29" s="6">
        <f t="shared" si="6"/>
        <v>1791336000</v>
      </c>
      <c r="Q29" s="6">
        <f t="shared" si="6"/>
        <v>3597000</v>
      </c>
      <c r="R29" s="6">
        <f t="shared" si="6"/>
        <v>1680792000</v>
      </c>
      <c r="S29" s="6">
        <f t="shared" si="6"/>
        <v>0</v>
      </c>
      <c r="T29" s="6">
        <f t="shared" si="6"/>
        <v>1781538000</v>
      </c>
    </row>
    <row r="30" spans="1:20" x14ac:dyDescent="0.4">
      <c r="B30" s="7"/>
    </row>
  </sheetData>
  <mergeCells count="8">
    <mergeCell ref="A1:T1"/>
    <mergeCell ref="A2:A3"/>
    <mergeCell ref="O2:O3"/>
    <mergeCell ref="P2:P3"/>
    <mergeCell ref="Q2:S2"/>
    <mergeCell ref="T2:T3"/>
    <mergeCell ref="K3:L3"/>
    <mergeCell ref="B2:J2"/>
  </mergeCells>
  <phoneticPr fontId="14" type="noConversion"/>
  <pageMargins left="0.21" right="0.16" top="0.34" bottom="1.0900000000000001" header="0.16" footer="0.5"/>
  <pageSetup paperSize="8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workbookViewId="0">
      <selection activeCell="G13" sqref="G13"/>
    </sheetView>
  </sheetViews>
  <sheetFormatPr defaultColWidth="9" defaultRowHeight="28.5" customHeight="1" x14ac:dyDescent="0.4"/>
  <cols>
    <col min="1" max="1" width="24.90625" style="47" customWidth="1"/>
    <col min="2" max="4" width="21.6328125" style="43" customWidth="1"/>
    <col min="5" max="5" width="15.08984375" style="39" customWidth="1"/>
    <col min="6" max="16384" width="9" style="39"/>
  </cols>
  <sheetData>
    <row r="1" spans="1:4" s="40" customFormat="1" ht="28.5" customHeight="1" x14ac:dyDescent="0.4">
      <c r="A1" s="44"/>
      <c r="B1" s="41" t="s">
        <v>88</v>
      </c>
      <c r="C1" s="41" t="s">
        <v>89</v>
      </c>
      <c r="D1" s="41" t="s">
        <v>90</v>
      </c>
    </row>
    <row r="2" spans="1:4" ht="28.5" customHeight="1" x14ac:dyDescent="0.4">
      <c r="A2" s="45" t="s">
        <v>63</v>
      </c>
      <c r="B2" s="42"/>
      <c r="C2" s="42"/>
      <c r="D2" s="42"/>
    </row>
    <row r="3" spans="1:4" ht="28.5" customHeight="1" x14ac:dyDescent="0.4">
      <c r="A3" s="46" t="s">
        <v>64</v>
      </c>
      <c r="B3" s="42"/>
      <c r="C3" s="42"/>
      <c r="D3" s="42"/>
    </row>
    <row r="4" spans="1:4" ht="28.5" customHeight="1" x14ac:dyDescent="0.4">
      <c r="A4" s="45" t="s">
        <v>65</v>
      </c>
      <c r="B4" s="42"/>
      <c r="C4" s="42"/>
      <c r="D4" s="42"/>
    </row>
    <row r="5" spans="1:4" ht="28.5" customHeight="1" x14ac:dyDescent="0.4">
      <c r="A5" s="45" t="s">
        <v>66</v>
      </c>
      <c r="B5" s="42"/>
      <c r="C5" s="42"/>
      <c r="D5" s="42"/>
    </row>
    <row r="6" spans="1:4" ht="28.5" customHeight="1" x14ac:dyDescent="0.4">
      <c r="A6" s="45" t="s">
        <v>67</v>
      </c>
      <c r="B6" s="42"/>
      <c r="C6" s="42"/>
      <c r="D6" s="42"/>
    </row>
    <row r="7" spans="1:4" ht="28.5" customHeight="1" x14ac:dyDescent="0.4">
      <c r="A7" s="45" t="s">
        <v>68</v>
      </c>
      <c r="B7" s="42"/>
      <c r="C7" s="42"/>
      <c r="D7" s="42"/>
    </row>
    <row r="8" spans="1:4" ht="28.5" customHeight="1" x14ac:dyDescent="0.4">
      <c r="A8" s="45" t="s">
        <v>69</v>
      </c>
      <c r="B8" s="42"/>
      <c r="C8" s="42"/>
      <c r="D8" s="42"/>
    </row>
    <row r="9" spans="1:4" ht="28.5" customHeight="1" x14ac:dyDescent="0.4">
      <c r="A9" s="45" t="s">
        <v>70</v>
      </c>
      <c r="B9" s="42"/>
      <c r="C9" s="42"/>
      <c r="D9" s="42"/>
    </row>
    <row r="10" spans="1:4" ht="28.5" customHeight="1" x14ac:dyDescent="0.4">
      <c r="A10" s="45" t="s">
        <v>71</v>
      </c>
      <c r="B10" s="42"/>
      <c r="C10" s="42"/>
      <c r="D10" s="42"/>
    </row>
    <row r="11" spans="1:4" ht="28.5" customHeight="1" x14ac:dyDescent="0.4">
      <c r="A11" s="45" t="s">
        <v>72</v>
      </c>
      <c r="B11" s="42"/>
      <c r="C11" s="42"/>
      <c r="D11" s="42"/>
    </row>
    <row r="12" spans="1:4" ht="28.5" customHeight="1" x14ac:dyDescent="0.4">
      <c r="A12" s="45" t="s">
        <v>73</v>
      </c>
      <c r="B12" s="42"/>
      <c r="C12" s="42"/>
      <c r="D12" s="42"/>
    </row>
    <row r="13" spans="1:4" ht="28.5" customHeight="1" x14ac:dyDescent="0.4">
      <c r="A13" s="46" t="s">
        <v>74</v>
      </c>
      <c r="B13" s="42"/>
      <c r="C13" s="42"/>
      <c r="D13" s="42"/>
    </row>
    <row r="14" spans="1:4" ht="28.5" customHeight="1" x14ac:dyDescent="0.4">
      <c r="A14" s="45" t="s">
        <v>75</v>
      </c>
      <c r="B14" s="42"/>
      <c r="C14" s="42"/>
      <c r="D14" s="42"/>
    </row>
    <row r="15" spans="1:4" ht="28.5" customHeight="1" x14ac:dyDescent="0.4">
      <c r="A15" s="45" t="s">
        <v>76</v>
      </c>
      <c r="B15" s="42"/>
      <c r="C15" s="42"/>
      <c r="D15" s="42"/>
    </row>
    <row r="16" spans="1:4" ht="28.5" customHeight="1" x14ac:dyDescent="0.4">
      <c r="A16" s="45" t="s">
        <v>77</v>
      </c>
      <c r="B16" s="42"/>
      <c r="C16" s="42"/>
      <c r="D16" s="42"/>
    </row>
    <row r="17" spans="1:4" ht="28.5" customHeight="1" x14ac:dyDescent="0.4">
      <c r="A17" s="45" t="s">
        <v>78</v>
      </c>
      <c r="B17" s="42"/>
      <c r="C17" s="42"/>
      <c r="D17" s="42"/>
    </row>
    <row r="18" spans="1:4" ht="28.5" customHeight="1" x14ac:dyDescent="0.4">
      <c r="A18" s="45" t="s">
        <v>79</v>
      </c>
      <c r="B18" s="42"/>
      <c r="C18" s="42"/>
      <c r="D18" s="42"/>
    </row>
    <row r="19" spans="1:4" ht="28.5" customHeight="1" x14ac:dyDescent="0.4">
      <c r="A19" s="45" t="s">
        <v>80</v>
      </c>
      <c r="B19" s="42"/>
      <c r="C19" s="42"/>
      <c r="D19" s="42"/>
    </row>
    <row r="20" spans="1:4" ht="28.5" customHeight="1" x14ac:dyDescent="0.4">
      <c r="A20" s="45" t="s">
        <v>81</v>
      </c>
      <c r="B20" s="42"/>
      <c r="C20" s="42"/>
      <c r="D20" s="42"/>
    </row>
    <row r="21" spans="1:4" ht="28.5" customHeight="1" x14ac:dyDescent="0.4">
      <c r="A21" s="45" t="s">
        <v>82</v>
      </c>
      <c r="B21" s="42"/>
      <c r="C21" s="42"/>
      <c r="D21" s="42"/>
    </row>
    <row r="22" spans="1:4" ht="28.5" customHeight="1" x14ac:dyDescent="0.4">
      <c r="A22" s="45" t="s">
        <v>83</v>
      </c>
      <c r="B22" s="42"/>
      <c r="C22" s="42"/>
      <c r="D22" s="42"/>
    </row>
    <row r="23" spans="1:4" ht="28.5" customHeight="1" x14ac:dyDescent="0.4">
      <c r="A23" s="45" t="s">
        <v>84</v>
      </c>
      <c r="B23" s="42"/>
      <c r="C23" s="42"/>
      <c r="D23" s="42"/>
    </row>
    <row r="24" spans="1:4" ht="28.5" customHeight="1" x14ac:dyDescent="0.4">
      <c r="A24" s="45" t="s">
        <v>85</v>
      </c>
      <c r="B24" s="42"/>
      <c r="C24" s="42"/>
      <c r="D24" s="42"/>
    </row>
    <row r="25" spans="1:4" ht="28.5" customHeight="1" x14ac:dyDescent="0.4">
      <c r="A25" s="45" t="s">
        <v>86</v>
      </c>
      <c r="B25" s="42"/>
      <c r="C25" s="42"/>
      <c r="D25" s="42"/>
    </row>
    <row r="26" spans="1:4" ht="28.5" customHeight="1" x14ac:dyDescent="0.4">
      <c r="A26" s="45" t="s">
        <v>92</v>
      </c>
      <c r="B26" s="42"/>
      <c r="C26" s="42"/>
      <c r="D26" s="42"/>
    </row>
    <row r="27" spans="1:4" ht="28.5" customHeight="1" x14ac:dyDescent="0.4">
      <c r="A27" s="45" t="s">
        <v>87</v>
      </c>
      <c r="B27" s="42"/>
      <c r="C27" s="42"/>
      <c r="D27" s="42"/>
    </row>
    <row r="28" spans="1:4" ht="28.5" customHeight="1" x14ac:dyDescent="0.4">
      <c r="A28" s="45" t="s">
        <v>91</v>
      </c>
      <c r="B28" s="42">
        <f>B27+B26</f>
        <v>0</v>
      </c>
      <c r="C28" s="42">
        <f>C27+C26</f>
        <v>0</v>
      </c>
      <c r="D28" s="42">
        <f>D27+D26</f>
        <v>0</v>
      </c>
    </row>
  </sheetData>
  <phoneticPr fontId="22" type="noConversion"/>
  <pageMargins left="0.7" right="0.7" top="0.75" bottom="0.75" header="0.3" footer="0.3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="85" zoomScaleNormal="85" workbookViewId="0">
      <pane xSplit="4" ySplit="1" topLeftCell="E2" activePane="bottomRight" state="frozen"/>
      <selection pane="topRight" activeCell="C1" sqref="C1"/>
      <selection pane="bottomLeft" activeCell="A3" sqref="A3"/>
      <selection pane="bottomRight" activeCell="Y28" sqref="Y28"/>
    </sheetView>
  </sheetViews>
  <sheetFormatPr defaultColWidth="9" defaultRowHeight="17" x14ac:dyDescent="0.4"/>
  <cols>
    <col min="1" max="1" width="9" style="19"/>
    <col min="2" max="2" width="14.7265625" style="19" customWidth="1"/>
    <col min="3" max="13" width="9" style="18"/>
    <col min="14" max="15" width="9.90625" style="18" customWidth="1"/>
    <col min="16" max="16" width="10.453125" style="18" customWidth="1"/>
    <col min="17" max="17" width="9" style="18"/>
    <col min="18" max="18" width="10.90625" style="18" customWidth="1"/>
    <col min="19" max="20" width="17.90625" style="18" customWidth="1"/>
    <col min="21" max="16384" width="9" style="18"/>
  </cols>
  <sheetData>
    <row r="1" spans="1:22" ht="22" thickBot="1" x14ac:dyDescent="0.45">
      <c r="A1" s="166" t="s">
        <v>188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</row>
    <row r="2" spans="1:22" ht="27" customHeight="1" thickBot="1" x14ac:dyDescent="0.45">
      <c r="A2" s="54"/>
      <c r="B2" s="55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8" t="s">
        <v>51</v>
      </c>
      <c r="T2" s="169"/>
    </row>
    <row r="3" spans="1:22" ht="27" customHeight="1" thickBot="1" x14ac:dyDescent="0.45">
      <c r="A3" s="56"/>
      <c r="B3" s="57"/>
      <c r="C3" s="172" t="s">
        <v>50</v>
      </c>
      <c r="D3" s="173"/>
      <c r="E3" s="174"/>
      <c r="F3" s="175" t="s">
        <v>120</v>
      </c>
      <c r="G3" s="176"/>
      <c r="H3" s="175" t="s">
        <v>121</v>
      </c>
      <c r="I3" s="176"/>
      <c r="J3" s="175" t="s">
        <v>122</v>
      </c>
      <c r="K3" s="176"/>
      <c r="L3" s="175" t="s">
        <v>123</v>
      </c>
      <c r="M3" s="176"/>
      <c r="N3" s="175" t="s">
        <v>124</v>
      </c>
      <c r="O3" s="174"/>
      <c r="P3" s="177" t="s">
        <v>125</v>
      </c>
      <c r="Q3" s="179" t="s">
        <v>126</v>
      </c>
      <c r="R3" s="179" t="s">
        <v>127</v>
      </c>
      <c r="S3" s="181" t="s">
        <v>128</v>
      </c>
      <c r="T3" s="183" t="s">
        <v>213</v>
      </c>
    </row>
    <row r="4" spans="1:22" ht="41" thickBot="1" x14ac:dyDescent="0.45">
      <c r="A4" s="58" t="s">
        <v>49</v>
      </c>
      <c r="B4" s="59" t="s">
        <v>48</v>
      </c>
      <c r="C4" s="60" t="s">
        <v>129</v>
      </c>
      <c r="D4" s="61" t="s">
        <v>47</v>
      </c>
      <c r="E4" s="62" t="s">
        <v>130</v>
      </c>
      <c r="F4" s="63" t="s">
        <v>132</v>
      </c>
      <c r="G4" s="63" t="s">
        <v>131</v>
      </c>
      <c r="H4" s="63" t="s">
        <v>132</v>
      </c>
      <c r="I4" s="63" t="s">
        <v>131</v>
      </c>
      <c r="J4" s="63" t="s">
        <v>132</v>
      </c>
      <c r="K4" s="63" t="s">
        <v>131</v>
      </c>
      <c r="L4" s="63" t="s">
        <v>132</v>
      </c>
      <c r="M4" s="63" t="s">
        <v>131</v>
      </c>
      <c r="N4" s="63" t="s">
        <v>132</v>
      </c>
      <c r="O4" s="64" t="s">
        <v>131</v>
      </c>
      <c r="P4" s="178"/>
      <c r="Q4" s="180"/>
      <c r="R4" s="180"/>
      <c r="S4" s="182"/>
      <c r="T4" s="184"/>
      <c r="V4" s="147"/>
    </row>
    <row r="5" spans="1:22" ht="18" x14ac:dyDescent="0.4">
      <c r="A5" s="65">
        <v>1</v>
      </c>
      <c r="B5" s="66" t="s">
        <v>189</v>
      </c>
      <c r="C5" s="68">
        <f>D5+E5</f>
        <v>12</v>
      </c>
      <c r="D5" s="69">
        <v>13</v>
      </c>
      <c r="E5" s="70">
        <v>-1</v>
      </c>
      <c r="F5" s="67">
        <v>3</v>
      </c>
      <c r="G5" s="71">
        <v>6</v>
      </c>
      <c r="H5" s="72"/>
      <c r="I5" s="71"/>
      <c r="J5" s="67">
        <v>1</v>
      </c>
      <c r="K5" s="71">
        <v>3</v>
      </c>
      <c r="L5" s="73"/>
      <c r="M5" s="74"/>
      <c r="N5" s="73">
        <v>1</v>
      </c>
      <c r="O5" s="75">
        <v>3</v>
      </c>
      <c r="P5" s="76">
        <f t="shared" ref="P5:P28" si="0">C5+F5+H5+L5+N5</f>
        <v>16</v>
      </c>
      <c r="Q5" s="77">
        <f t="shared" ref="Q5:Q28" si="1">C5+F5+H5+J5+L5+N5</f>
        <v>17</v>
      </c>
      <c r="R5" s="77">
        <f t="shared" ref="R5:R28" si="2">J5</f>
        <v>1</v>
      </c>
      <c r="S5" s="78">
        <f t="shared" ref="S5:S28" si="3">(P5)*1000*12</f>
        <v>192000</v>
      </c>
      <c r="T5" s="79">
        <f>(R5*4000)*12</f>
        <v>48000</v>
      </c>
    </row>
    <row r="6" spans="1:22" ht="18" x14ac:dyDescent="0.4">
      <c r="A6" s="80">
        <v>2</v>
      </c>
      <c r="B6" s="81" t="s">
        <v>190</v>
      </c>
      <c r="C6" s="143">
        <f>D6+E6</f>
        <v>39</v>
      </c>
      <c r="D6" s="83">
        <v>39</v>
      </c>
      <c r="E6" s="144">
        <v>0</v>
      </c>
      <c r="F6" s="82"/>
      <c r="G6" s="84"/>
      <c r="H6" s="85">
        <v>6</v>
      </c>
      <c r="I6" s="84">
        <v>18</v>
      </c>
      <c r="J6" s="82">
        <v>1</v>
      </c>
      <c r="K6" s="84">
        <v>3</v>
      </c>
      <c r="L6" s="86"/>
      <c r="M6" s="87"/>
      <c r="N6" s="86">
        <v>1</v>
      </c>
      <c r="O6" s="88">
        <v>3</v>
      </c>
      <c r="P6" s="76">
        <f t="shared" si="0"/>
        <v>46</v>
      </c>
      <c r="Q6" s="77">
        <f t="shared" si="1"/>
        <v>47</v>
      </c>
      <c r="R6" s="89">
        <f t="shared" si="2"/>
        <v>1</v>
      </c>
      <c r="S6" s="145">
        <f t="shared" si="3"/>
        <v>552000</v>
      </c>
      <c r="T6" s="79">
        <f t="shared" ref="T6:T28" si="4">R6*4000*12</f>
        <v>48000</v>
      </c>
    </row>
    <row r="7" spans="1:22" ht="18" x14ac:dyDescent="0.4">
      <c r="A7" s="80">
        <v>3</v>
      </c>
      <c r="B7" s="81" t="s">
        <v>191</v>
      </c>
      <c r="C7" s="68">
        <f t="shared" ref="C7:C28" si="5">D7+E7</f>
        <v>48</v>
      </c>
      <c r="D7" s="83">
        <v>48</v>
      </c>
      <c r="E7" s="90">
        <v>0</v>
      </c>
      <c r="F7" s="82">
        <v>3</v>
      </c>
      <c r="G7" s="84">
        <v>8</v>
      </c>
      <c r="H7" s="85">
        <v>3</v>
      </c>
      <c r="I7" s="84">
        <v>9</v>
      </c>
      <c r="J7" s="82">
        <v>2</v>
      </c>
      <c r="K7" s="84">
        <v>6</v>
      </c>
      <c r="L7" s="86"/>
      <c r="M7" s="87"/>
      <c r="N7" s="86">
        <v>3</v>
      </c>
      <c r="O7" s="88">
        <v>9</v>
      </c>
      <c r="P7" s="76">
        <f t="shared" si="0"/>
        <v>57</v>
      </c>
      <c r="Q7" s="77">
        <f t="shared" si="1"/>
        <v>59</v>
      </c>
      <c r="R7" s="89">
        <f t="shared" si="2"/>
        <v>2</v>
      </c>
      <c r="S7" s="78">
        <f t="shared" si="3"/>
        <v>684000</v>
      </c>
      <c r="T7" s="79">
        <f t="shared" si="4"/>
        <v>96000</v>
      </c>
    </row>
    <row r="8" spans="1:22" ht="18" x14ac:dyDescent="0.4">
      <c r="A8" s="80">
        <v>4</v>
      </c>
      <c r="B8" s="81" t="s">
        <v>192</v>
      </c>
      <c r="C8" s="143">
        <f t="shared" si="5"/>
        <v>20</v>
      </c>
      <c r="D8" s="83">
        <v>20</v>
      </c>
      <c r="E8" s="144">
        <v>0</v>
      </c>
      <c r="F8" s="82">
        <v>3</v>
      </c>
      <c r="G8" s="84">
        <f>8-1</f>
        <v>7</v>
      </c>
      <c r="H8" s="85"/>
      <c r="I8" s="84"/>
      <c r="J8" s="82"/>
      <c r="K8" s="84"/>
      <c r="L8" s="86"/>
      <c r="M8" s="87"/>
      <c r="N8" s="86">
        <v>2</v>
      </c>
      <c r="O8" s="88">
        <v>6</v>
      </c>
      <c r="P8" s="76">
        <f t="shared" si="0"/>
        <v>25</v>
      </c>
      <c r="Q8" s="77">
        <f t="shared" si="1"/>
        <v>25</v>
      </c>
      <c r="R8" s="89">
        <f t="shared" si="2"/>
        <v>0</v>
      </c>
      <c r="S8" s="145">
        <f t="shared" si="3"/>
        <v>300000</v>
      </c>
      <c r="T8" s="79">
        <f t="shared" si="4"/>
        <v>0</v>
      </c>
    </row>
    <row r="9" spans="1:22" ht="18" x14ac:dyDescent="0.4">
      <c r="A9" s="80">
        <v>5</v>
      </c>
      <c r="B9" s="81" t="s">
        <v>193</v>
      </c>
      <c r="C9" s="68">
        <f t="shared" si="5"/>
        <v>9</v>
      </c>
      <c r="D9" s="83">
        <v>9</v>
      </c>
      <c r="E9" s="90">
        <v>0</v>
      </c>
      <c r="F9" s="82"/>
      <c r="G9" s="84"/>
      <c r="H9" s="85"/>
      <c r="I9" s="84"/>
      <c r="J9" s="82">
        <v>1</v>
      </c>
      <c r="K9" s="84">
        <v>3</v>
      </c>
      <c r="L9" s="86"/>
      <c r="M9" s="87"/>
      <c r="N9" s="86">
        <v>2</v>
      </c>
      <c r="O9" s="88">
        <v>4</v>
      </c>
      <c r="P9" s="76">
        <f t="shared" si="0"/>
        <v>11</v>
      </c>
      <c r="Q9" s="77">
        <f t="shared" si="1"/>
        <v>12</v>
      </c>
      <c r="R9" s="89">
        <f t="shared" si="2"/>
        <v>1</v>
      </c>
      <c r="S9" s="78">
        <f t="shared" si="3"/>
        <v>132000</v>
      </c>
      <c r="T9" s="79">
        <f t="shared" si="4"/>
        <v>48000</v>
      </c>
    </row>
    <row r="10" spans="1:22" ht="18" x14ac:dyDescent="0.4">
      <c r="A10" s="80">
        <v>6</v>
      </c>
      <c r="B10" s="81" t="s">
        <v>194</v>
      </c>
      <c r="C10" s="68">
        <f t="shared" si="5"/>
        <v>10</v>
      </c>
      <c r="D10" s="83">
        <v>10</v>
      </c>
      <c r="E10" s="90">
        <v>0</v>
      </c>
      <c r="F10" s="82"/>
      <c r="G10" s="84"/>
      <c r="H10" s="85"/>
      <c r="I10" s="84"/>
      <c r="J10" s="82">
        <v>1</v>
      </c>
      <c r="K10" s="84">
        <v>2</v>
      </c>
      <c r="L10" s="86"/>
      <c r="M10" s="87"/>
      <c r="N10" s="86">
        <v>1</v>
      </c>
      <c r="O10" s="88">
        <v>2</v>
      </c>
      <c r="P10" s="76">
        <f t="shared" si="0"/>
        <v>11</v>
      </c>
      <c r="Q10" s="77">
        <f t="shared" si="1"/>
        <v>12</v>
      </c>
      <c r="R10" s="89">
        <f t="shared" si="2"/>
        <v>1</v>
      </c>
      <c r="S10" s="78">
        <f t="shared" si="3"/>
        <v>132000</v>
      </c>
      <c r="T10" s="79">
        <f t="shared" si="4"/>
        <v>48000</v>
      </c>
    </row>
    <row r="11" spans="1:22" ht="18" x14ac:dyDescent="0.4">
      <c r="A11" s="80">
        <v>7</v>
      </c>
      <c r="B11" s="81" t="s">
        <v>195</v>
      </c>
      <c r="C11" s="68">
        <f t="shared" si="5"/>
        <v>23</v>
      </c>
      <c r="D11" s="83">
        <v>23</v>
      </c>
      <c r="E11" s="90">
        <v>0</v>
      </c>
      <c r="F11" s="82">
        <v>3</v>
      </c>
      <c r="G11" s="84">
        <v>8</v>
      </c>
      <c r="H11" s="85"/>
      <c r="I11" s="84"/>
      <c r="J11" s="82"/>
      <c r="K11" s="84"/>
      <c r="L11" s="86">
        <v>4</v>
      </c>
      <c r="M11" s="87">
        <f>8+1</f>
        <v>9</v>
      </c>
      <c r="N11" s="86">
        <v>2</v>
      </c>
      <c r="O11" s="88">
        <v>6</v>
      </c>
      <c r="P11" s="76">
        <f t="shared" si="0"/>
        <v>32</v>
      </c>
      <c r="Q11" s="77">
        <f t="shared" si="1"/>
        <v>32</v>
      </c>
      <c r="R11" s="89">
        <f t="shared" si="2"/>
        <v>0</v>
      </c>
      <c r="S11" s="78">
        <f t="shared" si="3"/>
        <v>384000</v>
      </c>
      <c r="T11" s="79">
        <f t="shared" si="4"/>
        <v>0</v>
      </c>
    </row>
    <row r="12" spans="1:22" ht="18" x14ac:dyDescent="0.4">
      <c r="A12" s="80">
        <v>8</v>
      </c>
      <c r="B12" s="81" t="s">
        <v>196</v>
      </c>
      <c r="C12" s="68">
        <f t="shared" si="5"/>
        <v>9</v>
      </c>
      <c r="D12" s="83">
        <v>9</v>
      </c>
      <c r="E12" s="90">
        <v>0</v>
      </c>
      <c r="F12" s="82">
        <v>3</v>
      </c>
      <c r="G12" s="84">
        <v>7</v>
      </c>
      <c r="H12" s="85">
        <v>3</v>
      </c>
      <c r="I12" s="83">
        <v>9</v>
      </c>
      <c r="J12" s="82"/>
      <c r="K12" s="84"/>
      <c r="L12" s="86"/>
      <c r="M12" s="87"/>
      <c r="N12" s="86">
        <v>1</v>
      </c>
      <c r="O12" s="88">
        <v>3</v>
      </c>
      <c r="P12" s="76">
        <f t="shared" si="0"/>
        <v>16</v>
      </c>
      <c r="Q12" s="77">
        <f t="shared" si="1"/>
        <v>16</v>
      </c>
      <c r="R12" s="89">
        <f t="shared" si="2"/>
        <v>0</v>
      </c>
      <c r="S12" s="78">
        <f t="shared" si="3"/>
        <v>192000</v>
      </c>
      <c r="T12" s="79">
        <f t="shared" si="4"/>
        <v>0</v>
      </c>
    </row>
    <row r="13" spans="1:22" ht="18" x14ac:dyDescent="0.4">
      <c r="A13" s="80">
        <v>9</v>
      </c>
      <c r="B13" s="81" t="s">
        <v>197</v>
      </c>
      <c r="C13" s="68">
        <f t="shared" si="5"/>
        <v>9</v>
      </c>
      <c r="D13" s="83">
        <v>10</v>
      </c>
      <c r="E13" s="70">
        <v>-1</v>
      </c>
      <c r="F13" s="82"/>
      <c r="G13" s="84"/>
      <c r="H13" s="85"/>
      <c r="I13" s="84"/>
      <c r="J13" s="82"/>
      <c r="K13" s="84"/>
      <c r="L13" s="86"/>
      <c r="M13" s="87"/>
      <c r="N13" s="86">
        <v>1</v>
      </c>
      <c r="O13" s="88">
        <v>3</v>
      </c>
      <c r="P13" s="76">
        <f t="shared" si="0"/>
        <v>10</v>
      </c>
      <c r="Q13" s="77">
        <f t="shared" si="1"/>
        <v>10</v>
      </c>
      <c r="R13" s="89">
        <f t="shared" si="2"/>
        <v>0</v>
      </c>
      <c r="S13" s="78">
        <f t="shared" si="3"/>
        <v>120000</v>
      </c>
      <c r="T13" s="79">
        <f t="shared" si="4"/>
        <v>0</v>
      </c>
    </row>
    <row r="14" spans="1:22" ht="18" x14ac:dyDescent="0.4">
      <c r="A14" s="80">
        <v>10</v>
      </c>
      <c r="B14" s="81" t="s">
        <v>198</v>
      </c>
      <c r="C14" s="68">
        <f t="shared" si="5"/>
        <v>4</v>
      </c>
      <c r="D14" s="83">
        <v>4</v>
      </c>
      <c r="E14" s="90">
        <v>0</v>
      </c>
      <c r="F14" s="82"/>
      <c r="G14" s="84"/>
      <c r="H14" s="85"/>
      <c r="I14" s="84"/>
      <c r="J14" s="82"/>
      <c r="K14" s="84"/>
      <c r="L14" s="86"/>
      <c r="M14" s="87"/>
      <c r="N14" s="86">
        <v>1</v>
      </c>
      <c r="O14" s="88">
        <v>3</v>
      </c>
      <c r="P14" s="76">
        <f t="shared" si="0"/>
        <v>5</v>
      </c>
      <c r="Q14" s="77">
        <f t="shared" si="1"/>
        <v>5</v>
      </c>
      <c r="R14" s="89">
        <f t="shared" si="2"/>
        <v>0</v>
      </c>
      <c r="S14" s="78">
        <f t="shared" si="3"/>
        <v>60000</v>
      </c>
      <c r="T14" s="79">
        <f t="shared" si="4"/>
        <v>0</v>
      </c>
    </row>
    <row r="15" spans="1:22" ht="18" x14ac:dyDescent="0.4">
      <c r="A15" s="80">
        <v>11</v>
      </c>
      <c r="B15" s="81" t="s">
        <v>199</v>
      </c>
      <c r="C15" s="68">
        <f t="shared" si="5"/>
        <v>6</v>
      </c>
      <c r="D15" s="83">
        <v>7</v>
      </c>
      <c r="E15" s="70">
        <v>-1</v>
      </c>
      <c r="F15" s="82"/>
      <c r="G15" s="84"/>
      <c r="H15" s="85"/>
      <c r="I15" s="84"/>
      <c r="J15" s="82"/>
      <c r="K15" s="84"/>
      <c r="L15" s="86"/>
      <c r="M15" s="87"/>
      <c r="N15" s="86"/>
      <c r="O15" s="88"/>
      <c r="P15" s="76">
        <f t="shared" si="0"/>
        <v>6</v>
      </c>
      <c r="Q15" s="77">
        <f t="shared" si="1"/>
        <v>6</v>
      </c>
      <c r="R15" s="89">
        <f t="shared" si="2"/>
        <v>0</v>
      </c>
      <c r="S15" s="78">
        <f t="shared" si="3"/>
        <v>72000</v>
      </c>
      <c r="T15" s="79">
        <f t="shared" si="4"/>
        <v>0</v>
      </c>
    </row>
    <row r="16" spans="1:22" ht="18" x14ac:dyDescent="0.4">
      <c r="A16" s="80">
        <v>12</v>
      </c>
      <c r="B16" s="81" t="s">
        <v>200</v>
      </c>
      <c r="C16" s="68">
        <f t="shared" si="5"/>
        <v>10</v>
      </c>
      <c r="D16" s="83">
        <v>10</v>
      </c>
      <c r="E16" s="90">
        <v>0</v>
      </c>
      <c r="F16" s="82"/>
      <c r="G16" s="84"/>
      <c r="H16" s="85"/>
      <c r="I16" s="84"/>
      <c r="J16" s="82">
        <v>1</v>
      </c>
      <c r="K16" s="84">
        <v>3</v>
      </c>
      <c r="L16" s="86"/>
      <c r="M16" s="87"/>
      <c r="N16" s="86">
        <v>1</v>
      </c>
      <c r="O16" s="88">
        <v>3</v>
      </c>
      <c r="P16" s="76">
        <f t="shared" si="0"/>
        <v>11</v>
      </c>
      <c r="Q16" s="77">
        <f t="shared" si="1"/>
        <v>12</v>
      </c>
      <c r="R16" s="89">
        <f t="shared" si="2"/>
        <v>1</v>
      </c>
      <c r="S16" s="78">
        <f t="shared" si="3"/>
        <v>132000</v>
      </c>
      <c r="T16" s="79">
        <f t="shared" si="4"/>
        <v>48000</v>
      </c>
    </row>
    <row r="17" spans="1:20" ht="18" x14ac:dyDescent="0.4">
      <c r="A17" s="80">
        <v>13</v>
      </c>
      <c r="B17" s="81" t="s">
        <v>201</v>
      </c>
      <c r="C17" s="68">
        <f t="shared" si="5"/>
        <v>3</v>
      </c>
      <c r="D17" s="83">
        <v>3</v>
      </c>
      <c r="E17" s="90">
        <v>0</v>
      </c>
      <c r="F17" s="82"/>
      <c r="G17" s="84"/>
      <c r="H17" s="85"/>
      <c r="I17" s="84"/>
      <c r="J17" s="82"/>
      <c r="K17" s="84"/>
      <c r="L17" s="86"/>
      <c r="M17" s="87"/>
      <c r="N17" s="86"/>
      <c r="O17" s="88"/>
      <c r="P17" s="76">
        <f t="shared" si="0"/>
        <v>3</v>
      </c>
      <c r="Q17" s="77">
        <f t="shared" si="1"/>
        <v>3</v>
      </c>
      <c r="R17" s="89">
        <f t="shared" si="2"/>
        <v>0</v>
      </c>
      <c r="S17" s="78">
        <f t="shared" si="3"/>
        <v>36000</v>
      </c>
      <c r="T17" s="79">
        <f t="shared" si="4"/>
        <v>0</v>
      </c>
    </row>
    <row r="18" spans="1:20" ht="18" x14ac:dyDescent="0.4">
      <c r="A18" s="80">
        <v>14</v>
      </c>
      <c r="B18" s="81" t="s">
        <v>202</v>
      </c>
      <c r="C18" s="68">
        <f t="shared" si="5"/>
        <v>6</v>
      </c>
      <c r="D18" s="83">
        <v>7</v>
      </c>
      <c r="E18" s="70">
        <v>-1</v>
      </c>
      <c r="F18" s="82">
        <v>3</v>
      </c>
      <c r="G18" s="84">
        <v>8</v>
      </c>
      <c r="H18" s="85"/>
      <c r="I18" s="84"/>
      <c r="J18" s="82"/>
      <c r="K18" s="84"/>
      <c r="L18" s="86">
        <v>1</v>
      </c>
      <c r="M18" s="87">
        <v>3</v>
      </c>
      <c r="N18" s="86"/>
      <c r="O18" s="88"/>
      <c r="P18" s="76">
        <f t="shared" si="0"/>
        <v>10</v>
      </c>
      <c r="Q18" s="77">
        <f t="shared" si="1"/>
        <v>10</v>
      </c>
      <c r="R18" s="89">
        <f t="shared" si="2"/>
        <v>0</v>
      </c>
      <c r="S18" s="78">
        <f t="shared" si="3"/>
        <v>120000</v>
      </c>
      <c r="T18" s="79">
        <f t="shared" si="4"/>
        <v>0</v>
      </c>
    </row>
    <row r="19" spans="1:20" ht="18" x14ac:dyDescent="0.4">
      <c r="A19" s="80">
        <v>15</v>
      </c>
      <c r="B19" s="81" t="s">
        <v>203</v>
      </c>
      <c r="C19" s="68">
        <f t="shared" si="5"/>
        <v>3</v>
      </c>
      <c r="D19" s="83">
        <v>4</v>
      </c>
      <c r="E19" s="70">
        <v>-1</v>
      </c>
      <c r="F19" s="82"/>
      <c r="G19" s="84"/>
      <c r="H19" s="85"/>
      <c r="I19" s="84"/>
      <c r="J19" s="82"/>
      <c r="K19" s="84"/>
      <c r="L19" s="86"/>
      <c r="M19" s="87"/>
      <c r="N19" s="86"/>
      <c r="O19" s="88"/>
      <c r="P19" s="76">
        <f t="shared" si="0"/>
        <v>3</v>
      </c>
      <c r="Q19" s="77">
        <f t="shared" si="1"/>
        <v>3</v>
      </c>
      <c r="R19" s="89">
        <f t="shared" si="2"/>
        <v>0</v>
      </c>
      <c r="S19" s="78">
        <f t="shared" si="3"/>
        <v>36000</v>
      </c>
      <c r="T19" s="79">
        <f t="shared" si="4"/>
        <v>0</v>
      </c>
    </row>
    <row r="20" spans="1:20" ht="18" x14ac:dyDescent="0.4">
      <c r="A20" s="80">
        <v>16</v>
      </c>
      <c r="B20" s="81" t="s">
        <v>204</v>
      </c>
      <c r="C20" s="68">
        <f t="shared" si="5"/>
        <v>7</v>
      </c>
      <c r="D20" s="83">
        <v>8</v>
      </c>
      <c r="E20" s="70">
        <v>-1</v>
      </c>
      <c r="F20" s="82">
        <v>3</v>
      </c>
      <c r="G20" s="83">
        <v>6</v>
      </c>
      <c r="H20" s="85"/>
      <c r="I20" s="84"/>
      <c r="J20" s="82">
        <v>1</v>
      </c>
      <c r="K20" s="84">
        <v>2</v>
      </c>
      <c r="L20" s="86"/>
      <c r="M20" s="87"/>
      <c r="N20" s="86">
        <v>1</v>
      </c>
      <c r="O20" s="88">
        <v>2</v>
      </c>
      <c r="P20" s="76">
        <f t="shared" si="0"/>
        <v>11</v>
      </c>
      <c r="Q20" s="77">
        <f t="shared" si="1"/>
        <v>12</v>
      </c>
      <c r="R20" s="89">
        <f t="shared" si="2"/>
        <v>1</v>
      </c>
      <c r="S20" s="78">
        <f t="shared" si="3"/>
        <v>132000</v>
      </c>
      <c r="T20" s="79">
        <f t="shared" si="4"/>
        <v>48000</v>
      </c>
    </row>
    <row r="21" spans="1:20" ht="18" x14ac:dyDescent="0.4">
      <c r="A21" s="80">
        <v>17</v>
      </c>
      <c r="B21" s="81" t="s">
        <v>205</v>
      </c>
      <c r="C21" s="68">
        <f t="shared" si="5"/>
        <v>3</v>
      </c>
      <c r="D21" s="83">
        <v>3</v>
      </c>
      <c r="E21" s="90">
        <v>0</v>
      </c>
      <c r="F21" s="82">
        <v>3</v>
      </c>
      <c r="G21" s="83">
        <v>6</v>
      </c>
      <c r="H21" s="85"/>
      <c r="I21" s="84"/>
      <c r="J21" s="82"/>
      <c r="K21" s="84"/>
      <c r="L21" s="86"/>
      <c r="M21" s="87"/>
      <c r="N21" s="86"/>
      <c r="O21" s="88"/>
      <c r="P21" s="76">
        <f t="shared" si="0"/>
        <v>6</v>
      </c>
      <c r="Q21" s="77">
        <f t="shared" si="1"/>
        <v>6</v>
      </c>
      <c r="R21" s="89">
        <f t="shared" si="2"/>
        <v>0</v>
      </c>
      <c r="S21" s="78">
        <f t="shared" si="3"/>
        <v>72000</v>
      </c>
      <c r="T21" s="79">
        <f t="shared" si="4"/>
        <v>0</v>
      </c>
    </row>
    <row r="22" spans="1:20" ht="18" x14ac:dyDescent="0.4">
      <c r="A22" s="80">
        <v>18</v>
      </c>
      <c r="B22" s="81" t="s">
        <v>206</v>
      </c>
      <c r="C22" s="68">
        <f t="shared" si="5"/>
        <v>16</v>
      </c>
      <c r="D22" s="83">
        <v>17</v>
      </c>
      <c r="E22" s="70">
        <v>-1</v>
      </c>
      <c r="F22" s="82">
        <v>3</v>
      </c>
      <c r="G22" s="83">
        <v>7</v>
      </c>
      <c r="H22" s="85"/>
      <c r="I22" s="84"/>
      <c r="J22" s="82">
        <v>1</v>
      </c>
      <c r="K22" s="84">
        <v>3</v>
      </c>
      <c r="L22" s="86"/>
      <c r="M22" s="87"/>
      <c r="N22" s="86">
        <v>1</v>
      </c>
      <c r="O22" s="88">
        <v>3</v>
      </c>
      <c r="P22" s="76">
        <f t="shared" si="0"/>
        <v>20</v>
      </c>
      <c r="Q22" s="77">
        <f t="shared" si="1"/>
        <v>21</v>
      </c>
      <c r="R22" s="89">
        <f t="shared" si="2"/>
        <v>1</v>
      </c>
      <c r="S22" s="78">
        <f t="shared" si="3"/>
        <v>240000</v>
      </c>
      <c r="T22" s="79">
        <f t="shared" si="4"/>
        <v>48000</v>
      </c>
    </row>
    <row r="23" spans="1:20" ht="18" x14ac:dyDescent="0.4">
      <c r="A23" s="80">
        <v>19</v>
      </c>
      <c r="B23" s="81" t="s">
        <v>207</v>
      </c>
      <c r="C23" s="68">
        <f t="shared" si="5"/>
        <v>4</v>
      </c>
      <c r="D23" s="83">
        <v>5</v>
      </c>
      <c r="E23" s="70">
        <v>-1</v>
      </c>
      <c r="F23" s="82"/>
      <c r="G23" s="83"/>
      <c r="H23" s="85"/>
      <c r="I23" s="84"/>
      <c r="J23" s="82"/>
      <c r="K23" s="84"/>
      <c r="L23" s="86">
        <v>1</v>
      </c>
      <c r="M23" s="87">
        <v>1</v>
      </c>
      <c r="N23" s="86"/>
      <c r="O23" s="88"/>
      <c r="P23" s="76">
        <f t="shared" si="0"/>
        <v>5</v>
      </c>
      <c r="Q23" s="77">
        <f t="shared" si="1"/>
        <v>5</v>
      </c>
      <c r="R23" s="89">
        <f t="shared" si="2"/>
        <v>0</v>
      </c>
      <c r="S23" s="78">
        <f t="shared" si="3"/>
        <v>60000</v>
      </c>
      <c r="T23" s="79">
        <f t="shared" si="4"/>
        <v>0</v>
      </c>
    </row>
    <row r="24" spans="1:20" ht="18" x14ac:dyDescent="0.4">
      <c r="A24" s="80">
        <v>20</v>
      </c>
      <c r="B24" s="81" t="s">
        <v>208</v>
      </c>
      <c r="C24" s="68">
        <f t="shared" si="5"/>
        <v>3</v>
      </c>
      <c r="D24" s="83">
        <v>4</v>
      </c>
      <c r="E24" s="70">
        <v>-1</v>
      </c>
      <c r="F24" s="82"/>
      <c r="G24" s="84"/>
      <c r="H24" s="85"/>
      <c r="I24" s="84"/>
      <c r="J24" s="82"/>
      <c r="K24" s="84"/>
      <c r="L24" s="86">
        <v>1</v>
      </c>
      <c r="M24" s="87">
        <v>1</v>
      </c>
      <c r="N24" s="86"/>
      <c r="O24" s="88"/>
      <c r="P24" s="76">
        <f t="shared" si="0"/>
        <v>4</v>
      </c>
      <c r="Q24" s="77">
        <f t="shared" si="1"/>
        <v>4</v>
      </c>
      <c r="R24" s="89">
        <f t="shared" si="2"/>
        <v>0</v>
      </c>
      <c r="S24" s="78">
        <f t="shared" si="3"/>
        <v>48000</v>
      </c>
      <c r="T24" s="79">
        <f t="shared" si="4"/>
        <v>0</v>
      </c>
    </row>
    <row r="25" spans="1:20" ht="18" x14ac:dyDescent="0.4">
      <c r="A25" s="80">
        <v>21</v>
      </c>
      <c r="B25" s="81" t="s">
        <v>209</v>
      </c>
      <c r="C25" s="68">
        <f t="shared" si="5"/>
        <v>4</v>
      </c>
      <c r="D25" s="83">
        <v>6</v>
      </c>
      <c r="E25" s="70">
        <v>-2</v>
      </c>
      <c r="F25" s="82"/>
      <c r="G25" s="84"/>
      <c r="H25" s="85"/>
      <c r="I25" s="84"/>
      <c r="J25" s="82">
        <v>1</v>
      </c>
      <c r="K25" s="84">
        <v>3</v>
      </c>
      <c r="L25" s="86"/>
      <c r="M25" s="87"/>
      <c r="N25" s="86"/>
      <c r="O25" s="88"/>
      <c r="P25" s="76">
        <f t="shared" si="0"/>
        <v>4</v>
      </c>
      <c r="Q25" s="77">
        <f t="shared" si="1"/>
        <v>5</v>
      </c>
      <c r="R25" s="89">
        <f t="shared" si="2"/>
        <v>1</v>
      </c>
      <c r="S25" s="78">
        <f t="shared" si="3"/>
        <v>48000</v>
      </c>
      <c r="T25" s="79">
        <f t="shared" si="4"/>
        <v>48000</v>
      </c>
    </row>
    <row r="26" spans="1:20" ht="18" x14ac:dyDescent="0.4">
      <c r="A26" s="80">
        <v>22</v>
      </c>
      <c r="B26" s="81" t="s">
        <v>210</v>
      </c>
      <c r="C26" s="68">
        <f t="shared" si="5"/>
        <v>3</v>
      </c>
      <c r="D26" s="83">
        <v>4</v>
      </c>
      <c r="E26" s="70">
        <v>-1</v>
      </c>
      <c r="F26" s="82"/>
      <c r="G26" s="84"/>
      <c r="H26" s="85"/>
      <c r="I26" s="84"/>
      <c r="J26" s="82"/>
      <c r="K26" s="84"/>
      <c r="L26" s="86">
        <v>1</v>
      </c>
      <c r="M26" s="87">
        <v>1</v>
      </c>
      <c r="N26" s="86"/>
      <c r="O26" s="88"/>
      <c r="P26" s="76">
        <f t="shared" si="0"/>
        <v>4</v>
      </c>
      <c r="Q26" s="77">
        <f t="shared" si="1"/>
        <v>4</v>
      </c>
      <c r="R26" s="89">
        <f t="shared" si="2"/>
        <v>0</v>
      </c>
      <c r="S26" s="78">
        <f t="shared" si="3"/>
        <v>48000</v>
      </c>
      <c r="T26" s="79">
        <f t="shared" si="4"/>
        <v>0</v>
      </c>
    </row>
    <row r="27" spans="1:20" ht="18" x14ac:dyDescent="0.4">
      <c r="A27" s="80">
        <v>23</v>
      </c>
      <c r="B27" s="81" t="s">
        <v>211</v>
      </c>
      <c r="C27" s="68">
        <f t="shared" si="5"/>
        <v>3</v>
      </c>
      <c r="D27" s="83">
        <v>3</v>
      </c>
      <c r="E27" s="90">
        <v>0</v>
      </c>
      <c r="F27" s="82"/>
      <c r="G27" s="84"/>
      <c r="H27" s="85"/>
      <c r="I27" s="84"/>
      <c r="J27" s="82"/>
      <c r="K27" s="84"/>
      <c r="L27" s="86"/>
      <c r="M27" s="87"/>
      <c r="N27" s="86"/>
      <c r="O27" s="88"/>
      <c r="P27" s="76">
        <f t="shared" si="0"/>
        <v>3</v>
      </c>
      <c r="Q27" s="77">
        <f t="shared" si="1"/>
        <v>3</v>
      </c>
      <c r="R27" s="89">
        <f t="shared" si="2"/>
        <v>0</v>
      </c>
      <c r="S27" s="78">
        <f t="shared" si="3"/>
        <v>36000</v>
      </c>
      <c r="T27" s="79">
        <f t="shared" si="4"/>
        <v>0</v>
      </c>
    </row>
    <row r="28" spans="1:20" ht="18.5" thickBot="1" x14ac:dyDescent="0.45">
      <c r="A28" s="91">
        <v>24</v>
      </c>
      <c r="B28" s="92" t="s">
        <v>212</v>
      </c>
      <c r="C28" s="143">
        <f t="shared" si="5"/>
        <v>3</v>
      </c>
      <c r="D28" s="83">
        <v>4</v>
      </c>
      <c r="E28" s="144">
        <v>-1</v>
      </c>
      <c r="F28" s="93"/>
      <c r="G28" s="94"/>
      <c r="H28" s="95"/>
      <c r="I28" s="94"/>
      <c r="J28" s="93"/>
      <c r="K28" s="94"/>
      <c r="L28" s="96"/>
      <c r="M28" s="97"/>
      <c r="N28" s="96"/>
      <c r="O28" s="98"/>
      <c r="P28" s="99">
        <f t="shared" si="0"/>
        <v>3</v>
      </c>
      <c r="Q28" s="100">
        <f t="shared" si="1"/>
        <v>3</v>
      </c>
      <c r="R28" s="101">
        <f t="shared" si="2"/>
        <v>0</v>
      </c>
      <c r="S28" s="146">
        <f t="shared" si="3"/>
        <v>36000</v>
      </c>
      <c r="T28" s="102">
        <f t="shared" si="4"/>
        <v>0</v>
      </c>
    </row>
    <row r="29" spans="1:20" ht="18" thickBot="1" x14ac:dyDescent="0.45">
      <c r="A29" s="170" t="s">
        <v>133</v>
      </c>
      <c r="B29" s="171"/>
      <c r="C29" s="105">
        <f t="shared" ref="C29:Q29" si="6">SUM(C5:C28)</f>
        <v>257</v>
      </c>
      <c r="D29" s="104">
        <f t="shared" si="6"/>
        <v>270</v>
      </c>
      <c r="E29" s="104">
        <f t="shared" si="6"/>
        <v>-13</v>
      </c>
      <c r="F29" s="104">
        <f t="shared" si="6"/>
        <v>27</v>
      </c>
      <c r="G29" s="104">
        <f t="shared" si="6"/>
        <v>63</v>
      </c>
      <c r="H29" s="104">
        <f t="shared" si="6"/>
        <v>12</v>
      </c>
      <c r="I29" s="104">
        <f t="shared" si="6"/>
        <v>36</v>
      </c>
      <c r="J29" s="104">
        <f t="shared" si="6"/>
        <v>10</v>
      </c>
      <c r="K29" s="104">
        <f t="shared" si="6"/>
        <v>28</v>
      </c>
      <c r="L29" s="104">
        <f t="shared" si="6"/>
        <v>8</v>
      </c>
      <c r="M29" s="104">
        <f t="shared" si="6"/>
        <v>15</v>
      </c>
      <c r="N29" s="104">
        <f t="shared" si="6"/>
        <v>18</v>
      </c>
      <c r="O29" s="106">
        <f t="shared" si="6"/>
        <v>50</v>
      </c>
      <c r="P29" s="103">
        <f t="shared" si="6"/>
        <v>322</v>
      </c>
      <c r="Q29" s="103">
        <f t="shared" si="6"/>
        <v>332</v>
      </c>
      <c r="R29" s="103">
        <f>SUM(R5:R28)</f>
        <v>10</v>
      </c>
      <c r="S29" s="107">
        <f>SUM(S5:S28)</f>
        <v>3864000</v>
      </c>
      <c r="T29" s="108">
        <f>SUM(T5:T28)</f>
        <v>480000</v>
      </c>
    </row>
  </sheetData>
  <mergeCells count="15">
    <mergeCell ref="A1:T1"/>
    <mergeCell ref="C2:R2"/>
    <mergeCell ref="S2:T2"/>
    <mergeCell ref="A29:B29"/>
    <mergeCell ref="C3:E3"/>
    <mergeCell ref="F3:G3"/>
    <mergeCell ref="H3:I3"/>
    <mergeCell ref="J3:K3"/>
    <mergeCell ref="L3:M3"/>
    <mergeCell ref="N3:O3"/>
    <mergeCell ref="P3:P4"/>
    <mergeCell ref="Q3:Q4"/>
    <mergeCell ref="R3:R4"/>
    <mergeCell ref="S3:S4"/>
    <mergeCell ref="T3:T4"/>
  </mergeCells>
  <phoneticPr fontId="22" type="noConversion"/>
  <printOptions horizontalCentered="1"/>
  <pageMargins left="0" right="0" top="0.15748031496062992" bottom="0.19685039370078741" header="0.19685039370078741" footer="7.874015748031496E-2"/>
  <pageSetup paperSize="9" scale="71" fitToHeight="2" orientation="portrait" r:id="rId1"/>
  <headerFooter alignWithMargins="0"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" sqref="A2"/>
    </sheetView>
  </sheetViews>
  <sheetFormatPr defaultColWidth="9" defaultRowHeight="17" x14ac:dyDescent="0.4"/>
  <cols>
    <col min="1" max="1" width="17" style="20" customWidth="1"/>
    <col min="2" max="2" width="20.26953125" style="20" bestFit="1" customWidth="1"/>
    <col min="3" max="3" width="17.7265625" style="20" bestFit="1" customWidth="1"/>
    <col min="4" max="4" width="16.453125" style="20" bestFit="1" customWidth="1"/>
    <col min="5" max="5" width="14.08984375" style="20" bestFit="1" customWidth="1"/>
    <col min="6" max="16384" width="9" style="20"/>
  </cols>
  <sheetData>
    <row r="1" spans="1:7" ht="29.5" customHeight="1" thickBot="1" x14ac:dyDescent="0.45">
      <c r="A1" s="185" t="s">
        <v>118</v>
      </c>
      <c r="B1" s="186"/>
      <c r="C1" s="186"/>
      <c r="D1" s="186"/>
      <c r="E1" s="187"/>
    </row>
    <row r="2" spans="1:7" x14ac:dyDescent="0.4">
      <c r="A2" s="48" t="s">
        <v>57</v>
      </c>
      <c r="B2" s="49" t="s">
        <v>56</v>
      </c>
      <c r="C2" s="49" t="s">
        <v>55</v>
      </c>
      <c r="D2" s="49" t="s">
        <v>54</v>
      </c>
      <c r="E2" s="50" t="s">
        <v>53</v>
      </c>
    </row>
    <row r="3" spans="1:7" ht="18.75" customHeight="1" x14ac:dyDescent="0.4">
      <c r="A3" s="26" t="s">
        <v>94</v>
      </c>
      <c r="B3" s="25">
        <v>2</v>
      </c>
      <c r="C3" s="51">
        <f>800000*B3</f>
        <v>1600000</v>
      </c>
      <c r="D3" s="52">
        <f>C3*0.9</f>
        <v>1440000</v>
      </c>
      <c r="E3" s="53">
        <f>C3*0.1</f>
        <v>160000</v>
      </c>
    </row>
    <row r="4" spans="1:7" ht="18.75" customHeight="1" x14ac:dyDescent="0.4">
      <c r="A4" s="26" t="s">
        <v>95</v>
      </c>
      <c r="B4" s="25">
        <v>3</v>
      </c>
      <c r="C4" s="51">
        <f t="shared" ref="C4:C26" si="0">800000*B4</f>
        <v>2400000</v>
      </c>
      <c r="D4" s="52">
        <f t="shared" ref="D4:D26" si="1">C4*0.9</f>
        <v>2160000</v>
      </c>
      <c r="E4" s="53">
        <f t="shared" ref="E4:E26" si="2">C4*0.1</f>
        <v>240000</v>
      </c>
    </row>
    <row r="5" spans="1:7" ht="18.75" customHeight="1" x14ac:dyDescent="0.4">
      <c r="A5" s="26" t="s">
        <v>96</v>
      </c>
      <c r="B5" s="25">
        <v>3</v>
      </c>
      <c r="C5" s="51">
        <f t="shared" si="0"/>
        <v>2400000</v>
      </c>
      <c r="D5" s="52">
        <f t="shared" si="1"/>
        <v>2160000</v>
      </c>
      <c r="E5" s="53">
        <f t="shared" si="2"/>
        <v>240000</v>
      </c>
    </row>
    <row r="6" spans="1:7" ht="18.75" customHeight="1" x14ac:dyDescent="0.4">
      <c r="A6" s="26" t="s">
        <v>97</v>
      </c>
      <c r="B6" s="25">
        <v>2</v>
      </c>
      <c r="C6" s="51">
        <f t="shared" si="0"/>
        <v>1600000</v>
      </c>
      <c r="D6" s="52">
        <f t="shared" si="1"/>
        <v>1440000</v>
      </c>
      <c r="E6" s="53">
        <f t="shared" si="2"/>
        <v>160000</v>
      </c>
    </row>
    <row r="7" spans="1:7" ht="18.75" customHeight="1" x14ac:dyDescent="0.4">
      <c r="A7" s="26" t="s">
        <v>98</v>
      </c>
      <c r="B7" s="25">
        <v>1</v>
      </c>
      <c r="C7" s="51">
        <f t="shared" si="0"/>
        <v>800000</v>
      </c>
      <c r="D7" s="52">
        <f t="shared" si="1"/>
        <v>720000</v>
      </c>
      <c r="E7" s="53">
        <f t="shared" si="2"/>
        <v>80000</v>
      </c>
    </row>
    <row r="8" spans="1:7" ht="18.75" customHeight="1" x14ac:dyDescent="0.4">
      <c r="A8" s="26" t="s">
        <v>99</v>
      </c>
      <c r="B8" s="25">
        <v>1</v>
      </c>
      <c r="C8" s="51">
        <f t="shared" si="0"/>
        <v>800000</v>
      </c>
      <c r="D8" s="52">
        <f t="shared" si="1"/>
        <v>720000</v>
      </c>
      <c r="E8" s="53">
        <f t="shared" si="2"/>
        <v>80000</v>
      </c>
    </row>
    <row r="9" spans="1:7" ht="18.75" customHeight="1" x14ac:dyDescent="0.4">
      <c r="A9" s="26" t="s">
        <v>100</v>
      </c>
      <c r="B9" s="25">
        <v>2</v>
      </c>
      <c r="C9" s="51">
        <f t="shared" si="0"/>
        <v>1600000</v>
      </c>
      <c r="D9" s="52">
        <f t="shared" si="1"/>
        <v>1440000</v>
      </c>
      <c r="E9" s="53">
        <f t="shared" si="2"/>
        <v>160000</v>
      </c>
      <c r="G9" s="28"/>
    </row>
    <row r="10" spans="1:7" ht="18.75" customHeight="1" x14ac:dyDescent="0.4">
      <c r="A10" s="26" t="s">
        <v>101</v>
      </c>
      <c r="B10" s="25">
        <v>1</v>
      </c>
      <c r="C10" s="51">
        <f t="shared" si="0"/>
        <v>800000</v>
      </c>
      <c r="D10" s="52">
        <f t="shared" si="1"/>
        <v>720000</v>
      </c>
      <c r="E10" s="53">
        <f t="shared" si="2"/>
        <v>80000</v>
      </c>
      <c r="G10" s="28"/>
    </row>
    <row r="11" spans="1:7" ht="18.75" customHeight="1" x14ac:dyDescent="0.4">
      <c r="A11" s="26" t="s">
        <v>102</v>
      </c>
      <c r="B11" s="25">
        <v>1</v>
      </c>
      <c r="C11" s="51">
        <f t="shared" si="0"/>
        <v>800000</v>
      </c>
      <c r="D11" s="52">
        <f t="shared" si="1"/>
        <v>720000</v>
      </c>
      <c r="E11" s="53">
        <f t="shared" si="2"/>
        <v>80000</v>
      </c>
    </row>
    <row r="12" spans="1:7" ht="18.75" customHeight="1" x14ac:dyDescent="0.4">
      <c r="A12" s="26" t="s">
        <v>103</v>
      </c>
      <c r="B12" s="25">
        <v>1</v>
      </c>
      <c r="C12" s="51">
        <f t="shared" si="0"/>
        <v>800000</v>
      </c>
      <c r="D12" s="52">
        <f t="shared" si="1"/>
        <v>720000</v>
      </c>
      <c r="E12" s="53">
        <f t="shared" si="2"/>
        <v>80000</v>
      </c>
    </row>
    <row r="13" spans="1:7" ht="18.75" customHeight="1" x14ac:dyDescent="0.4">
      <c r="A13" s="26" t="s">
        <v>104</v>
      </c>
      <c r="B13" s="25">
        <v>1</v>
      </c>
      <c r="C13" s="51">
        <f t="shared" si="0"/>
        <v>800000</v>
      </c>
      <c r="D13" s="52">
        <f t="shared" si="1"/>
        <v>720000</v>
      </c>
      <c r="E13" s="53">
        <f t="shared" si="2"/>
        <v>80000</v>
      </c>
    </row>
    <row r="14" spans="1:7" ht="18.75" customHeight="1" x14ac:dyDescent="0.4">
      <c r="A14" s="26" t="s">
        <v>105</v>
      </c>
      <c r="B14" s="25">
        <v>1</v>
      </c>
      <c r="C14" s="51">
        <f t="shared" si="0"/>
        <v>800000</v>
      </c>
      <c r="D14" s="52">
        <f t="shared" si="1"/>
        <v>720000</v>
      </c>
      <c r="E14" s="53">
        <f t="shared" si="2"/>
        <v>80000</v>
      </c>
    </row>
    <row r="15" spans="1:7" ht="18.75" customHeight="1" x14ac:dyDescent="0.4">
      <c r="A15" s="26" t="s">
        <v>106</v>
      </c>
      <c r="B15" s="25">
        <v>1</v>
      </c>
      <c r="C15" s="51">
        <f t="shared" si="0"/>
        <v>800000</v>
      </c>
      <c r="D15" s="52">
        <f t="shared" si="1"/>
        <v>720000</v>
      </c>
      <c r="E15" s="53">
        <f t="shared" si="2"/>
        <v>80000</v>
      </c>
    </row>
    <row r="16" spans="1:7" ht="18.75" customHeight="1" x14ac:dyDescent="0.4">
      <c r="A16" s="26" t="s">
        <v>107</v>
      </c>
      <c r="B16" s="25">
        <v>1</v>
      </c>
      <c r="C16" s="51">
        <f t="shared" si="0"/>
        <v>800000</v>
      </c>
      <c r="D16" s="52">
        <f t="shared" si="1"/>
        <v>720000</v>
      </c>
      <c r="E16" s="53">
        <f t="shared" si="2"/>
        <v>80000</v>
      </c>
    </row>
    <row r="17" spans="1:5" ht="18.75" customHeight="1" x14ac:dyDescent="0.4">
      <c r="A17" s="26" t="s">
        <v>108</v>
      </c>
      <c r="B17" s="25">
        <v>1</v>
      </c>
      <c r="C17" s="51">
        <f t="shared" si="0"/>
        <v>800000</v>
      </c>
      <c r="D17" s="52">
        <f t="shared" si="1"/>
        <v>720000</v>
      </c>
      <c r="E17" s="53">
        <f t="shared" si="2"/>
        <v>80000</v>
      </c>
    </row>
    <row r="18" spans="1:5" ht="18.75" customHeight="1" x14ac:dyDescent="0.4">
      <c r="A18" s="26" t="s">
        <v>109</v>
      </c>
      <c r="B18" s="25">
        <v>1</v>
      </c>
      <c r="C18" s="51">
        <f t="shared" si="0"/>
        <v>800000</v>
      </c>
      <c r="D18" s="52">
        <f t="shared" si="1"/>
        <v>720000</v>
      </c>
      <c r="E18" s="53">
        <f t="shared" si="2"/>
        <v>80000</v>
      </c>
    </row>
    <row r="19" spans="1:5" ht="18.75" customHeight="1" x14ac:dyDescent="0.4">
      <c r="A19" s="26" t="s">
        <v>110</v>
      </c>
      <c r="B19" s="25">
        <v>1</v>
      </c>
      <c r="C19" s="51">
        <f t="shared" si="0"/>
        <v>800000</v>
      </c>
      <c r="D19" s="52">
        <f t="shared" si="1"/>
        <v>720000</v>
      </c>
      <c r="E19" s="53">
        <f t="shared" si="2"/>
        <v>80000</v>
      </c>
    </row>
    <row r="20" spans="1:5" ht="18.75" customHeight="1" x14ac:dyDescent="0.4">
      <c r="A20" s="26" t="s">
        <v>111</v>
      </c>
      <c r="B20" s="25">
        <v>2</v>
      </c>
      <c r="C20" s="51">
        <f t="shared" si="0"/>
        <v>1600000</v>
      </c>
      <c r="D20" s="52">
        <f t="shared" si="1"/>
        <v>1440000</v>
      </c>
      <c r="E20" s="53">
        <f t="shared" si="2"/>
        <v>160000</v>
      </c>
    </row>
    <row r="21" spans="1:5" ht="18.75" customHeight="1" x14ac:dyDescent="0.4">
      <c r="A21" s="26" t="s">
        <v>112</v>
      </c>
      <c r="B21" s="25">
        <v>1</v>
      </c>
      <c r="C21" s="51">
        <f t="shared" si="0"/>
        <v>800000</v>
      </c>
      <c r="D21" s="52">
        <f t="shared" si="1"/>
        <v>720000</v>
      </c>
      <c r="E21" s="53">
        <f t="shared" si="2"/>
        <v>80000</v>
      </c>
    </row>
    <row r="22" spans="1:5" ht="18.75" customHeight="1" x14ac:dyDescent="0.4">
      <c r="A22" s="26" t="s">
        <v>113</v>
      </c>
      <c r="B22" s="25">
        <v>1</v>
      </c>
      <c r="C22" s="51">
        <f t="shared" si="0"/>
        <v>800000</v>
      </c>
      <c r="D22" s="52">
        <f t="shared" si="1"/>
        <v>720000</v>
      </c>
      <c r="E22" s="53">
        <f t="shared" si="2"/>
        <v>80000</v>
      </c>
    </row>
    <row r="23" spans="1:5" ht="18.75" customHeight="1" x14ac:dyDescent="0.4">
      <c r="A23" s="26" t="s">
        <v>114</v>
      </c>
      <c r="B23" s="25">
        <v>1</v>
      </c>
      <c r="C23" s="51">
        <f t="shared" si="0"/>
        <v>800000</v>
      </c>
      <c r="D23" s="52">
        <f t="shared" si="1"/>
        <v>720000</v>
      </c>
      <c r="E23" s="53">
        <f t="shared" si="2"/>
        <v>80000</v>
      </c>
    </row>
    <row r="24" spans="1:5" ht="18.75" customHeight="1" x14ac:dyDescent="0.4">
      <c r="A24" s="26" t="s">
        <v>115</v>
      </c>
      <c r="B24" s="25">
        <v>1</v>
      </c>
      <c r="C24" s="51">
        <f t="shared" si="0"/>
        <v>800000</v>
      </c>
      <c r="D24" s="52">
        <f t="shared" si="1"/>
        <v>720000</v>
      </c>
      <c r="E24" s="53">
        <f t="shared" si="2"/>
        <v>80000</v>
      </c>
    </row>
    <row r="25" spans="1:5" ht="18.75" customHeight="1" x14ac:dyDescent="0.4">
      <c r="A25" s="26" t="s">
        <v>116</v>
      </c>
      <c r="B25" s="25">
        <v>1</v>
      </c>
      <c r="C25" s="51">
        <f t="shared" si="0"/>
        <v>800000</v>
      </c>
      <c r="D25" s="52">
        <f t="shared" si="1"/>
        <v>720000</v>
      </c>
      <c r="E25" s="53">
        <f t="shared" si="2"/>
        <v>80000</v>
      </c>
    </row>
    <row r="26" spans="1:5" ht="18.75" customHeight="1" x14ac:dyDescent="0.4">
      <c r="A26" s="26" t="s">
        <v>117</v>
      </c>
      <c r="B26" s="27">
        <v>1</v>
      </c>
      <c r="C26" s="51">
        <f t="shared" si="0"/>
        <v>800000</v>
      </c>
      <c r="D26" s="52">
        <f t="shared" si="1"/>
        <v>720000</v>
      </c>
      <c r="E26" s="53">
        <f t="shared" si="2"/>
        <v>80000</v>
      </c>
    </row>
    <row r="27" spans="1:5" ht="17.5" thickBot="1" x14ac:dyDescent="0.45">
      <c r="A27" s="24" t="s">
        <v>52</v>
      </c>
      <c r="B27" s="23">
        <f>SUM(B3:B26)</f>
        <v>32</v>
      </c>
      <c r="C27" s="22">
        <f>SUM(C3:C26)</f>
        <v>25600000</v>
      </c>
      <c r="D27" s="21">
        <f>SUM(D3:D26)</f>
        <v>23040000</v>
      </c>
      <c r="E27" s="21">
        <f>SUM(E3:E26)</f>
        <v>2560000</v>
      </c>
    </row>
  </sheetData>
  <mergeCells count="1">
    <mergeCell ref="A1:E1"/>
  </mergeCells>
  <phoneticPr fontId="2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2" sqref="C2"/>
    </sheetView>
  </sheetViews>
  <sheetFormatPr defaultRowHeight="17" x14ac:dyDescent="0.4"/>
  <cols>
    <col min="1" max="1" width="20.36328125" customWidth="1"/>
    <col min="2" max="2" width="20.6328125" customWidth="1"/>
    <col min="3" max="3" width="23.453125" style="35" customWidth="1"/>
  </cols>
  <sheetData>
    <row r="1" spans="1:3" x14ac:dyDescent="0.4">
      <c r="A1" s="36"/>
      <c r="B1" s="36" t="s">
        <v>60</v>
      </c>
      <c r="C1" s="37" t="s">
        <v>61</v>
      </c>
    </row>
    <row r="2" spans="1:3" x14ac:dyDescent="0.4">
      <c r="A2" s="31" t="s">
        <v>214</v>
      </c>
      <c r="B2" s="32">
        <v>4</v>
      </c>
      <c r="C2" s="38">
        <f>B2*700000</f>
        <v>2800000</v>
      </c>
    </row>
    <row r="3" spans="1:3" x14ac:dyDescent="0.4">
      <c r="A3" s="31" t="s">
        <v>215</v>
      </c>
      <c r="B3" s="32">
        <v>4</v>
      </c>
      <c r="C3" s="38">
        <f t="shared" ref="C3:C11" si="0">B3*700000</f>
        <v>2800000</v>
      </c>
    </row>
    <row r="4" spans="1:3" x14ac:dyDescent="0.4">
      <c r="A4" s="31" t="s">
        <v>216</v>
      </c>
      <c r="B4" s="32">
        <v>4</v>
      </c>
      <c r="C4" s="38">
        <f t="shared" si="0"/>
        <v>2800000</v>
      </c>
    </row>
    <row r="5" spans="1:3" x14ac:dyDescent="0.4">
      <c r="A5" s="31" t="s">
        <v>217</v>
      </c>
      <c r="B5" s="32">
        <v>4</v>
      </c>
      <c r="C5" s="38">
        <f t="shared" si="0"/>
        <v>2800000</v>
      </c>
    </row>
    <row r="6" spans="1:3" x14ac:dyDescent="0.4">
      <c r="A6" s="31" t="s">
        <v>218</v>
      </c>
      <c r="B6" s="32">
        <v>5</v>
      </c>
      <c r="C6" s="38">
        <f t="shared" si="0"/>
        <v>3500000</v>
      </c>
    </row>
    <row r="7" spans="1:3" x14ac:dyDescent="0.4">
      <c r="A7" s="31" t="s">
        <v>219</v>
      </c>
      <c r="B7" s="32">
        <v>4</v>
      </c>
      <c r="C7" s="38">
        <f t="shared" si="0"/>
        <v>2800000</v>
      </c>
    </row>
    <row r="8" spans="1:3" x14ac:dyDescent="0.4">
      <c r="A8" s="31" t="s">
        <v>220</v>
      </c>
      <c r="B8" s="32">
        <v>4</v>
      </c>
      <c r="C8" s="38">
        <f t="shared" si="0"/>
        <v>2800000</v>
      </c>
    </row>
    <row r="9" spans="1:3" x14ac:dyDescent="0.4">
      <c r="A9" s="31" t="s">
        <v>221</v>
      </c>
      <c r="B9" s="32">
        <v>4</v>
      </c>
      <c r="C9" s="38">
        <f t="shared" si="0"/>
        <v>2800000</v>
      </c>
    </row>
    <row r="10" spans="1:3" x14ac:dyDescent="0.4">
      <c r="A10" s="31" t="s">
        <v>222</v>
      </c>
      <c r="B10" s="32">
        <v>4</v>
      </c>
      <c r="C10" s="38">
        <f t="shared" si="0"/>
        <v>2800000</v>
      </c>
    </row>
    <row r="11" spans="1:3" x14ac:dyDescent="0.4">
      <c r="A11" s="31" t="s">
        <v>223</v>
      </c>
      <c r="B11" s="32">
        <v>4</v>
      </c>
      <c r="C11" s="38">
        <f t="shared" si="0"/>
        <v>2800000</v>
      </c>
    </row>
    <row r="12" spans="1:3" x14ac:dyDescent="0.4">
      <c r="A12" s="33" t="s">
        <v>59</v>
      </c>
      <c r="B12" s="34">
        <f>SUM(B2:B11)</f>
        <v>41</v>
      </c>
      <c r="C12" s="34">
        <f>SUM(C2:C11)</f>
        <v>28700000</v>
      </c>
    </row>
    <row r="16" spans="1:3" x14ac:dyDescent="0.4">
      <c r="A16" t="s">
        <v>224</v>
      </c>
    </row>
  </sheetData>
  <phoneticPr fontId="2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7"/>
  <sheetViews>
    <sheetView zoomScale="70" zoomScaleNormal="70" workbookViewId="0">
      <selection activeCell="X14" sqref="X14"/>
    </sheetView>
  </sheetViews>
  <sheetFormatPr defaultRowHeight="17" x14ac:dyDescent="0.4"/>
  <cols>
    <col min="1" max="2" width="14.6328125" customWidth="1"/>
    <col min="3" max="5" width="12" customWidth="1"/>
    <col min="6" max="11" width="11.7265625" customWidth="1"/>
    <col min="12" max="12" width="12" customWidth="1"/>
    <col min="13" max="17" width="13.7265625" customWidth="1"/>
    <col min="18" max="18" width="12.08984375" customWidth="1"/>
    <col min="19" max="19" width="16.90625" customWidth="1"/>
    <col min="20" max="20" width="12" customWidth="1"/>
    <col min="21" max="21" width="16.90625" customWidth="1"/>
  </cols>
  <sheetData>
    <row r="1" spans="1:21" ht="25" x14ac:dyDescent="0.55000000000000004">
      <c r="A1" s="197" t="s">
        <v>134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8"/>
    </row>
    <row r="2" spans="1:21" ht="21.5" x14ac:dyDescent="0.4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10" t="s">
        <v>135</v>
      </c>
    </row>
    <row r="3" spans="1:21" ht="19.5" x14ac:dyDescent="0.45">
      <c r="A3" s="199" t="s">
        <v>136</v>
      </c>
      <c r="B3" s="200" t="s">
        <v>137</v>
      </c>
      <c r="C3" s="201" t="s">
        <v>138</v>
      </c>
      <c r="D3" s="201"/>
      <c r="E3" s="201"/>
      <c r="F3" s="202" t="s">
        <v>139</v>
      </c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3" t="s">
        <v>140</v>
      </c>
    </row>
    <row r="4" spans="1:21" x14ac:dyDescent="0.4">
      <c r="A4" s="199"/>
      <c r="B4" s="200"/>
      <c r="C4" s="204" t="s">
        <v>141</v>
      </c>
      <c r="D4" s="204" t="s">
        <v>142</v>
      </c>
      <c r="E4" s="205" t="s">
        <v>143</v>
      </c>
      <c r="F4" s="189" t="s">
        <v>144</v>
      </c>
      <c r="G4" s="189"/>
      <c r="H4" s="189"/>
      <c r="I4" s="189"/>
      <c r="J4" s="189"/>
      <c r="K4" s="189"/>
      <c r="L4" s="189"/>
      <c r="M4" s="188" t="s">
        <v>145</v>
      </c>
      <c r="N4" s="189"/>
      <c r="O4" s="189"/>
      <c r="P4" s="189"/>
      <c r="Q4" s="189"/>
      <c r="R4" s="190"/>
      <c r="S4" s="191" t="s">
        <v>146</v>
      </c>
      <c r="T4" s="193" t="s">
        <v>147</v>
      </c>
      <c r="U4" s="203"/>
    </row>
    <row r="5" spans="1:21" ht="85" x14ac:dyDescent="0.4">
      <c r="A5" s="199"/>
      <c r="B5" s="200"/>
      <c r="C5" s="204"/>
      <c r="D5" s="204"/>
      <c r="E5" s="205"/>
      <c r="F5" s="111" t="s">
        <v>148</v>
      </c>
      <c r="G5" s="112" t="s">
        <v>149</v>
      </c>
      <c r="H5" s="112" t="s">
        <v>150</v>
      </c>
      <c r="I5" s="112" t="s">
        <v>151</v>
      </c>
      <c r="J5" s="112" t="s">
        <v>152</v>
      </c>
      <c r="K5" s="112" t="s">
        <v>153</v>
      </c>
      <c r="L5" s="113" t="s">
        <v>154</v>
      </c>
      <c r="M5" s="114" t="s">
        <v>155</v>
      </c>
      <c r="N5" s="114" t="s">
        <v>156</v>
      </c>
      <c r="O5" s="114" t="s">
        <v>157</v>
      </c>
      <c r="P5" s="114" t="s">
        <v>158</v>
      </c>
      <c r="Q5" s="114" t="s">
        <v>159</v>
      </c>
      <c r="R5" s="115" t="s">
        <v>160</v>
      </c>
      <c r="S5" s="192"/>
      <c r="T5" s="194"/>
      <c r="U5" s="203"/>
    </row>
    <row r="6" spans="1:21" ht="270" x14ac:dyDescent="0.4">
      <c r="A6" s="116" t="s">
        <v>177</v>
      </c>
      <c r="B6" s="117" t="s">
        <v>161</v>
      </c>
      <c r="C6" s="118">
        <v>5404743</v>
      </c>
      <c r="D6" s="119">
        <v>0</v>
      </c>
      <c r="E6" s="120">
        <f>C6-D6</f>
        <v>5404743</v>
      </c>
      <c r="F6" s="121"/>
      <c r="G6" s="122"/>
      <c r="H6" s="122"/>
      <c r="I6" s="122"/>
      <c r="J6" s="122"/>
      <c r="K6" s="122"/>
      <c r="L6" s="123">
        <f>SUM(F6:K6)</f>
        <v>0</v>
      </c>
      <c r="M6" s="124"/>
      <c r="N6" s="124">
        <v>175</v>
      </c>
      <c r="O6" s="124">
        <v>80</v>
      </c>
      <c r="P6" s="124">
        <v>99</v>
      </c>
      <c r="Q6" s="125">
        <v>20</v>
      </c>
      <c r="R6" s="125">
        <f>SUM(M6:Q6)</f>
        <v>374</v>
      </c>
      <c r="S6" s="126" t="s">
        <v>162</v>
      </c>
      <c r="T6" s="127">
        <f t="shared" ref="T6:T16" si="0">L6+R6</f>
        <v>374</v>
      </c>
      <c r="U6" s="128"/>
    </row>
    <row r="7" spans="1:21" ht="34" x14ac:dyDescent="0.4">
      <c r="A7" s="116" t="s">
        <v>178</v>
      </c>
      <c r="B7" s="117" t="s">
        <v>163</v>
      </c>
      <c r="C7" s="118">
        <v>1131466</v>
      </c>
      <c r="D7" s="118">
        <v>384401</v>
      </c>
      <c r="E7" s="120">
        <f t="shared" ref="E7:E16" si="1">C7-D7</f>
        <v>747065</v>
      </c>
      <c r="F7" s="121"/>
      <c r="G7" s="122"/>
      <c r="H7" s="122"/>
      <c r="I7" s="122"/>
      <c r="J7" s="122">
        <v>220</v>
      </c>
      <c r="K7" s="122"/>
      <c r="L7" s="123">
        <f t="shared" ref="L7:L16" si="2">SUM(F7:K7)</f>
        <v>220</v>
      </c>
      <c r="M7" s="124"/>
      <c r="N7" s="124"/>
      <c r="O7" s="124"/>
      <c r="P7" s="124"/>
      <c r="Q7" s="124"/>
      <c r="R7" s="125">
        <f t="shared" ref="R7:R16" si="3">SUM(M7:P7)</f>
        <v>0</v>
      </c>
      <c r="S7" s="116"/>
      <c r="T7" s="127">
        <f t="shared" si="0"/>
        <v>220</v>
      </c>
      <c r="U7" s="128"/>
    </row>
    <row r="8" spans="1:21" ht="51" x14ac:dyDescent="0.4">
      <c r="A8" s="116" t="s">
        <v>179</v>
      </c>
      <c r="B8" s="117" t="s">
        <v>164</v>
      </c>
      <c r="C8" s="118">
        <v>378949</v>
      </c>
      <c r="D8" s="119">
        <v>0</v>
      </c>
      <c r="E8" s="120">
        <f t="shared" si="1"/>
        <v>378949</v>
      </c>
      <c r="F8" s="121">
        <v>200</v>
      </c>
      <c r="G8" s="122"/>
      <c r="H8" s="122"/>
      <c r="I8" s="122"/>
      <c r="J8" s="122"/>
      <c r="K8" s="122"/>
      <c r="L8" s="123">
        <f t="shared" si="2"/>
        <v>200</v>
      </c>
      <c r="M8" s="124"/>
      <c r="N8" s="124"/>
      <c r="O8" s="124"/>
      <c r="P8" s="124"/>
      <c r="Q8" s="124"/>
      <c r="R8" s="125">
        <f t="shared" si="3"/>
        <v>0</v>
      </c>
      <c r="S8" s="116"/>
      <c r="T8" s="127">
        <f t="shared" si="0"/>
        <v>200</v>
      </c>
      <c r="U8" s="128"/>
    </row>
    <row r="9" spans="1:21" ht="34" x14ac:dyDescent="0.4">
      <c r="A9" s="116" t="s">
        <v>180</v>
      </c>
      <c r="B9" s="117" t="s">
        <v>165</v>
      </c>
      <c r="C9" s="118">
        <v>779251</v>
      </c>
      <c r="D9" s="119">
        <v>0</v>
      </c>
      <c r="E9" s="120">
        <f t="shared" si="1"/>
        <v>779251</v>
      </c>
      <c r="F9" s="121">
        <v>300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3">
        <f t="shared" si="2"/>
        <v>300</v>
      </c>
      <c r="M9" s="124">
        <v>0</v>
      </c>
      <c r="N9" s="124">
        <v>0</v>
      </c>
      <c r="O9" s="124">
        <v>0</v>
      </c>
      <c r="P9" s="124">
        <v>0</v>
      </c>
      <c r="Q9" s="124"/>
      <c r="R9" s="125">
        <f t="shared" si="3"/>
        <v>0</v>
      </c>
      <c r="S9" s="116"/>
      <c r="T9" s="127">
        <f t="shared" si="0"/>
        <v>300</v>
      </c>
      <c r="U9" s="128"/>
    </row>
    <row r="10" spans="1:21" ht="34" x14ac:dyDescent="0.4">
      <c r="A10" s="116" t="s">
        <v>181</v>
      </c>
      <c r="B10" s="117" t="s">
        <v>166</v>
      </c>
      <c r="C10" s="118">
        <v>1650974</v>
      </c>
      <c r="D10" s="119">
        <v>0</v>
      </c>
      <c r="E10" s="120">
        <f t="shared" si="1"/>
        <v>1650974</v>
      </c>
      <c r="F10" s="121"/>
      <c r="G10" s="122"/>
      <c r="H10" s="122"/>
      <c r="I10" s="122"/>
      <c r="J10" s="122">
        <v>250</v>
      </c>
      <c r="K10" s="122"/>
      <c r="L10" s="123">
        <f t="shared" si="2"/>
        <v>250</v>
      </c>
      <c r="M10" s="124"/>
      <c r="N10" s="124"/>
      <c r="O10" s="124"/>
      <c r="P10" s="124"/>
      <c r="Q10" s="124"/>
      <c r="R10" s="125">
        <f t="shared" si="3"/>
        <v>0</v>
      </c>
      <c r="S10" s="116"/>
      <c r="T10" s="127">
        <f t="shared" si="0"/>
        <v>250</v>
      </c>
      <c r="U10" s="128"/>
    </row>
    <row r="11" spans="1:21" ht="51" x14ac:dyDescent="0.4">
      <c r="A11" s="116" t="s">
        <v>182</v>
      </c>
      <c r="B11" s="117" t="s">
        <v>167</v>
      </c>
      <c r="C11" s="118">
        <v>257910</v>
      </c>
      <c r="D11" s="119">
        <v>0</v>
      </c>
      <c r="E11" s="120">
        <f t="shared" si="1"/>
        <v>257910</v>
      </c>
      <c r="F11" s="121">
        <v>0</v>
      </c>
      <c r="G11" s="122">
        <v>100</v>
      </c>
      <c r="H11" s="122">
        <v>0</v>
      </c>
      <c r="I11" s="122">
        <v>0</v>
      </c>
      <c r="J11" s="122">
        <v>0</v>
      </c>
      <c r="K11" s="122">
        <v>0</v>
      </c>
      <c r="L11" s="123">
        <f t="shared" si="2"/>
        <v>100</v>
      </c>
      <c r="M11" s="124">
        <v>0</v>
      </c>
      <c r="N11" s="124">
        <v>50</v>
      </c>
      <c r="O11" s="124">
        <v>0</v>
      </c>
      <c r="P11" s="124">
        <v>0</v>
      </c>
      <c r="Q11" s="124"/>
      <c r="R11" s="125">
        <f t="shared" si="3"/>
        <v>50</v>
      </c>
      <c r="S11" s="129" t="s">
        <v>168</v>
      </c>
      <c r="T11" s="127">
        <f t="shared" si="0"/>
        <v>150</v>
      </c>
      <c r="U11" s="128"/>
    </row>
    <row r="12" spans="1:21" ht="34" x14ac:dyDescent="0.4">
      <c r="A12" s="116" t="s">
        <v>183</v>
      </c>
      <c r="B12" s="117" t="s">
        <v>169</v>
      </c>
      <c r="C12" s="118">
        <v>177520</v>
      </c>
      <c r="D12" s="118">
        <v>57665</v>
      </c>
      <c r="E12" s="120">
        <f t="shared" si="1"/>
        <v>119855</v>
      </c>
      <c r="F12" s="121">
        <v>0</v>
      </c>
      <c r="G12" s="122">
        <v>10</v>
      </c>
      <c r="H12" s="122">
        <v>0</v>
      </c>
      <c r="I12" s="122">
        <v>0</v>
      </c>
      <c r="J12" s="122">
        <v>0</v>
      </c>
      <c r="K12" s="122">
        <v>0</v>
      </c>
      <c r="L12" s="123">
        <f t="shared" si="2"/>
        <v>10</v>
      </c>
      <c r="M12" s="124">
        <v>0</v>
      </c>
      <c r="N12" s="124">
        <v>0</v>
      </c>
      <c r="O12" s="124">
        <v>0</v>
      </c>
      <c r="P12" s="124">
        <v>0</v>
      </c>
      <c r="Q12" s="124"/>
      <c r="R12" s="125">
        <f t="shared" si="3"/>
        <v>0</v>
      </c>
      <c r="S12" s="116"/>
      <c r="T12" s="127">
        <f t="shared" si="0"/>
        <v>10</v>
      </c>
      <c r="U12" s="128"/>
    </row>
    <row r="13" spans="1:21" ht="68" x14ac:dyDescent="0.4">
      <c r="A13" s="129" t="s">
        <v>184</v>
      </c>
      <c r="B13" s="117" t="s">
        <v>170</v>
      </c>
      <c r="C13" s="118">
        <v>570880</v>
      </c>
      <c r="D13" s="119">
        <v>0</v>
      </c>
      <c r="E13" s="120">
        <f t="shared" si="1"/>
        <v>570880</v>
      </c>
      <c r="F13" s="121">
        <v>0</v>
      </c>
      <c r="G13" s="122">
        <v>0</v>
      </c>
      <c r="H13" s="122">
        <v>30</v>
      </c>
      <c r="I13" s="122">
        <v>0</v>
      </c>
      <c r="J13" s="122">
        <v>0</v>
      </c>
      <c r="K13" s="122">
        <v>0</v>
      </c>
      <c r="L13" s="123">
        <f>SUM(F13:K13)</f>
        <v>30</v>
      </c>
      <c r="M13" s="124"/>
      <c r="N13" s="124">
        <v>70</v>
      </c>
      <c r="O13" s="124"/>
      <c r="P13" s="124"/>
      <c r="Q13" s="124"/>
      <c r="R13" s="125">
        <f t="shared" si="3"/>
        <v>70</v>
      </c>
      <c r="S13" s="116" t="s">
        <v>171</v>
      </c>
      <c r="T13" s="127">
        <f t="shared" si="0"/>
        <v>100</v>
      </c>
      <c r="U13" s="128"/>
    </row>
    <row r="14" spans="1:21" ht="34" x14ac:dyDescent="0.4">
      <c r="A14" s="116" t="s">
        <v>185</v>
      </c>
      <c r="B14" s="117" t="s">
        <v>172</v>
      </c>
      <c r="C14" s="118">
        <v>221595</v>
      </c>
      <c r="D14" s="119">
        <v>0</v>
      </c>
      <c r="E14" s="120">
        <f t="shared" si="1"/>
        <v>221595</v>
      </c>
      <c r="F14" s="121"/>
      <c r="G14" s="122"/>
      <c r="H14" s="122">
        <v>20</v>
      </c>
      <c r="I14" s="122"/>
      <c r="J14" s="122">
        <v>30</v>
      </c>
      <c r="K14" s="122"/>
      <c r="L14" s="123">
        <f t="shared" si="2"/>
        <v>50</v>
      </c>
      <c r="M14" s="124"/>
      <c r="N14" s="124"/>
      <c r="O14" s="124"/>
      <c r="P14" s="124"/>
      <c r="Q14" s="130"/>
      <c r="R14" s="125">
        <f t="shared" si="3"/>
        <v>0</v>
      </c>
      <c r="S14" s="116"/>
      <c r="T14" s="127">
        <f t="shared" si="0"/>
        <v>50</v>
      </c>
      <c r="U14" s="128"/>
    </row>
    <row r="15" spans="1:21" x14ac:dyDescent="0.4">
      <c r="A15" s="116" t="s">
        <v>186</v>
      </c>
      <c r="B15" s="117" t="s">
        <v>173</v>
      </c>
      <c r="C15" s="118">
        <v>496922</v>
      </c>
      <c r="D15" s="119">
        <v>0</v>
      </c>
      <c r="E15" s="120">
        <f t="shared" si="1"/>
        <v>496922</v>
      </c>
      <c r="F15" s="121">
        <v>0</v>
      </c>
      <c r="G15" s="122">
        <v>150</v>
      </c>
      <c r="H15" s="122">
        <v>0</v>
      </c>
      <c r="I15" s="122">
        <v>0</v>
      </c>
      <c r="J15" s="122">
        <v>50</v>
      </c>
      <c r="K15" s="122">
        <v>0</v>
      </c>
      <c r="L15" s="123">
        <f t="shared" si="2"/>
        <v>200</v>
      </c>
      <c r="M15" s="124">
        <v>0</v>
      </c>
      <c r="N15" s="124">
        <v>0</v>
      </c>
      <c r="O15" s="124">
        <v>0</v>
      </c>
      <c r="P15" s="131">
        <v>0</v>
      </c>
      <c r="Q15" s="132"/>
      <c r="R15" s="133">
        <f t="shared" si="3"/>
        <v>0</v>
      </c>
      <c r="S15" s="116"/>
      <c r="T15" s="127">
        <f t="shared" si="0"/>
        <v>200</v>
      </c>
      <c r="U15" s="128"/>
    </row>
    <row r="16" spans="1:21" ht="34" x14ac:dyDescent="0.4">
      <c r="A16" s="129" t="s">
        <v>187</v>
      </c>
      <c r="B16" s="117" t="s">
        <v>174</v>
      </c>
      <c r="C16" s="118">
        <v>292758</v>
      </c>
      <c r="D16" s="119">
        <v>0</v>
      </c>
      <c r="E16" s="120">
        <f t="shared" si="1"/>
        <v>292758</v>
      </c>
      <c r="F16" s="134"/>
      <c r="G16" s="135">
        <v>30</v>
      </c>
      <c r="H16" s="135"/>
      <c r="I16" s="135"/>
      <c r="J16" s="135">
        <v>20</v>
      </c>
      <c r="K16" s="135"/>
      <c r="L16" s="136">
        <f t="shared" si="2"/>
        <v>50</v>
      </c>
      <c r="M16" s="137"/>
      <c r="N16" s="137">
        <v>30</v>
      </c>
      <c r="O16" s="138"/>
      <c r="P16" s="139"/>
      <c r="Q16" s="140"/>
      <c r="R16" s="133">
        <f t="shared" si="3"/>
        <v>30</v>
      </c>
      <c r="S16" s="116" t="s">
        <v>175</v>
      </c>
      <c r="T16" s="127">
        <f t="shared" si="0"/>
        <v>80</v>
      </c>
      <c r="U16" s="128"/>
    </row>
    <row r="17" spans="1:21" x14ac:dyDescent="0.4">
      <c r="A17" s="195" t="s">
        <v>176</v>
      </c>
      <c r="B17" s="196"/>
      <c r="C17" s="141">
        <f>SUM(C6:C16)</f>
        <v>11362968</v>
      </c>
      <c r="D17" s="141">
        <f t="shared" ref="D17:T17" si="4">SUM(D6:D16)</f>
        <v>442066</v>
      </c>
      <c r="E17" s="141">
        <f t="shared" si="4"/>
        <v>10920902</v>
      </c>
      <c r="F17" s="141">
        <f t="shared" si="4"/>
        <v>500</v>
      </c>
      <c r="G17" s="141">
        <f t="shared" si="4"/>
        <v>290</v>
      </c>
      <c r="H17" s="141">
        <f t="shared" si="4"/>
        <v>50</v>
      </c>
      <c r="I17" s="141">
        <f t="shared" si="4"/>
        <v>0</v>
      </c>
      <c r="J17" s="141">
        <f t="shared" si="4"/>
        <v>570</v>
      </c>
      <c r="K17" s="141">
        <f t="shared" si="4"/>
        <v>0</v>
      </c>
      <c r="L17" s="141">
        <f t="shared" si="4"/>
        <v>1410</v>
      </c>
      <c r="M17" s="141">
        <f t="shared" si="4"/>
        <v>0</v>
      </c>
      <c r="N17" s="141">
        <f t="shared" si="4"/>
        <v>325</v>
      </c>
      <c r="O17" s="141">
        <f t="shared" si="4"/>
        <v>80</v>
      </c>
      <c r="P17" s="141">
        <f t="shared" si="4"/>
        <v>99</v>
      </c>
      <c r="Q17" s="141">
        <f t="shared" si="4"/>
        <v>20</v>
      </c>
      <c r="R17" s="141">
        <f t="shared" si="4"/>
        <v>524</v>
      </c>
      <c r="S17" s="141"/>
      <c r="T17" s="141">
        <f t="shared" si="4"/>
        <v>1934</v>
      </c>
      <c r="U17" s="142"/>
    </row>
  </sheetData>
  <mergeCells count="14">
    <mergeCell ref="M4:R4"/>
    <mergeCell ref="S4:S5"/>
    <mergeCell ref="T4:T5"/>
    <mergeCell ref="A17:B17"/>
    <mergeCell ref="A1:U1"/>
    <mergeCell ref="A3:A5"/>
    <mergeCell ref="B3:B5"/>
    <mergeCell ref="C3:E3"/>
    <mergeCell ref="F3:T3"/>
    <mergeCell ref="U3:U5"/>
    <mergeCell ref="C4:C5"/>
    <mergeCell ref="D4:D5"/>
    <mergeCell ref="E4:E5"/>
    <mergeCell ref="F4:L4"/>
  </mergeCells>
  <phoneticPr fontId="2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2</vt:i4>
      </vt:variant>
    </vt:vector>
  </HeadingPairs>
  <TitlesOfParts>
    <vt:vector size="8" baseType="lpstr">
      <vt:lpstr>111年基金來源彙整</vt:lpstr>
      <vt:lpstr>工作表3</vt:lpstr>
      <vt:lpstr>1-導師費-0811ok</vt:lpstr>
      <vt:lpstr>2-專輔師-0706ok</vt:lpstr>
      <vt:lpstr>3-合理教師員額-0811ok</vt:lpstr>
      <vt:lpstr>4-移用以前年度賸餘-0708ok</vt:lpstr>
      <vt:lpstr>'111年基金來源彙整'!Print_Area</vt:lpstr>
      <vt:lpstr>'2-專輔師-0706ok'!Print_Area</vt:lpstr>
    </vt:vector>
  </TitlesOfParts>
  <Company>0991107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馬芷麟</cp:lastModifiedBy>
  <cp:lastPrinted>2020-09-07T06:33:03Z</cp:lastPrinted>
  <dcterms:created xsi:type="dcterms:W3CDTF">2011-08-25T15:08:37Z</dcterms:created>
  <dcterms:modified xsi:type="dcterms:W3CDTF">2021-11-24T08:41:08Z</dcterms:modified>
</cp:coreProperties>
</file>